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AppData\Local\Microsoft\Windows\INetCache\Content.Outlook\J1EMMSUI\"/>
    </mc:Choice>
  </mc:AlternateContent>
  <bookViews>
    <workbookView xWindow="0" yWindow="0" windowWidth="28800" windowHeight="141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335" sheetId="87" r:id="rId74"/>
    <sheet name="Div 4" sheetId="36" r:id="rId75"/>
    <sheet name="310 &amp; 491" sheetId="39" r:id="rId76"/>
    <sheet name="491" sheetId="42" r:id="rId77"/>
    <sheet name="405" sheetId="88" r:id="rId78"/>
    <sheet name="406" sheetId="89" r:id="rId79"/>
    <sheet name="411" sheetId="92" r:id="rId80"/>
    <sheet name="412" sheetId="93" r:id="rId81"/>
    <sheet name="420" sheetId="99" r:id="rId82"/>
    <sheet name="413" sheetId="94" r:id="rId83"/>
    <sheet name="414" sheetId="95" r:id="rId84"/>
    <sheet name="415" sheetId="96" r:id="rId85"/>
    <sheet name="418" sheetId="98" r:id="rId86"/>
    <sheet name="423" sheetId="100" r:id="rId87"/>
    <sheet name="424" sheetId="101" r:id="rId88"/>
    <sheet name="425" sheetId="102" r:id="rId89"/>
    <sheet name="455" sheetId="109" r:id="rId90"/>
    <sheet name="492" sheetId="45" r:id="rId91"/>
    <sheet name="430" sheetId="103" r:id="rId92"/>
    <sheet name="433" sheetId="104" r:id="rId93"/>
    <sheet name="435" sheetId="105" r:id="rId94"/>
    <sheet name="444" sheetId="106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4">'204'!$D$13</definedName>
    <definedName name="OSRRefD13x_0" localSheetId="48">'300'!$D$13:$D$107</definedName>
    <definedName name="OSRRefD13x_0" localSheetId="49">'300 &amp; 317'!$D$13:$D$125</definedName>
    <definedName name="OSRRefD13x_0" localSheetId="53">'307'!$D$13:$D$50</definedName>
    <definedName name="OSRRefD13x_0" localSheetId="55">'308'!$D$13:$D$40</definedName>
    <definedName name="OSRRefD13x_0" localSheetId="67">'309'!$D$13:$D$15</definedName>
    <definedName name="OSRRefD13x_0" localSheetId="66">'310'!$D$13:$D$23</definedName>
    <definedName name="OSRRefD13x_0" localSheetId="75">'310 &amp; 491'!$D$13:$D$30</definedName>
    <definedName name="OSRRefD13x_0" localSheetId="56">'311'!$D$13:$D$40</definedName>
    <definedName name="OSRRefD13x_0" localSheetId="68">'313'!$D$13:$D$19</definedName>
    <definedName name="OSRRefD13x_0" localSheetId="54">'314'!$D$13:$D$34</definedName>
    <definedName name="OSRRefD13x_0" localSheetId="59">'315'!$D$13:$D$34</definedName>
    <definedName name="OSRRefD13x_0" localSheetId="62">'316'!$D$13:$D$27</definedName>
    <definedName name="OSRRefD13x_0" localSheetId="65">'317'!$D$13:$D$38</definedName>
    <definedName name="OSRRefD13x_0" localSheetId="63">'320'!$D$13:$D$17</definedName>
    <definedName name="OSRRefD13x_0" localSheetId="69">'321'!$D$13:$D$15</definedName>
    <definedName name="OSRRefD13x_0" localSheetId="70">'322'!$D$13:$D$15</definedName>
    <definedName name="OSRRefD13x_0" localSheetId="57">'324'!$D$13:$D$15</definedName>
    <definedName name="OSRRefD13x_0" localSheetId="71">'325'!$D$13:$D$15</definedName>
    <definedName name="OSRRefD13x_0" localSheetId="60">'326'!$D$13:$D$33</definedName>
    <definedName name="OSRRefD13x_0" localSheetId="72">'327'!$D$13:$D$14</definedName>
    <definedName name="OSRRefD13x_0" localSheetId="52">'330'!$D$13:$D$54</definedName>
    <definedName name="OSRRefD13x_0" localSheetId="58">'331'!$D$13:$D$42</definedName>
    <definedName name="OSRRefD13x_0" localSheetId="61">'332'!$D$13:$D$30</definedName>
    <definedName name="OSRRefD13x_0" localSheetId="77">'405'!$D$13:$D$15</definedName>
    <definedName name="OSRRefD13x_0" localSheetId="78">'406'!$D$13:$D$16</definedName>
    <definedName name="OSRRefD13x_0" localSheetId="80">'412'!$D$13:$D$16</definedName>
    <definedName name="OSRRefD13x_0" localSheetId="82">'413'!$D$13:$D$16</definedName>
    <definedName name="OSRRefD13x_0" localSheetId="83">'414'!$D$13:$D$16</definedName>
    <definedName name="OSRRefD13x_0" localSheetId="84">'415'!$D$13:$D$15</definedName>
    <definedName name="OSRRefD13x_0" localSheetId="85">'418'!$D$13:$D$16</definedName>
    <definedName name="OSRRefD13x_0" localSheetId="81">'420'!$D$13:$D$14</definedName>
    <definedName name="OSRRefD13x_0" localSheetId="87">'424'!$D$13:$D$16</definedName>
    <definedName name="OSRRefD13x_0" localSheetId="88">'425'!$D$13:$D$18</definedName>
    <definedName name="OSRRefD13x_0" localSheetId="92">'433'!$D$13:$D$16</definedName>
    <definedName name="OSRRefD13x_0" localSheetId="93">'435'!$D$13:$D$16</definedName>
    <definedName name="OSRRefD13x_0" localSheetId="94">'444'!$D$13:$D$16</definedName>
    <definedName name="OSRRefD13x_0" localSheetId="95">'450'!$D$13:$D$16</definedName>
    <definedName name="OSRRefD13x_0" localSheetId="76">'491'!$D$13:$D$24</definedName>
    <definedName name="OSRRefD13x_0" localSheetId="90">'492'!$D$13:$D$18</definedName>
    <definedName name="OSRRefD13x_0" localSheetId="97">'501'!$D$13</definedName>
    <definedName name="OSRRefD13x_0" localSheetId="39">'Div 2'!$D$13</definedName>
    <definedName name="OSRRefD13x_0" localSheetId="47">'Div 3'!$D$13:$D$110</definedName>
    <definedName name="OSRRefD13x_0" localSheetId="74">'Div 4'!$D$13:$D$24</definedName>
    <definedName name="OSRRefD13x_0" localSheetId="96">'Div 5'!$D$13</definedName>
    <definedName name="OSRRefD13x_0" localSheetId="64">'Div 6'!$D$13:$D$38</definedName>
    <definedName name="OSRRefD13x_0" localSheetId="2">Summary!$D$13:$D$135</definedName>
    <definedName name="OSRRefD16x_0" localSheetId="48">'300'!$D$110:$D$160</definedName>
    <definedName name="OSRRefD16x_0" localSheetId="49">'300 &amp; 317'!$D$128:$D$185</definedName>
    <definedName name="OSRRefD16x_0" localSheetId="53">'307'!$D$53:$D$73</definedName>
    <definedName name="OSRRefD16x_0" localSheetId="55">'308'!$D$43:$D$59</definedName>
    <definedName name="OSRRefD16x_0" localSheetId="67">'309'!$D$18:$D$20</definedName>
    <definedName name="OSRRefD16x_0" localSheetId="66">'310'!$D$26:$D$28</definedName>
    <definedName name="OSRRefD16x_0" localSheetId="75">'310 &amp; 491'!$D$33:$D$35</definedName>
    <definedName name="OSRRefD16x_0" localSheetId="56">'311'!$D$43:$D$59</definedName>
    <definedName name="OSRRefD16x_0" localSheetId="68">'313'!$D$22:$D$24</definedName>
    <definedName name="OSRRefD16x_0" localSheetId="54">'314'!$D$37:$D$52</definedName>
    <definedName name="OSRRefD16x_0" localSheetId="59">'315'!$D$37:$D$52</definedName>
    <definedName name="OSRRefD16x_0" localSheetId="65">'317'!$D$41:$D$54</definedName>
    <definedName name="OSRRefD16x_0" localSheetId="63">'320'!$D$20:$D$25</definedName>
    <definedName name="OSRRefD16x_0" localSheetId="69">'321'!$D$18:$D$20</definedName>
    <definedName name="OSRRefD16x_0" localSheetId="70">'322'!$D$18:$D$20</definedName>
    <definedName name="OSRRefD16x_0" localSheetId="57">'324'!$D$18:$D$20</definedName>
    <definedName name="OSRRefD16x_0" localSheetId="71">'325'!$D$18:$D$20</definedName>
    <definedName name="OSRRefD16x_0" localSheetId="60">'326'!$D$36:$D$51</definedName>
    <definedName name="OSRRefD16x_0" localSheetId="72">'327'!$D$17:$D$18</definedName>
    <definedName name="OSRRefD16x_0" localSheetId="52">'330'!$D$57:$D$80</definedName>
    <definedName name="OSRRefD16x_0" localSheetId="58">'331'!$D$45:$D$67</definedName>
    <definedName name="OSRRefD16x_0" localSheetId="61">'332'!$D$33:$D$38</definedName>
    <definedName name="OSRRefD16x_0" localSheetId="77">'405'!$D$18:$D$20</definedName>
    <definedName name="OSRRefD16x_0" localSheetId="78">'406'!$D$19:$D$21</definedName>
    <definedName name="OSRRefD16x_0" localSheetId="80">'412'!$D$19:$D$20</definedName>
    <definedName name="OSRRefD16x_0" localSheetId="82">'413'!$D$19:$D$21</definedName>
    <definedName name="OSRRefD16x_0" localSheetId="83">'414'!$D$19:$D$21</definedName>
    <definedName name="OSRRefD16x_0" localSheetId="84">'415'!$D$18:$D$20</definedName>
    <definedName name="OSRRefD16x_0" localSheetId="85">'418'!$D$19:$D$21</definedName>
    <definedName name="OSRRefD16x_0" localSheetId="81">'420'!$D$17</definedName>
    <definedName name="OSRRefD16x_0" localSheetId="86">'423'!$D$15</definedName>
    <definedName name="OSRRefD16x_0" localSheetId="87">'424'!$D$19:$D$21</definedName>
    <definedName name="OSRRefD16x_0" localSheetId="88">'425'!$D$21:$D$23</definedName>
    <definedName name="OSRRefD16x_0" localSheetId="92">'433'!$D$19:$D$21</definedName>
    <definedName name="OSRRefD16x_0" localSheetId="93">'435'!$D$19:$D$21</definedName>
    <definedName name="OSRRefD16x_0" localSheetId="94">'444'!$D$19:$D$21</definedName>
    <definedName name="OSRRefD16x_0" localSheetId="95">'450'!$D$19:$D$21</definedName>
    <definedName name="OSRRefD16x_0" localSheetId="76">'491'!$D$27:$D$29</definedName>
    <definedName name="OSRRefD16x_0" localSheetId="90">'492'!$D$21:$D$23</definedName>
    <definedName name="OSRRefD16x_0" localSheetId="47">'Div 3'!$D$113:$D$165</definedName>
    <definedName name="OSRRefD16x_0" localSheetId="74">'Div 4'!$D$27:$D$29</definedName>
    <definedName name="OSRRefD16x_0" localSheetId="64">'Div 6'!$D$41:$D$54</definedName>
    <definedName name="OSRRefD16x_0" localSheetId="2">Summary!$D$138:$D$197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'204'!$D$21:$D$30</definedName>
    <definedName name="OSRRefD22_0x_0" localSheetId="45">'205'!$D$20:$D$28</definedName>
    <definedName name="OSRRefD22_0x_0" localSheetId="46">'206'!$D$20:$D$28</definedName>
    <definedName name="OSRRefD22_0x_0" localSheetId="48">'300'!$D$166:$D$175</definedName>
    <definedName name="OSRRefD22_0x_0" localSheetId="49">'300 &amp; 317'!$D$191:$D$200</definedName>
    <definedName name="OSRRefD22_0x_0" localSheetId="50">'301'!$D$20:$D$28</definedName>
    <definedName name="OSRRefD22_0x_0" localSheetId="51">'306'!$D$20:$D$28</definedName>
    <definedName name="OSRRefD22_0x_0" localSheetId="53">'307'!$D$79:$D$87</definedName>
    <definedName name="OSRRefD22_0x_0" localSheetId="55">'308'!$D$65:$D$74</definedName>
    <definedName name="OSRRefD22_0x_0" localSheetId="67">'309'!$D$26:$D$34</definedName>
    <definedName name="OSRRefD22_0x_0" localSheetId="66">'310'!$D$34:$D$42</definedName>
    <definedName name="OSRRefD22_0x_0" localSheetId="75">'310 &amp; 491'!$D$41:$D$50</definedName>
    <definedName name="OSRRefD22_0x_0" localSheetId="56">'311'!$D$65:$D$74</definedName>
    <definedName name="OSRRefD22_0x_0" localSheetId="68">'313'!$D$30:$D$38</definedName>
    <definedName name="OSRRefD22_0x_0" localSheetId="54">'314'!$D$58:$D$66</definedName>
    <definedName name="OSRRefD22_0x_0" localSheetId="59">'315'!$D$58:$D$66</definedName>
    <definedName name="OSRRefD22_0x_0" localSheetId="62">'316'!$D$35:$D$43</definedName>
    <definedName name="OSRRefD22_0x_0" localSheetId="65">'317'!$D$60:$D$69</definedName>
    <definedName name="OSRRefD22_0x_0" localSheetId="63">'320'!$D$31:$D$38</definedName>
    <definedName name="OSRRefD22_0x_0" localSheetId="69">'321'!$D$26:$D$33</definedName>
    <definedName name="OSRRefD22_0x_0" localSheetId="70">'322'!$D$26:$D$34</definedName>
    <definedName name="OSRRefD22_0x_0" localSheetId="71">'325'!$D$26:$D$34</definedName>
    <definedName name="OSRRefD22_0x_0" localSheetId="60">'326'!$D$57:$D$65</definedName>
    <definedName name="OSRRefD22_0x_0" localSheetId="72">'327'!$D$24</definedName>
    <definedName name="OSRRefD22_0x_0" localSheetId="52">'330'!$D$86:$D$94</definedName>
    <definedName name="OSRRefD22_0x_0" localSheetId="58">'331'!$D$73:$D$81</definedName>
    <definedName name="OSRRefD22_0x_0" localSheetId="61">'332'!$D$44:$D$52</definedName>
    <definedName name="OSRRefD22_0x_0" localSheetId="77">'405'!$D$26:$D$34</definedName>
    <definedName name="OSRRefD22_0x_0" localSheetId="78">'406'!$D$27:$D$35</definedName>
    <definedName name="OSRRefD22_0x_0" localSheetId="79">'411'!$D$20:$D$29</definedName>
    <definedName name="OSRRefD22_0x_0" localSheetId="80">'412'!$D$26:$D$34</definedName>
    <definedName name="OSRRefD22_0x_0" localSheetId="82">'413'!$D$27:$D$35</definedName>
    <definedName name="OSRRefD22_0x_0" localSheetId="83">'414'!$D$27:$D$35</definedName>
    <definedName name="OSRRefD22_0x_0" localSheetId="84">'415'!$D$26:$D$34</definedName>
    <definedName name="OSRRefD22_0x_0" localSheetId="85">'418'!$D$27:$D$35</definedName>
    <definedName name="OSRRefD22_0x_0" localSheetId="81">'420'!$D$23:$D$30</definedName>
    <definedName name="OSRRefD22_0x_0" localSheetId="86">'423'!$D$21:$D$29</definedName>
    <definedName name="OSRRefD22_0x_0" localSheetId="87">'424'!$D$27:$D$34</definedName>
    <definedName name="OSRRefD22_0x_0" localSheetId="88">'425'!$D$29:$D$38</definedName>
    <definedName name="OSRRefD22_0x_0" localSheetId="91">'430'!$D$20:$D$28</definedName>
    <definedName name="OSRRefD22_0x_0" localSheetId="92">'433'!$D$27:$D$36</definedName>
    <definedName name="OSRRefD22_0x_0" localSheetId="93">'435'!$D$27:$D$34</definedName>
    <definedName name="OSRRefD22_0x_0" localSheetId="94">'444'!$D$27:$D$36</definedName>
    <definedName name="OSRRefD22_0x_0" localSheetId="95">'450'!$D$27:$D$36</definedName>
    <definedName name="OSRRefD22_0x_0" localSheetId="89">'455'!$D$20:$D$27</definedName>
    <definedName name="OSRRefD22_0x_0" localSheetId="76">'491'!$D$35:$D$44</definedName>
    <definedName name="OSRRefD22_0x_0" localSheetId="90">'492'!$D$29:$D$38</definedName>
    <definedName name="OSRRefD22_0x_0" localSheetId="97">'501'!$D$21:$D$29</definedName>
    <definedName name="OSRRefD22_0x_0" localSheetId="39">'Div 2'!$D$21:$D$31</definedName>
    <definedName name="OSRRefD22_0x_0" localSheetId="47">'Div 3'!$D$171:$D$180</definedName>
    <definedName name="OSRRefD22_0x_0" localSheetId="74">'Div 4'!$D$35:$D$44</definedName>
    <definedName name="OSRRefD22_0x_0" localSheetId="96">'Div 5'!$D$21:$D$29</definedName>
    <definedName name="OSRRefD22_0x_0" localSheetId="64">'Div 6'!$D$60:$D$69</definedName>
    <definedName name="OSRRefD22_0x_0" localSheetId="2">Summary!$D$203:$D$212</definedName>
    <definedName name="OSRRefD22_10x_0" localSheetId="41">'201'!$D$58:$D$60</definedName>
    <definedName name="OSRRefD22_10x_0" localSheetId="42">'202'!$D$59</definedName>
    <definedName name="OSRRefD22_10x_0" localSheetId="43">'203'!$D$59:$D$60</definedName>
    <definedName name="OSRRefD22_10x_0" localSheetId="44">'204'!$D$64:$D$65</definedName>
    <definedName name="OSRRefD22_10x_0" localSheetId="46">'206'!$D$58</definedName>
    <definedName name="OSRRefD22_10x_0" localSheetId="48">'300'!$D$210:$D$211</definedName>
    <definedName name="OSRRefD22_10x_0" localSheetId="49">'300 &amp; 317'!$D$235:$D$236</definedName>
    <definedName name="OSRRefD22_10x_0" localSheetId="50">'301'!$D$63</definedName>
    <definedName name="OSRRefD22_10x_0" localSheetId="51">'306'!$D$61</definedName>
    <definedName name="OSRRefD22_10x_0" localSheetId="53">'307'!$D$119:$D$121</definedName>
    <definedName name="OSRRefD22_10x_0" localSheetId="55">'308'!$D$107</definedName>
    <definedName name="OSRRefD22_10x_0" localSheetId="67">'309'!$D$65:$D$67</definedName>
    <definedName name="OSRRefD22_10x_0" localSheetId="66">'310'!$D$73</definedName>
    <definedName name="OSRRefD22_10x_0" localSheetId="75">'310 &amp; 491'!$D$82</definedName>
    <definedName name="OSRRefD22_10x_0" localSheetId="56">'311'!$D$107</definedName>
    <definedName name="OSRRefD22_10x_0" localSheetId="68">'313'!$D$67:$D$69</definedName>
    <definedName name="OSRRefD22_10x_0" localSheetId="54">'314'!$D$96</definedName>
    <definedName name="OSRRefD22_10x_0" localSheetId="59">'315'!$D$97:$D$99</definedName>
    <definedName name="OSRRefD22_10x_0" localSheetId="62">'316'!$D$73:$D$74</definedName>
    <definedName name="OSRRefD22_10x_0" localSheetId="65">'317'!$D$99:$D$100</definedName>
    <definedName name="OSRRefD22_10x_0" localSheetId="69">'321'!$D$64:$D$65</definedName>
    <definedName name="OSRRefD22_10x_0" localSheetId="70">'322'!$D$66:$D$68</definedName>
    <definedName name="OSRRefD22_10x_0" localSheetId="71">'325'!$D$65</definedName>
    <definedName name="OSRRefD22_10x_0" localSheetId="60">'326'!$D$95</definedName>
    <definedName name="OSRRefD22_10x_0" localSheetId="52">'330'!$D$125:$D$126</definedName>
    <definedName name="OSRRefD22_10x_0" localSheetId="58">'331'!$D$113</definedName>
    <definedName name="OSRRefD22_10x_0" localSheetId="61">'332'!$D$82:$D$83</definedName>
    <definedName name="OSRRefD22_10x_0" localSheetId="77">'405'!$D$65</definedName>
    <definedName name="OSRRefD22_10x_0" localSheetId="78">'406'!$D$67:$D$69</definedName>
    <definedName name="OSRRefD22_10x_0" localSheetId="79">'411'!$D$61:$D$63</definedName>
    <definedName name="OSRRefD22_10x_0" localSheetId="80">'412'!$D$66</definedName>
    <definedName name="OSRRefD22_10x_0" localSheetId="82">'413'!$D$67:$D$73</definedName>
    <definedName name="OSRRefD22_10x_0" localSheetId="83">'414'!$D$66</definedName>
    <definedName name="OSRRefD22_10x_0" localSheetId="84">'415'!$D$65</definedName>
    <definedName name="OSRRefD22_10x_0" localSheetId="85">'418'!$D$66:$D$67</definedName>
    <definedName name="OSRRefD22_10x_0" localSheetId="87">'424'!$D$66:$D$70</definedName>
    <definedName name="OSRRefD22_10x_0" localSheetId="88">'425'!$D$70:$D$71</definedName>
    <definedName name="OSRRefD22_10x_0" localSheetId="91">'430'!$D$59</definedName>
    <definedName name="OSRRefD22_10x_0" localSheetId="92">'433'!$D$65:$D$67</definedName>
    <definedName name="OSRRefD22_10x_0" localSheetId="94">'444'!$D$65</definedName>
    <definedName name="OSRRefD22_10x_0" localSheetId="95">'450'!$D$66</definedName>
    <definedName name="OSRRefD22_10x_0" localSheetId="76">'491'!$D$76:$D$77</definedName>
    <definedName name="OSRRefD22_10x_0" localSheetId="90">'492'!$D$69</definedName>
    <definedName name="OSRRefD22_10x_0" localSheetId="97">'501'!$D$58:$D$61</definedName>
    <definedName name="OSRRefD22_10x_0" localSheetId="39">'Div 2'!$D$62</definedName>
    <definedName name="OSRRefD22_10x_0" localSheetId="47">'Div 3'!$D$215:$D$216</definedName>
    <definedName name="OSRRefD22_10x_0" localSheetId="74">'Div 4'!$D$78</definedName>
    <definedName name="OSRRefD22_10x_0" localSheetId="96">'Div 5'!$D$58:$D$61</definedName>
    <definedName name="OSRRefD22_10x_0" localSheetId="64">'Div 6'!$D$99:$D$100</definedName>
    <definedName name="OSRRefD22_10x_0" localSheetId="2">Summary!$D$248:$D$249</definedName>
    <definedName name="OSRRefD22_11x_0" localSheetId="41">'201'!$D$62:$D$64</definedName>
    <definedName name="OSRRefD22_11x_0" localSheetId="42">'202'!$D$61:$D$63</definedName>
    <definedName name="OSRRefD22_11x_0" localSheetId="43">'203'!$D$62</definedName>
    <definedName name="OSRRefD22_11x_0" localSheetId="44">'204'!$D$67</definedName>
    <definedName name="OSRRefD22_11x_0" localSheetId="48">'300'!$D$213</definedName>
    <definedName name="OSRRefD22_11x_0" localSheetId="49">'300 &amp; 317'!$D$238</definedName>
    <definedName name="OSRRefD22_11x_0" localSheetId="50">'301'!$D$65</definedName>
    <definedName name="OSRRefD22_11x_0" localSheetId="53">'307'!$D$123</definedName>
    <definedName name="OSRRefD22_11x_0" localSheetId="55">'308'!$D$109:$D$111</definedName>
    <definedName name="OSRRefD22_11x_0" localSheetId="67">'309'!$D$69:$D$71</definedName>
    <definedName name="OSRRefD22_11x_0" localSheetId="66">'310'!$D$75</definedName>
    <definedName name="OSRRefD22_11x_0" localSheetId="75">'310 &amp; 491'!$D$84:$D$85</definedName>
    <definedName name="OSRRefD22_11x_0" localSheetId="56">'311'!$D$109:$D$111</definedName>
    <definedName name="OSRRefD22_11x_0" localSheetId="68">'313'!$D$71</definedName>
    <definedName name="OSRRefD22_11x_0" localSheetId="59">'315'!$D$101:$D$102</definedName>
    <definedName name="OSRRefD22_11x_0" localSheetId="62">'316'!$D$76:$D$80</definedName>
    <definedName name="OSRRefD22_11x_0" localSheetId="65">'317'!$D$102</definedName>
    <definedName name="OSRRefD22_11x_0" localSheetId="69">'321'!$D$67:$D$69</definedName>
    <definedName name="OSRRefD22_11x_0" localSheetId="70">'322'!$D$70:$D$75</definedName>
    <definedName name="OSRRefD22_11x_0" localSheetId="71">'325'!$D$67:$D$69</definedName>
    <definedName name="OSRRefD22_11x_0" localSheetId="60">'326'!$D$97</definedName>
    <definedName name="OSRRefD22_11x_0" localSheetId="52">'330'!$D$128</definedName>
    <definedName name="OSRRefD22_11x_0" localSheetId="58">'331'!$D$115</definedName>
    <definedName name="OSRRefD22_11x_0" localSheetId="61">'332'!$D$85:$D$86</definedName>
    <definedName name="OSRRefD22_11x_0" localSheetId="77">'405'!$D$67:$D$69</definedName>
    <definedName name="OSRRefD22_11x_0" localSheetId="78">'406'!$D$71:$D$76</definedName>
    <definedName name="OSRRefD22_11x_0" localSheetId="79">'411'!$D$65:$D$69</definedName>
    <definedName name="OSRRefD22_11x_0" localSheetId="80">'412'!$D$68:$D$70</definedName>
    <definedName name="OSRRefD22_11x_0" localSheetId="82">'413'!$D$75:$D$76</definedName>
    <definedName name="OSRRefD22_11x_0" localSheetId="83">'414'!$D$68</definedName>
    <definedName name="OSRRefD22_11x_0" localSheetId="84">'415'!$D$67:$D$70</definedName>
    <definedName name="OSRRefD22_11x_0" localSheetId="85">'418'!$D$69:$D$71</definedName>
    <definedName name="OSRRefD22_11x_0" localSheetId="87">'424'!$D$72:$D$73</definedName>
    <definedName name="OSRRefD22_11x_0" localSheetId="88">'425'!$D$73:$D$74</definedName>
    <definedName name="OSRRefD22_11x_0" localSheetId="92">'433'!$D$69:$D$72</definedName>
    <definedName name="OSRRefD22_11x_0" localSheetId="94">'444'!$D$67:$D$69</definedName>
    <definedName name="OSRRefD22_11x_0" localSheetId="95">'450'!$D$68:$D$71</definedName>
    <definedName name="OSRRefD22_11x_0" localSheetId="76">'491'!$D$79</definedName>
    <definedName name="OSRRefD22_11x_0" localSheetId="90">'492'!$D$71</definedName>
    <definedName name="OSRRefD22_11x_0" localSheetId="97">'501'!$D$63</definedName>
    <definedName name="OSRRefD22_11x_0" localSheetId="39">'Div 2'!$D$64</definedName>
    <definedName name="OSRRefD22_11x_0" localSheetId="47">'Div 3'!$D$218</definedName>
    <definedName name="OSRRefD22_11x_0" localSheetId="74">'Div 4'!$D$80:$D$81</definedName>
    <definedName name="OSRRefD22_11x_0" localSheetId="96">'Div 5'!$D$63</definedName>
    <definedName name="OSRRefD22_11x_0" localSheetId="64">'Div 6'!$D$102</definedName>
    <definedName name="OSRRefD22_11x_0" localSheetId="2">Summary!$D$251:$D$252</definedName>
    <definedName name="OSRRefD22_12x_0" localSheetId="41">'201'!$D$66</definedName>
    <definedName name="OSRRefD22_12x_0" localSheetId="42">'202'!$D$65</definedName>
    <definedName name="OSRRefD22_12x_0" localSheetId="43">'203'!$D$64:$D$66</definedName>
    <definedName name="OSRRefD22_12x_0" localSheetId="44">'204'!$D$69:$D$70</definedName>
    <definedName name="OSRRefD22_12x_0" localSheetId="48">'300'!$D$215</definedName>
    <definedName name="OSRRefD22_12x_0" localSheetId="49">'300 &amp; 317'!$D$240</definedName>
    <definedName name="OSRRefD22_12x_0" localSheetId="50">'301'!$D$67</definedName>
    <definedName name="OSRRefD22_12x_0" localSheetId="53">'307'!$D$125</definedName>
    <definedName name="OSRRefD22_12x_0" localSheetId="55">'308'!$D$113:$D$114</definedName>
    <definedName name="OSRRefD22_12x_0" localSheetId="67">'309'!$D$73</definedName>
    <definedName name="OSRRefD22_12x_0" localSheetId="66">'310'!$D$77</definedName>
    <definedName name="OSRRefD22_12x_0" localSheetId="75">'310 &amp; 491'!$D$87</definedName>
    <definedName name="OSRRefD22_12x_0" localSheetId="56">'311'!$D$113:$D$114</definedName>
    <definedName name="OSRRefD22_12x_0" localSheetId="68">'313'!$D$73:$D$77</definedName>
    <definedName name="OSRRefD22_12x_0" localSheetId="59">'315'!$D$104:$D$108</definedName>
    <definedName name="OSRRefD22_12x_0" localSheetId="62">'316'!$D$82:$D$83</definedName>
    <definedName name="OSRRefD22_12x_0" localSheetId="65">'317'!$D$104</definedName>
    <definedName name="OSRRefD22_12x_0" localSheetId="69">'321'!$D$71:$D$73</definedName>
    <definedName name="OSRRefD22_12x_0" localSheetId="70">'322'!$D$77</definedName>
    <definedName name="OSRRefD22_12x_0" localSheetId="71">'325'!$D$71:$D$74</definedName>
    <definedName name="OSRRefD22_12x_0" localSheetId="60">'326'!$D$99</definedName>
    <definedName name="OSRRefD22_12x_0" localSheetId="52">'330'!$D$130:$D$132</definedName>
    <definedName name="OSRRefD22_12x_0" localSheetId="58">'331'!$D$117</definedName>
    <definedName name="OSRRefD22_12x_0" localSheetId="61">'332'!$D$88:$D$92</definedName>
    <definedName name="OSRRefD22_12x_0" localSheetId="77">'405'!$D$71</definedName>
    <definedName name="OSRRefD22_12x_0" localSheetId="78">'406'!$D$78:$D$79</definedName>
    <definedName name="OSRRefD22_12x_0" localSheetId="79">'411'!$D$71</definedName>
    <definedName name="OSRRefD22_12x_0" localSheetId="80">'412'!$D$72:$D$77</definedName>
    <definedName name="OSRRefD22_12x_0" localSheetId="82">'413'!$D$78</definedName>
    <definedName name="OSRRefD22_12x_0" localSheetId="83">'414'!$D$70</definedName>
    <definedName name="OSRRefD22_12x_0" localSheetId="84">'415'!$D$72:$D$76</definedName>
    <definedName name="OSRRefD22_12x_0" localSheetId="85">'418'!$D$73:$D$75</definedName>
    <definedName name="OSRRefD22_12x_0" localSheetId="88">'425'!$D$76</definedName>
    <definedName name="OSRRefD22_12x_0" localSheetId="92">'433'!$D$74:$D$81</definedName>
    <definedName name="OSRRefD22_12x_0" localSheetId="94">'444'!$D$71:$D$74</definedName>
    <definedName name="OSRRefD22_12x_0" localSheetId="95">'450'!$D$73:$D$75</definedName>
    <definedName name="OSRRefD22_12x_0" localSheetId="76">'491'!$D$81</definedName>
    <definedName name="OSRRefD22_12x_0" localSheetId="90">'492'!$D$73:$D$76</definedName>
    <definedName name="OSRRefD22_12x_0" localSheetId="97">'501'!$D$65:$D$67</definedName>
    <definedName name="OSRRefD22_12x_0" localSheetId="39">'Div 2'!$D$66:$D$68</definedName>
    <definedName name="OSRRefD22_12x_0" localSheetId="47">'Div 3'!$D$220</definedName>
    <definedName name="OSRRefD22_12x_0" localSheetId="74">'Div 4'!$D$83</definedName>
    <definedName name="OSRRefD22_12x_0" localSheetId="96">'Div 5'!$D$65:$D$67</definedName>
    <definedName name="OSRRefD22_12x_0" localSheetId="64">'Div 6'!$D$104</definedName>
    <definedName name="OSRRefD22_12x_0" localSheetId="2">Summary!$D$254</definedName>
    <definedName name="OSRRefD22_13x_0" localSheetId="41">'201'!$D$68:$D$70</definedName>
    <definedName name="OSRRefD22_13x_0" localSheetId="42">'202'!$D$67</definedName>
    <definedName name="OSRRefD22_13x_0" localSheetId="43">'203'!$D$68</definedName>
    <definedName name="OSRRefD22_13x_0" localSheetId="48">'300'!$D$217</definedName>
    <definedName name="OSRRefD22_13x_0" localSheetId="49">'300 &amp; 317'!$D$242</definedName>
    <definedName name="OSRRefD22_13x_0" localSheetId="50">'301'!$D$69</definedName>
    <definedName name="OSRRefD22_13x_0" localSheetId="55">'308'!$D$116</definedName>
    <definedName name="OSRRefD22_13x_0" localSheetId="67">'309'!$D$75</definedName>
    <definedName name="OSRRefD22_13x_0" localSheetId="66">'310'!$D$79</definedName>
    <definedName name="OSRRefD22_13x_0" localSheetId="75">'310 &amp; 491'!$D$89</definedName>
    <definedName name="OSRRefD22_13x_0" localSheetId="56">'311'!$D$116</definedName>
    <definedName name="OSRRefD22_13x_0" localSheetId="68">'313'!$D$79</definedName>
    <definedName name="OSRRefD22_13x_0" localSheetId="59">'315'!$D$110</definedName>
    <definedName name="OSRRefD22_13x_0" localSheetId="62">'316'!$D$85</definedName>
    <definedName name="OSRRefD22_13x_0" localSheetId="69">'321'!$D$75</definedName>
    <definedName name="OSRRefD22_13x_0" localSheetId="70">'322'!$D$79</definedName>
    <definedName name="OSRRefD22_13x_0" localSheetId="71">'325'!$D$76</definedName>
    <definedName name="OSRRefD22_13x_0" localSheetId="60">'326'!$D$101:$D$102</definedName>
    <definedName name="OSRRefD22_13x_0" localSheetId="52">'330'!$D$134</definedName>
    <definedName name="OSRRefD22_13x_0" localSheetId="58">'331'!$D$119</definedName>
    <definedName name="OSRRefD22_13x_0" localSheetId="61">'332'!$D$94:$D$95</definedName>
    <definedName name="OSRRefD22_13x_0" localSheetId="77">'405'!$D$73:$D$75</definedName>
    <definedName name="OSRRefD22_13x_0" localSheetId="78">'406'!$D$81</definedName>
    <definedName name="OSRRefD22_13x_0" localSheetId="79">'411'!$D$73:$D$80</definedName>
    <definedName name="OSRRefD22_13x_0" localSheetId="80">'412'!$D$79</definedName>
    <definedName name="OSRRefD22_13x_0" localSheetId="83">'414'!$D$72:$D$78</definedName>
    <definedName name="OSRRefD22_13x_0" localSheetId="84">'415'!$D$78:$D$79</definedName>
    <definedName name="OSRRefD22_13x_0" localSheetId="85">'418'!$D$77:$D$78</definedName>
    <definedName name="OSRRefD22_13x_0" localSheetId="88">'425'!$D$78:$D$84</definedName>
    <definedName name="OSRRefD22_13x_0" localSheetId="92">'433'!$D$83</definedName>
    <definedName name="OSRRefD22_13x_0" localSheetId="94">'444'!$D$76:$D$83</definedName>
    <definedName name="OSRRefD22_13x_0" localSheetId="95">'450'!$D$77:$D$82</definedName>
    <definedName name="OSRRefD22_13x_0" localSheetId="76">'491'!$D$83</definedName>
    <definedName name="OSRRefD22_13x_0" localSheetId="90">'492'!$D$78:$D$81</definedName>
    <definedName name="OSRRefD22_13x_0" localSheetId="97">'501'!$D$69</definedName>
    <definedName name="OSRRefD22_13x_0" localSheetId="39">'Div 2'!$D$70:$D$73</definedName>
    <definedName name="OSRRefD22_13x_0" localSheetId="47">'Div 3'!$D$222</definedName>
    <definedName name="OSRRefD22_13x_0" localSheetId="74">'Div 4'!$D$85</definedName>
    <definedName name="OSRRefD22_13x_0" localSheetId="96">'Div 5'!$D$69</definedName>
    <definedName name="OSRRefD22_13x_0" localSheetId="2">Summary!$D$256</definedName>
    <definedName name="OSRRefD22_14x_0" localSheetId="41">'201'!$D$72</definedName>
    <definedName name="OSRRefD22_14x_0" localSheetId="42">'202'!$D$69:$D$70</definedName>
    <definedName name="OSRRefD22_14x_0" localSheetId="43">'203'!$D$70</definedName>
    <definedName name="OSRRefD22_14x_0" localSheetId="48">'300'!$D$219</definedName>
    <definedName name="OSRRefD22_14x_0" localSheetId="49">'300 &amp; 317'!$D$244</definedName>
    <definedName name="OSRRefD22_14x_0" localSheetId="50">'301'!$D$71</definedName>
    <definedName name="OSRRefD22_14x_0" localSheetId="55">'308'!$D$118:$D$119</definedName>
    <definedName name="OSRRefD22_14x_0" localSheetId="66">'310'!$D$81</definedName>
    <definedName name="OSRRefD22_14x_0" localSheetId="75">'310 &amp; 491'!$D$91</definedName>
    <definedName name="OSRRefD22_14x_0" localSheetId="56">'311'!$D$118:$D$119</definedName>
    <definedName name="OSRRefD22_14x_0" localSheetId="68">'313'!$D$81</definedName>
    <definedName name="OSRRefD22_14x_0" localSheetId="59">'315'!$D$112</definedName>
    <definedName name="OSRRefD22_14x_0" localSheetId="69">'321'!$D$77</definedName>
    <definedName name="OSRRefD22_14x_0" localSheetId="71">'325'!$D$78:$D$84</definedName>
    <definedName name="OSRRefD22_14x_0" localSheetId="60">'326'!$D$104:$D$106</definedName>
    <definedName name="OSRRefD22_14x_0" localSheetId="52">'330'!$D$136</definedName>
    <definedName name="OSRRefD22_14x_0" localSheetId="58">'331'!$D$121:$D$122</definedName>
    <definedName name="OSRRefD22_14x_0" localSheetId="61">'332'!$D$97</definedName>
    <definedName name="OSRRefD22_14x_0" localSheetId="77">'405'!$D$77:$D$78</definedName>
    <definedName name="OSRRefD22_14x_0" localSheetId="78">'406'!$D$83</definedName>
    <definedName name="OSRRefD22_14x_0" localSheetId="79">'411'!$D$82</definedName>
    <definedName name="OSRRefD22_14x_0" localSheetId="80">'412'!$D$81</definedName>
    <definedName name="OSRRefD22_14x_0" localSheetId="83">'414'!$D$80</definedName>
    <definedName name="OSRRefD22_14x_0" localSheetId="84">'415'!$D$81:$D$89</definedName>
    <definedName name="OSRRefD22_14x_0" localSheetId="85">'418'!$D$80:$D$86</definedName>
    <definedName name="OSRRefD22_14x_0" localSheetId="88">'425'!$D$86:$D$87</definedName>
    <definedName name="OSRRefD22_14x_0" localSheetId="92">'433'!$D$85</definedName>
    <definedName name="OSRRefD22_14x_0" localSheetId="94">'444'!$D$85</definedName>
    <definedName name="OSRRefD22_14x_0" localSheetId="95">'450'!$D$84</definedName>
    <definedName name="OSRRefD22_14x_0" localSheetId="76">'491'!$D$85</definedName>
    <definedName name="OSRRefD22_14x_0" localSheetId="90">'492'!$D$83:$D$91</definedName>
    <definedName name="OSRRefD22_14x_0" localSheetId="97">'501'!$D$71</definedName>
    <definedName name="OSRRefD22_14x_0" localSheetId="39">'Div 2'!$D$75:$D$78</definedName>
    <definedName name="OSRRefD22_14x_0" localSheetId="47">'Div 3'!$D$224</definedName>
    <definedName name="OSRRefD22_14x_0" localSheetId="74">'Div 4'!$D$87</definedName>
    <definedName name="OSRRefD22_14x_0" localSheetId="96">'Div 5'!$D$71</definedName>
    <definedName name="OSRRefD22_14x_0" localSheetId="2">Summary!$D$258</definedName>
    <definedName name="OSRRefD22_15x_0" localSheetId="41">'201'!$D$74</definedName>
    <definedName name="OSRRefD22_15x_0" localSheetId="42">'202'!$D$72</definedName>
    <definedName name="OSRRefD22_15x_0" localSheetId="43">'203'!$D$72</definedName>
    <definedName name="OSRRefD22_15x_0" localSheetId="48">'300'!$D$221</definedName>
    <definedName name="OSRRefD22_15x_0" localSheetId="49">'300 &amp; 317'!$D$246</definedName>
    <definedName name="OSRRefD22_15x_0" localSheetId="50">'301'!$D$73:$D$76</definedName>
    <definedName name="OSRRefD22_15x_0" localSheetId="66">'310'!$D$83:$D$85</definedName>
    <definedName name="OSRRefD22_15x_0" localSheetId="75">'310 &amp; 491'!$D$93</definedName>
    <definedName name="OSRRefD22_15x_0" localSheetId="59">'315'!$D$114:$D$115</definedName>
    <definedName name="OSRRefD22_15x_0" localSheetId="71">'325'!$D$86</definedName>
    <definedName name="OSRRefD22_15x_0" localSheetId="60">'326'!$D$108:$D$109</definedName>
    <definedName name="OSRRefD22_15x_0" localSheetId="52">'330'!$D$138</definedName>
    <definedName name="OSRRefD22_15x_0" localSheetId="58">'331'!$D$124:$D$126</definedName>
    <definedName name="OSRRefD22_15x_0" localSheetId="77">'405'!$D$80:$D$88</definedName>
    <definedName name="OSRRefD22_15x_0" localSheetId="79">'411'!$D$84</definedName>
    <definedName name="OSRRefD22_15x_0" localSheetId="80">'412'!$D$83</definedName>
    <definedName name="OSRRefD22_15x_0" localSheetId="83">'414'!$D$82</definedName>
    <definedName name="OSRRefD22_15x_0" localSheetId="84">'415'!$D$91</definedName>
    <definedName name="OSRRefD22_15x_0" localSheetId="85">'418'!$D$88</definedName>
    <definedName name="OSRRefD22_15x_0" localSheetId="88">'425'!$D$89</definedName>
    <definedName name="OSRRefD22_15x_0" localSheetId="92">'433'!$D$87:$D$88</definedName>
    <definedName name="OSRRefD22_15x_0" localSheetId="94">'444'!$D$87</definedName>
    <definedName name="OSRRefD22_15x_0" localSheetId="95">'450'!$D$86</definedName>
    <definedName name="OSRRefD22_15x_0" localSheetId="76">'491'!$D$87:$D$90</definedName>
    <definedName name="OSRRefD22_15x_0" localSheetId="90">'492'!$D$93</definedName>
    <definedName name="OSRRefD22_15x_0" localSheetId="39">'Div 2'!$D$80:$D$81</definedName>
    <definedName name="OSRRefD22_15x_0" localSheetId="47">'Div 3'!$D$226</definedName>
    <definedName name="OSRRefD22_15x_0" localSheetId="74">'Div 4'!$D$89</definedName>
    <definedName name="OSRRefD22_15x_0" localSheetId="2">Summary!$D$260</definedName>
    <definedName name="OSRRefD22_16x_0" localSheetId="41">'201'!$D$76:$D$77</definedName>
    <definedName name="OSRRefD22_16x_0" localSheetId="42">'202'!$D$74</definedName>
    <definedName name="OSRRefD22_16x_0" localSheetId="48">'300'!$D$223:$D$226</definedName>
    <definedName name="OSRRefD22_16x_0" localSheetId="49">'300 &amp; 317'!$D$248:$D$251</definedName>
    <definedName name="OSRRefD22_16x_0" localSheetId="50">'301'!$D$78:$D$80</definedName>
    <definedName name="OSRRefD22_16x_0" localSheetId="66">'310'!$D$87:$D$88</definedName>
    <definedName name="OSRRefD22_16x_0" localSheetId="75">'310 &amp; 491'!$D$95</definedName>
    <definedName name="OSRRefD22_16x_0" localSheetId="71">'325'!$D$88</definedName>
    <definedName name="OSRRefD22_16x_0" localSheetId="60">'326'!$D$111:$D$116</definedName>
    <definedName name="OSRRefD22_16x_0" localSheetId="58">'331'!$D$128:$D$130</definedName>
    <definedName name="OSRRefD22_16x_0" localSheetId="77">'405'!$D$90</definedName>
    <definedName name="OSRRefD22_16x_0" localSheetId="79">'411'!$D$86:$D$88</definedName>
    <definedName name="OSRRefD22_16x_0" localSheetId="84">'415'!$D$93</definedName>
    <definedName name="OSRRefD22_16x_0" localSheetId="85">'418'!$D$90</definedName>
    <definedName name="OSRRefD22_16x_0" localSheetId="88">'425'!$D$91</definedName>
    <definedName name="OSRRefD22_16x_0" localSheetId="94">'444'!$D$89</definedName>
    <definedName name="OSRRefD22_16x_0" localSheetId="95">'450'!$D$88:$D$89</definedName>
    <definedName name="OSRRefD22_16x_0" localSheetId="76">'491'!$D$92:$D$95</definedName>
    <definedName name="OSRRefD22_16x_0" localSheetId="90">'492'!$D$95</definedName>
    <definedName name="OSRRefD22_16x_0" localSheetId="39">'Div 2'!$D$83:$D$84</definedName>
    <definedName name="OSRRefD22_16x_0" localSheetId="47">'Div 3'!$D$228</definedName>
    <definedName name="OSRRefD22_16x_0" localSheetId="74">'Div 4'!$D$91</definedName>
    <definedName name="OSRRefD22_16x_0" localSheetId="2">Summary!$D$262</definedName>
    <definedName name="OSRRefD22_17x_0" localSheetId="48">'300'!$D$228:$D$231</definedName>
    <definedName name="OSRRefD22_17x_0" localSheetId="49">'300 &amp; 317'!$D$253:$D$256</definedName>
    <definedName name="OSRRefD22_17x_0" localSheetId="50">'301'!$D$82:$D$83</definedName>
    <definedName name="OSRRefD22_17x_0" localSheetId="66">'310'!$D$90:$D$94</definedName>
    <definedName name="OSRRefD22_17x_0" localSheetId="75">'310 &amp; 491'!$D$97:$D$100</definedName>
    <definedName name="OSRRefD22_17x_0" localSheetId="71">'325'!$D$90</definedName>
    <definedName name="OSRRefD22_17x_0" localSheetId="60">'326'!$D$118:$D$119</definedName>
    <definedName name="OSRRefD22_17x_0" localSheetId="58">'331'!$D$132:$D$133</definedName>
    <definedName name="OSRRefD22_17x_0" localSheetId="77">'405'!$D$92</definedName>
    <definedName name="OSRRefD22_17x_0" localSheetId="79">'411'!$D$90</definedName>
    <definedName name="OSRRefD22_17x_0" localSheetId="84">'415'!$D$95:$D$96</definedName>
    <definedName name="OSRRefD22_17x_0" localSheetId="85">'418'!$D$92</definedName>
    <definedName name="OSRRefD22_17x_0" localSheetId="76">'491'!$D$97:$D$101</definedName>
    <definedName name="OSRRefD22_17x_0" localSheetId="90">'492'!$D$97:$D$98</definedName>
    <definedName name="OSRRefD22_17x_0" localSheetId="39">'Div 2'!$D$86:$D$90</definedName>
    <definedName name="OSRRefD22_17x_0" localSheetId="47">'Div 3'!$D$230</definedName>
    <definedName name="OSRRefD22_17x_0" localSheetId="74">'Div 4'!$D$93:$D$96</definedName>
    <definedName name="OSRRefD22_17x_0" localSheetId="2">Summary!$D$264</definedName>
    <definedName name="OSRRefD22_18x_0" localSheetId="48">'300'!$D$233:$D$236</definedName>
    <definedName name="OSRRefD22_18x_0" localSheetId="49">'300 &amp; 317'!$D$258:$D$261</definedName>
    <definedName name="OSRRefD22_18x_0" localSheetId="50">'301'!$D$85:$D$90</definedName>
    <definedName name="OSRRefD22_18x_0" localSheetId="66">'310'!$D$96</definedName>
    <definedName name="OSRRefD22_18x_0" localSheetId="75">'310 &amp; 491'!$D$102:$D$105</definedName>
    <definedName name="OSRRefD22_18x_0" localSheetId="71">'325'!$D$92</definedName>
    <definedName name="OSRRefD22_18x_0" localSheetId="60">'326'!$D$121</definedName>
    <definedName name="OSRRefD22_18x_0" localSheetId="58">'331'!$D$135:$D$140</definedName>
    <definedName name="OSRRefD22_18x_0" localSheetId="77">'405'!$D$94</definedName>
    <definedName name="OSRRefD22_18x_0" localSheetId="84">'415'!$D$98</definedName>
    <definedName name="OSRRefD22_18x_0" localSheetId="76">'491'!$D$103:$D$104</definedName>
    <definedName name="OSRRefD22_18x_0" localSheetId="39">'Div 2'!$D$92:$D$93</definedName>
    <definedName name="OSRRefD22_18x_0" localSheetId="47">'Div 3'!$D$232:$D$235</definedName>
    <definedName name="OSRRefD22_18x_0" localSheetId="74">'Div 4'!$D$98:$D$101</definedName>
    <definedName name="OSRRefD22_18x_0" localSheetId="2">Summary!$D$266:$D$269</definedName>
    <definedName name="OSRRefD22_19x_0" localSheetId="48">'300'!$D$238:$D$239</definedName>
    <definedName name="OSRRefD22_19x_0" localSheetId="49">'300 &amp; 317'!$D$263:$D$264</definedName>
    <definedName name="OSRRefD22_19x_0" localSheetId="50">'301'!$D$92</definedName>
    <definedName name="OSRRefD22_19x_0" localSheetId="66">'310'!$D$98:$D$106</definedName>
    <definedName name="OSRRefD22_19x_0" localSheetId="75">'310 &amp; 491'!$D$107:$D$112</definedName>
    <definedName name="OSRRefD22_19x_0" localSheetId="60">'326'!$D$123</definedName>
    <definedName name="OSRRefD22_19x_0" localSheetId="58">'331'!$D$142:$D$143</definedName>
    <definedName name="OSRRefD22_19x_0" localSheetId="77">'405'!$D$96</definedName>
    <definedName name="OSRRefD22_19x_0" localSheetId="76">'491'!$D$106:$D$115</definedName>
    <definedName name="OSRRefD22_19x_0" localSheetId="39">'Div 2'!$D$95</definedName>
    <definedName name="OSRRefD22_19x_0" localSheetId="47">'Div 3'!$D$237:$D$240</definedName>
    <definedName name="OSRRefD22_19x_0" localSheetId="74">'Div 4'!$D$103:$D$107</definedName>
    <definedName name="OSRRefD22_19x_0" localSheetId="2">Summary!$D$271:$D$274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'204'!$D$32:$D$41</definedName>
    <definedName name="OSRRefD22_1x_0" localSheetId="45">'205'!$D$30:$D$39</definedName>
    <definedName name="OSRRefD22_1x_0" localSheetId="46">'206'!$D$30:$D$39</definedName>
    <definedName name="OSRRefD22_1x_0" localSheetId="48">'300'!$D$177:$D$186</definedName>
    <definedName name="OSRRefD22_1x_0" localSheetId="49">'300 &amp; 317'!$D$202:$D$211</definedName>
    <definedName name="OSRRefD22_1x_0" localSheetId="50">'301'!$D$30:$D$39</definedName>
    <definedName name="OSRRefD22_1x_0" localSheetId="51">'306'!$D$30:$D$39</definedName>
    <definedName name="OSRRefD22_1x_0" localSheetId="53">'307'!$D$89:$D$98</definedName>
    <definedName name="OSRRefD22_1x_0" localSheetId="55">'308'!$D$76:$D$85</definedName>
    <definedName name="OSRRefD22_1x_0" localSheetId="67">'309'!$D$36:$D$45</definedName>
    <definedName name="OSRRefD22_1x_0" localSheetId="66">'310'!$D$44:$D$53</definedName>
    <definedName name="OSRRefD22_1x_0" localSheetId="75">'310 &amp; 491'!$D$52:$D$61</definedName>
    <definedName name="OSRRefD22_1x_0" localSheetId="56">'311'!$D$76:$D$85</definedName>
    <definedName name="OSRRefD22_1x_0" localSheetId="68">'313'!$D$40:$D$49</definedName>
    <definedName name="OSRRefD22_1x_0" localSheetId="54">'314'!$D$68:$D$77</definedName>
    <definedName name="OSRRefD22_1x_0" localSheetId="59">'315'!$D$68:$D$77</definedName>
    <definedName name="OSRRefD22_1x_0" localSheetId="62">'316'!$D$45:$D$54</definedName>
    <definedName name="OSRRefD22_1x_0" localSheetId="65">'317'!$D$71:$D$80</definedName>
    <definedName name="OSRRefD22_1x_0" localSheetId="63">'320'!$D$40:$D$49</definedName>
    <definedName name="OSRRefD22_1x_0" localSheetId="69">'321'!$D$35:$D$44</definedName>
    <definedName name="OSRRefD22_1x_0" localSheetId="70">'322'!$D$36:$D$45</definedName>
    <definedName name="OSRRefD22_1x_0" localSheetId="71">'325'!$D$36:$D$45</definedName>
    <definedName name="OSRRefD22_1x_0" localSheetId="60">'326'!$D$67:$D$76</definedName>
    <definedName name="OSRRefD22_1x_0" localSheetId="72">'327'!$D$26</definedName>
    <definedName name="OSRRefD22_1x_0" localSheetId="52">'330'!$D$96:$D$105</definedName>
    <definedName name="OSRRefD22_1x_0" localSheetId="58">'331'!$D$83:$D$92</definedName>
    <definedName name="OSRRefD22_1x_0" localSheetId="61">'332'!$D$54:$D$63</definedName>
    <definedName name="OSRRefD22_1x_0" localSheetId="77">'405'!$D$36:$D$45</definedName>
    <definedName name="OSRRefD22_1x_0" localSheetId="78">'406'!$D$37:$D$46</definedName>
    <definedName name="OSRRefD22_1x_0" localSheetId="79">'411'!$D$31:$D$40</definedName>
    <definedName name="OSRRefD22_1x_0" localSheetId="80">'412'!$D$36:$D$45</definedName>
    <definedName name="OSRRefD22_1x_0" localSheetId="82">'413'!$D$37:$D$46</definedName>
    <definedName name="OSRRefD22_1x_0" localSheetId="83">'414'!$D$37:$D$46</definedName>
    <definedName name="OSRRefD22_1x_0" localSheetId="84">'415'!$D$36:$D$45</definedName>
    <definedName name="OSRRefD22_1x_0" localSheetId="85">'418'!$D$37:$D$46</definedName>
    <definedName name="OSRRefD22_1x_0" localSheetId="81">'420'!$D$32:$D$35</definedName>
    <definedName name="OSRRefD22_1x_0" localSheetId="86">'423'!$D$31:$D$40</definedName>
    <definedName name="OSRRefD22_1x_0" localSheetId="87">'424'!$D$36:$D$45</definedName>
    <definedName name="OSRRefD22_1x_0" localSheetId="88">'425'!$D$40:$D$49</definedName>
    <definedName name="OSRRefD22_1x_0" localSheetId="91">'430'!$D$30:$D$39</definedName>
    <definedName name="OSRRefD22_1x_0" localSheetId="92">'433'!$D$38:$D$47</definedName>
    <definedName name="OSRRefD22_1x_0" localSheetId="93">'435'!$D$36:$D$45</definedName>
    <definedName name="OSRRefD22_1x_0" localSheetId="94">'444'!$D$38:$D$47</definedName>
    <definedName name="OSRRefD22_1x_0" localSheetId="95">'450'!$D$38:$D$47</definedName>
    <definedName name="OSRRefD22_1x_0" localSheetId="89">'455'!$D$29:$D$38</definedName>
    <definedName name="OSRRefD22_1x_0" localSheetId="76">'491'!$D$46:$D$55</definedName>
    <definedName name="OSRRefD22_1x_0" localSheetId="90">'492'!$D$40:$D$49</definedName>
    <definedName name="OSRRefD22_1x_0" localSheetId="97">'501'!$D$31:$D$40</definedName>
    <definedName name="OSRRefD22_1x_0" localSheetId="39">'Div 2'!$D$33:$D$42</definedName>
    <definedName name="OSRRefD22_1x_0" localSheetId="47">'Div 3'!$D$182:$D$191</definedName>
    <definedName name="OSRRefD22_1x_0" localSheetId="74">'Div 4'!$D$46:$D$55</definedName>
    <definedName name="OSRRefD22_1x_0" localSheetId="96">'Div 5'!$D$31:$D$40</definedName>
    <definedName name="OSRRefD22_1x_0" localSheetId="64">'Div 6'!$D$71:$D$80</definedName>
    <definedName name="OSRRefD22_1x_0" localSheetId="2">Summary!$D$214:$D$223</definedName>
    <definedName name="OSRRefD22_20x_0" localSheetId="48">'300'!$D$241:$D$247</definedName>
    <definedName name="OSRRefD22_20x_0" localSheetId="49">'300 &amp; 317'!$D$266:$D$272</definedName>
    <definedName name="OSRRefD22_20x_0" localSheetId="50">'301'!$D$94</definedName>
    <definedName name="OSRRefD22_20x_0" localSheetId="66">'310'!$D$108</definedName>
    <definedName name="OSRRefD22_20x_0" localSheetId="75">'310 &amp; 491'!$D$114:$D$115</definedName>
    <definedName name="OSRRefD22_20x_0" localSheetId="60">'326'!$D$125</definedName>
    <definedName name="OSRRefD22_20x_0" localSheetId="58">'331'!$D$145</definedName>
    <definedName name="OSRRefD22_20x_0" localSheetId="76">'491'!$D$117:$D$118</definedName>
    <definedName name="OSRRefD22_20x_0" localSheetId="39">'Div 2'!$D$97:$D$98</definedName>
    <definedName name="OSRRefD22_20x_0" localSheetId="47">'Div 3'!$D$242:$D$247</definedName>
    <definedName name="OSRRefD22_20x_0" localSheetId="74">'Div 4'!$D$109:$D$110</definedName>
    <definedName name="OSRRefD22_20x_0" localSheetId="2">Summary!$D$276:$D$281</definedName>
    <definedName name="OSRRefD22_21x_0" localSheetId="48">'300'!$D$249:$D$250</definedName>
    <definedName name="OSRRefD22_21x_0" localSheetId="49">'300 &amp; 317'!$D$274:$D$275</definedName>
    <definedName name="OSRRefD22_21x_0" localSheetId="50">'301'!$D$96:$D$98</definedName>
    <definedName name="OSRRefD22_21x_0" localSheetId="66">'310'!$D$110</definedName>
    <definedName name="OSRRefD22_21x_0" localSheetId="75">'310 &amp; 491'!$D$117:$D$126</definedName>
    <definedName name="OSRRefD22_21x_0" localSheetId="58">'331'!$D$147:$D$148</definedName>
    <definedName name="OSRRefD22_21x_0" localSheetId="76">'491'!$D$120</definedName>
    <definedName name="OSRRefD22_21x_0" localSheetId="47">'Div 3'!$D$249:$D$250</definedName>
    <definedName name="OSRRefD22_21x_0" localSheetId="74">'Div 4'!$D$112:$D$121</definedName>
    <definedName name="OSRRefD22_21x_0" localSheetId="2">Summary!$D$283:$D$284</definedName>
    <definedName name="OSRRefD22_22x_0" localSheetId="48">'300'!$D$252</definedName>
    <definedName name="OSRRefD22_22x_0" localSheetId="49">'300 &amp; 317'!$D$277</definedName>
    <definedName name="OSRRefD22_22x_0" localSheetId="50">'301'!$D$100</definedName>
    <definedName name="OSRRefD22_22x_0" localSheetId="66">'310'!$D$112</definedName>
    <definedName name="OSRRefD22_22x_0" localSheetId="75">'310 &amp; 491'!$D$128:$D$129</definedName>
    <definedName name="OSRRefD22_22x_0" localSheetId="58">'331'!$D$150</definedName>
    <definedName name="OSRRefD22_22x_0" localSheetId="76">'491'!$D$122:$D$124</definedName>
    <definedName name="OSRRefD22_22x_0" localSheetId="47">'Div 3'!$D$252:$D$260</definedName>
    <definedName name="OSRRefD22_22x_0" localSheetId="74">'Div 4'!$D$123:$D$124</definedName>
    <definedName name="OSRRefD22_22x_0" localSheetId="2">Summary!$D$286:$D$295</definedName>
    <definedName name="OSRRefD22_23x_0" localSheetId="48">'300'!$D$254:$D$256</definedName>
    <definedName name="OSRRefD22_23x_0" localSheetId="49">'300 &amp; 317'!$D$279:$D$281</definedName>
    <definedName name="OSRRefD22_23x_0" localSheetId="66">'310'!$D$114</definedName>
    <definedName name="OSRRefD22_23x_0" localSheetId="75">'310 &amp; 491'!$D$131</definedName>
    <definedName name="OSRRefD22_23x_0" localSheetId="76">'491'!$D$126</definedName>
    <definedName name="OSRRefD22_23x_0" localSheetId="47">'Div 3'!$D$262:$D$263</definedName>
    <definedName name="OSRRefD22_23x_0" localSheetId="74">'Div 4'!$D$126</definedName>
    <definedName name="OSRRefD22_23x_0" localSheetId="2">Summary!$D$297:$D$298</definedName>
    <definedName name="OSRRefD22_24x_0" localSheetId="48">'300'!$D$258</definedName>
    <definedName name="OSRRefD22_24x_0" localSheetId="49">'300 &amp; 317'!$D$283</definedName>
    <definedName name="OSRRefD22_24x_0" localSheetId="75">'310 &amp; 491'!$D$133:$D$135</definedName>
    <definedName name="OSRRefD22_24x_0" localSheetId="47">'Div 3'!$D$265</definedName>
    <definedName name="OSRRefD22_24x_0" localSheetId="74">'Div 4'!$D$128:$D$130</definedName>
    <definedName name="OSRRefD22_24x_0" localSheetId="2">Summary!$D$300</definedName>
    <definedName name="OSRRefD22_25x_0" localSheetId="75">'310 &amp; 491'!$D$137</definedName>
    <definedName name="OSRRefD22_25x_0" localSheetId="47">'Div 3'!$D$267:$D$269</definedName>
    <definedName name="OSRRefD22_25x_0" localSheetId="74">'Div 4'!$D$132</definedName>
    <definedName name="OSRRefD22_25x_0" localSheetId="2">Summary!$D$302:$D$304</definedName>
    <definedName name="OSRRefD22_26x_0" localSheetId="47">'Div 3'!$D$271</definedName>
    <definedName name="OSRRefD22_26x_0" localSheetId="2">Summary!$D$306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'204'!$D$43</definedName>
    <definedName name="OSRRefD22_2x_0" localSheetId="45">'205'!$D$41</definedName>
    <definedName name="OSRRefD22_2x_0" localSheetId="46">'206'!$D$41</definedName>
    <definedName name="OSRRefD22_2x_0" localSheetId="48">'300'!$D$188</definedName>
    <definedName name="OSRRefD22_2x_0" localSheetId="49">'300 &amp; 317'!$D$213</definedName>
    <definedName name="OSRRefD22_2x_0" localSheetId="50">'301'!$D$41</definedName>
    <definedName name="OSRRefD22_2x_0" localSheetId="51">'306'!$D$41</definedName>
    <definedName name="OSRRefD22_2x_0" localSheetId="53">'307'!$D$100</definedName>
    <definedName name="OSRRefD22_2x_0" localSheetId="55">'308'!$D$87</definedName>
    <definedName name="OSRRefD22_2x_0" localSheetId="67">'309'!$D$47</definedName>
    <definedName name="OSRRefD22_2x_0" localSheetId="66">'310'!$D$55</definedName>
    <definedName name="OSRRefD22_2x_0" localSheetId="75">'310 &amp; 491'!$D$63</definedName>
    <definedName name="OSRRefD22_2x_0" localSheetId="56">'311'!$D$87</definedName>
    <definedName name="OSRRefD22_2x_0" localSheetId="68">'313'!$D$51</definedName>
    <definedName name="OSRRefD22_2x_0" localSheetId="54">'314'!$D$79</definedName>
    <definedName name="OSRRefD22_2x_0" localSheetId="59">'315'!$D$79</definedName>
    <definedName name="OSRRefD22_2x_0" localSheetId="62">'316'!$D$56</definedName>
    <definedName name="OSRRefD22_2x_0" localSheetId="65">'317'!$D$82</definedName>
    <definedName name="OSRRefD22_2x_0" localSheetId="63">'320'!$D$51</definedName>
    <definedName name="OSRRefD22_2x_0" localSheetId="69">'321'!$D$46</definedName>
    <definedName name="OSRRefD22_2x_0" localSheetId="70">'322'!$D$47</definedName>
    <definedName name="OSRRefD22_2x_0" localSheetId="71">'325'!$D$47</definedName>
    <definedName name="OSRRefD22_2x_0" localSheetId="60">'326'!$D$78</definedName>
    <definedName name="OSRRefD22_2x_0" localSheetId="72">'327'!$D$28</definedName>
    <definedName name="OSRRefD22_2x_0" localSheetId="52">'330'!$D$107</definedName>
    <definedName name="OSRRefD22_2x_0" localSheetId="58">'331'!$D$94</definedName>
    <definedName name="OSRRefD22_2x_0" localSheetId="61">'332'!$D$65</definedName>
    <definedName name="OSRRefD22_2x_0" localSheetId="77">'405'!$D$47</definedName>
    <definedName name="OSRRefD22_2x_0" localSheetId="78">'406'!$D$48</definedName>
    <definedName name="OSRRefD22_2x_0" localSheetId="79">'411'!$D$42</definedName>
    <definedName name="OSRRefD22_2x_0" localSheetId="80">'412'!$D$47</definedName>
    <definedName name="OSRRefD22_2x_0" localSheetId="82">'413'!$D$48</definedName>
    <definedName name="OSRRefD22_2x_0" localSheetId="83">'414'!$D$48</definedName>
    <definedName name="OSRRefD22_2x_0" localSheetId="84">'415'!$D$47</definedName>
    <definedName name="OSRRefD22_2x_0" localSheetId="85">'418'!$D$48</definedName>
    <definedName name="OSRRefD22_2x_0" localSheetId="81">'420'!$D$37</definedName>
    <definedName name="OSRRefD22_2x_0" localSheetId="86">'423'!$D$42</definedName>
    <definedName name="OSRRefD22_2x_0" localSheetId="87">'424'!$D$47</definedName>
    <definedName name="OSRRefD22_2x_0" localSheetId="88">'425'!$D$51</definedName>
    <definedName name="OSRRefD22_2x_0" localSheetId="91">'430'!$D$41</definedName>
    <definedName name="OSRRefD22_2x_0" localSheetId="92">'433'!$D$49</definedName>
    <definedName name="OSRRefD22_2x_0" localSheetId="93">'435'!$D$47</definedName>
    <definedName name="OSRRefD22_2x_0" localSheetId="94">'444'!$D$49</definedName>
    <definedName name="OSRRefD22_2x_0" localSheetId="95">'450'!$D$49</definedName>
    <definedName name="OSRRefD22_2x_0" localSheetId="76">'491'!$D$57</definedName>
    <definedName name="OSRRefD22_2x_0" localSheetId="90">'492'!$D$51</definedName>
    <definedName name="OSRRefD22_2x_0" localSheetId="97">'501'!$D$42</definedName>
    <definedName name="OSRRefD22_2x_0" localSheetId="39">'Div 2'!$D$44</definedName>
    <definedName name="OSRRefD22_2x_0" localSheetId="47">'Div 3'!$D$193</definedName>
    <definedName name="OSRRefD22_2x_0" localSheetId="74">'Div 4'!$D$57</definedName>
    <definedName name="OSRRefD22_2x_0" localSheetId="96">'Div 5'!$D$42</definedName>
    <definedName name="OSRRefD22_2x_0" localSheetId="64">'Div 6'!$D$82</definedName>
    <definedName name="OSRRefD22_2x_0" localSheetId="2">Summary!$D$225</definedName>
    <definedName name="OSRRefD22_3x_0" localSheetId="40">'200'!$D$26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'204'!$D$45:$D$46</definedName>
    <definedName name="OSRRefD22_3x_0" localSheetId="45">'205'!$D$43</definedName>
    <definedName name="OSRRefD22_3x_0" localSheetId="46">'206'!$D$43</definedName>
    <definedName name="OSRRefD22_3x_0" localSheetId="48">'300'!$D$190:$D$191</definedName>
    <definedName name="OSRRefD22_3x_0" localSheetId="49">'300 &amp; 317'!$D$215:$D$216</definedName>
    <definedName name="OSRRefD22_3x_0" localSheetId="50">'301'!$D$43:$D$44</definedName>
    <definedName name="OSRRefD22_3x_0" localSheetId="51">'306'!$D$43</definedName>
    <definedName name="OSRRefD22_3x_0" localSheetId="53">'307'!$D$102</definedName>
    <definedName name="OSRRefD22_3x_0" localSheetId="55">'308'!$D$89:$D$90</definedName>
    <definedName name="OSRRefD22_3x_0" localSheetId="67">'309'!$D$49</definedName>
    <definedName name="OSRRefD22_3x_0" localSheetId="66">'310'!$D$57</definedName>
    <definedName name="OSRRefD22_3x_0" localSheetId="75">'310 &amp; 491'!$D$65</definedName>
    <definedName name="OSRRefD22_3x_0" localSheetId="56">'311'!$D$89:$D$90</definedName>
    <definedName name="OSRRefD22_3x_0" localSheetId="68">'313'!$D$53</definedName>
    <definedName name="OSRRefD22_3x_0" localSheetId="54">'314'!$D$81:$D$82</definedName>
    <definedName name="OSRRefD22_3x_0" localSheetId="59">'315'!$D$81:$D$82</definedName>
    <definedName name="OSRRefD22_3x_0" localSheetId="62">'316'!$D$58</definedName>
    <definedName name="OSRRefD22_3x_0" localSheetId="65">'317'!$D$84</definedName>
    <definedName name="OSRRefD22_3x_0" localSheetId="63">'320'!$D$53</definedName>
    <definedName name="OSRRefD22_3x_0" localSheetId="69">'321'!$D$48</definedName>
    <definedName name="OSRRefD22_3x_0" localSheetId="70">'322'!$D$49</definedName>
    <definedName name="OSRRefD22_3x_0" localSheetId="71">'325'!$D$49</definedName>
    <definedName name="OSRRefD22_3x_0" localSheetId="60">'326'!$D$80:$D$81</definedName>
    <definedName name="OSRRefD22_3x_0" localSheetId="52">'330'!$D$109</definedName>
    <definedName name="OSRRefD22_3x_0" localSheetId="58">'331'!$D$96:$D$97</definedName>
    <definedName name="OSRRefD22_3x_0" localSheetId="61">'332'!$D$67</definedName>
    <definedName name="OSRRefD22_3x_0" localSheetId="77">'405'!$D$49</definedName>
    <definedName name="OSRRefD22_3x_0" localSheetId="78">'406'!$D$50</definedName>
    <definedName name="OSRRefD22_3x_0" localSheetId="79">'411'!$D$44:$D$47</definedName>
    <definedName name="OSRRefD22_3x_0" localSheetId="80">'412'!$D$49</definedName>
    <definedName name="OSRRefD22_3x_0" localSheetId="82">'413'!$D$50</definedName>
    <definedName name="OSRRefD22_3x_0" localSheetId="83">'414'!$D$50</definedName>
    <definedName name="OSRRefD22_3x_0" localSheetId="84">'415'!$D$49</definedName>
    <definedName name="OSRRefD22_3x_0" localSheetId="85">'418'!$D$50</definedName>
    <definedName name="OSRRefD22_3x_0" localSheetId="81">'420'!$D$39</definedName>
    <definedName name="OSRRefD22_3x_0" localSheetId="86">'423'!$D$44</definedName>
    <definedName name="OSRRefD22_3x_0" localSheetId="87">'424'!$D$49</definedName>
    <definedName name="OSRRefD22_3x_0" localSheetId="88">'425'!$D$53</definedName>
    <definedName name="OSRRefD22_3x_0" localSheetId="91">'430'!$D$43</definedName>
    <definedName name="OSRRefD22_3x_0" localSheetId="92">'433'!$D$51</definedName>
    <definedName name="OSRRefD22_3x_0" localSheetId="93">'435'!$D$49</definedName>
    <definedName name="OSRRefD22_3x_0" localSheetId="94">'444'!$D$51</definedName>
    <definedName name="OSRRefD22_3x_0" localSheetId="95">'450'!$D$51:$D$52</definedName>
    <definedName name="OSRRefD22_3x_0" localSheetId="76">'491'!$D$59</definedName>
    <definedName name="OSRRefD22_3x_0" localSheetId="90">'492'!$D$53:$D$54</definedName>
    <definedName name="OSRRefD22_3x_0" localSheetId="97">'501'!$D$44</definedName>
    <definedName name="OSRRefD22_3x_0" localSheetId="39">'Div 2'!$D$46</definedName>
    <definedName name="OSRRefD22_3x_0" localSheetId="47">'Div 3'!$D$195:$D$196</definedName>
    <definedName name="OSRRefD22_3x_0" localSheetId="74">'Div 4'!$D$59:$D$60</definedName>
    <definedName name="OSRRefD22_3x_0" localSheetId="96">'Div 5'!$D$44</definedName>
    <definedName name="OSRRefD22_3x_0" localSheetId="64">'Div 6'!$D$84</definedName>
    <definedName name="OSRRefD22_3x_0" localSheetId="2">Summary!$D$227:$D$228</definedName>
    <definedName name="OSRRefD22_4x_0" localSheetId="40">'200'!$D$28:$D$29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'204'!$D$48</definedName>
    <definedName name="OSRRefD22_4x_0" localSheetId="45">'205'!$D$45</definedName>
    <definedName name="OSRRefD22_4x_0" localSheetId="46">'206'!$D$45</definedName>
    <definedName name="OSRRefD22_4x_0" localSheetId="48">'300'!$D$193</definedName>
    <definedName name="OSRRefD22_4x_0" localSheetId="49">'300 &amp; 317'!$D$218</definedName>
    <definedName name="OSRRefD22_4x_0" localSheetId="50">'301'!$D$46</definedName>
    <definedName name="OSRRefD22_4x_0" localSheetId="51">'306'!$D$45</definedName>
    <definedName name="OSRRefD22_4x_0" localSheetId="53">'307'!$D$104:$D$105</definedName>
    <definedName name="OSRRefD22_4x_0" localSheetId="55">'308'!$D$92</definedName>
    <definedName name="OSRRefD22_4x_0" localSheetId="67">'309'!$D$51</definedName>
    <definedName name="OSRRefD22_4x_0" localSheetId="66">'310'!$D$59</definedName>
    <definedName name="OSRRefD22_4x_0" localSheetId="75">'310 &amp; 491'!$D$67</definedName>
    <definedName name="OSRRefD22_4x_0" localSheetId="56">'311'!$D$92</definedName>
    <definedName name="OSRRefD22_4x_0" localSheetId="68">'313'!$D$55</definedName>
    <definedName name="OSRRefD22_4x_0" localSheetId="54">'314'!$D$84</definedName>
    <definedName name="OSRRefD22_4x_0" localSheetId="59">'315'!$D$84</definedName>
    <definedName name="OSRRefD22_4x_0" localSheetId="62">'316'!$D$60</definedName>
    <definedName name="OSRRefD22_4x_0" localSheetId="65">'317'!$D$86</definedName>
    <definedName name="OSRRefD22_4x_0" localSheetId="63">'320'!$D$55:$D$56</definedName>
    <definedName name="OSRRefD22_4x_0" localSheetId="69">'321'!$D$50</definedName>
    <definedName name="OSRRefD22_4x_0" localSheetId="70">'322'!$D$51</definedName>
    <definedName name="OSRRefD22_4x_0" localSheetId="71">'325'!$D$51</definedName>
    <definedName name="OSRRefD22_4x_0" localSheetId="60">'326'!$D$83</definedName>
    <definedName name="OSRRefD22_4x_0" localSheetId="52">'330'!$D$111:$D$112</definedName>
    <definedName name="OSRRefD22_4x_0" localSheetId="58">'331'!$D$99</definedName>
    <definedName name="OSRRefD22_4x_0" localSheetId="61">'332'!$D$69</definedName>
    <definedName name="OSRRefD22_4x_0" localSheetId="77">'405'!$D$51</definedName>
    <definedName name="OSRRefD22_4x_0" localSheetId="78">'406'!$D$52</definedName>
    <definedName name="OSRRefD22_4x_0" localSheetId="79">'411'!$D$49</definedName>
    <definedName name="OSRRefD22_4x_0" localSheetId="80">'412'!$D$51</definedName>
    <definedName name="OSRRefD22_4x_0" localSheetId="82">'413'!$D$52</definedName>
    <definedName name="OSRRefD22_4x_0" localSheetId="83">'414'!$D$52</definedName>
    <definedName name="OSRRefD22_4x_0" localSheetId="84">'415'!$D$51</definedName>
    <definedName name="OSRRefD22_4x_0" localSheetId="85">'418'!$D$52</definedName>
    <definedName name="OSRRefD22_4x_0" localSheetId="81">'420'!$D$41</definedName>
    <definedName name="OSRRefD22_4x_0" localSheetId="86">'423'!$D$46</definedName>
    <definedName name="OSRRefD22_4x_0" localSheetId="87">'424'!$D$51</definedName>
    <definedName name="OSRRefD22_4x_0" localSheetId="88">'425'!$D$55</definedName>
    <definedName name="OSRRefD22_4x_0" localSheetId="91">'430'!$D$45</definedName>
    <definedName name="OSRRefD22_4x_0" localSheetId="92">'433'!$D$53</definedName>
    <definedName name="OSRRefD22_4x_0" localSheetId="93">'435'!$D$51</definedName>
    <definedName name="OSRRefD22_4x_0" localSheetId="94">'444'!$D$53</definedName>
    <definedName name="OSRRefD22_4x_0" localSheetId="95">'450'!$D$54</definedName>
    <definedName name="OSRRefD22_4x_0" localSheetId="76">'491'!$D$61</definedName>
    <definedName name="OSRRefD22_4x_0" localSheetId="90">'492'!$D$56</definedName>
    <definedName name="OSRRefD22_4x_0" localSheetId="97">'501'!$D$46</definedName>
    <definedName name="OSRRefD22_4x_0" localSheetId="39">'Div 2'!$D$48</definedName>
    <definedName name="OSRRefD22_4x_0" localSheetId="47">'Div 3'!$D$198</definedName>
    <definedName name="OSRRefD22_4x_0" localSheetId="74">'Div 4'!$D$62</definedName>
    <definedName name="OSRRefD22_4x_0" localSheetId="96">'Div 5'!$D$46</definedName>
    <definedName name="OSRRefD22_4x_0" localSheetId="64">'Div 6'!$D$86</definedName>
    <definedName name="OSRRefD22_4x_0" localSheetId="2">Summary!$D$230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'204'!$D$50</definedName>
    <definedName name="OSRRefD22_5x_0" localSheetId="45">'205'!$D$47:$D$48</definedName>
    <definedName name="OSRRefD22_5x_0" localSheetId="46">'206'!$D$47</definedName>
    <definedName name="OSRRefD22_5x_0" localSheetId="48">'300'!$D$195:$D$198</definedName>
    <definedName name="OSRRefD22_5x_0" localSheetId="49">'300 &amp; 317'!$D$220:$D$223</definedName>
    <definedName name="OSRRefD22_5x_0" localSheetId="50">'301'!$D$48:$D$51</definedName>
    <definedName name="OSRRefD22_5x_0" localSheetId="51">'306'!$D$47</definedName>
    <definedName name="OSRRefD22_5x_0" localSheetId="53">'307'!$D$107</definedName>
    <definedName name="OSRRefD22_5x_0" localSheetId="55">'308'!$D$94</definedName>
    <definedName name="OSRRefD22_5x_0" localSheetId="67">'309'!$D$53:$D$54</definedName>
    <definedName name="OSRRefD22_5x_0" localSheetId="66">'310'!$D$61:$D$63</definedName>
    <definedName name="OSRRefD22_5x_0" localSheetId="75">'310 &amp; 491'!$D$69:$D$72</definedName>
    <definedName name="OSRRefD22_5x_0" localSheetId="56">'311'!$D$94</definedName>
    <definedName name="OSRRefD22_5x_0" localSheetId="68">'313'!$D$57</definedName>
    <definedName name="OSRRefD22_5x_0" localSheetId="54">'314'!$D$86</definedName>
    <definedName name="OSRRefD22_5x_0" localSheetId="59">'315'!$D$86:$D$87</definedName>
    <definedName name="OSRRefD22_5x_0" localSheetId="62">'316'!$D$62</definedName>
    <definedName name="OSRRefD22_5x_0" localSheetId="65">'317'!$D$88</definedName>
    <definedName name="OSRRefD22_5x_0" localSheetId="63">'320'!$D$58</definedName>
    <definedName name="OSRRefD22_5x_0" localSheetId="69">'321'!$D$52</definedName>
    <definedName name="OSRRefD22_5x_0" localSheetId="70">'322'!$D$53:$D$54</definedName>
    <definedName name="OSRRefD22_5x_0" localSheetId="71">'325'!$D$53:$D$55</definedName>
    <definedName name="OSRRefD22_5x_0" localSheetId="60">'326'!$D$85</definedName>
    <definedName name="OSRRefD22_5x_0" localSheetId="52">'330'!$D$114</definedName>
    <definedName name="OSRRefD22_5x_0" localSheetId="58">'331'!$D$101:$D$102</definedName>
    <definedName name="OSRRefD22_5x_0" localSheetId="61">'332'!$D$71</definedName>
    <definedName name="OSRRefD22_5x_0" localSheetId="77">'405'!$D$53:$D$55</definedName>
    <definedName name="OSRRefD22_5x_0" localSheetId="78">'406'!$D$54:$D$55</definedName>
    <definedName name="OSRRefD22_5x_0" localSheetId="79">'411'!$D$51</definedName>
    <definedName name="OSRRefD22_5x_0" localSheetId="80">'412'!$D$53:$D$55</definedName>
    <definedName name="OSRRefD22_5x_0" localSheetId="82">'413'!$D$54</definedName>
    <definedName name="OSRRefD22_5x_0" localSheetId="83">'414'!$D$54:$D$55</definedName>
    <definedName name="OSRRefD22_5x_0" localSheetId="84">'415'!$D$53:$D$55</definedName>
    <definedName name="OSRRefD22_5x_0" localSheetId="85">'418'!$D$54:$D$56</definedName>
    <definedName name="OSRRefD22_5x_0" localSheetId="81">'420'!$D$43:$D$44</definedName>
    <definedName name="OSRRefD22_5x_0" localSheetId="86">'423'!$D$48</definedName>
    <definedName name="OSRRefD22_5x_0" localSheetId="87">'424'!$D$53</definedName>
    <definedName name="OSRRefD22_5x_0" localSheetId="88">'425'!$D$57:$D$58</definedName>
    <definedName name="OSRRefD22_5x_0" localSheetId="91">'430'!$D$47</definedName>
    <definedName name="OSRRefD22_5x_0" localSheetId="92">'433'!$D$55</definedName>
    <definedName name="OSRRefD22_5x_0" localSheetId="93">'435'!$D$53</definedName>
    <definedName name="OSRRefD22_5x_0" localSheetId="94">'444'!$D$55</definedName>
    <definedName name="OSRRefD22_5x_0" localSheetId="95">'450'!$D$56</definedName>
    <definedName name="OSRRefD22_5x_0" localSheetId="76">'491'!$D$63:$D$66</definedName>
    <definedName name="OSRRefD22_5x_0" localSheetId="90">'492'!$D$58:$D$59</definedName>
    <definedName name="OSRRefD22_5x_0" localSheetId="97">'501'!$D$48</definedName>
    <definedName name="OSRRefD22_5x_0" localSheetId="39">'Div 2'!$D$50:$D$51</definedName>
    <definedName name="OSRRefD22_5x_0" localSheetId="47">'Div 3'!$D$200:$D$203</definedName>
    <definedName name="OSRRefD22_5x_0" localSheetId="74">'Div 4'!$D$64:$D$67</definedName>
    <definedName name="OSRRefD22_5x_0" localSheetId="96">'Div 5'!$D$48</definedName>
    <definedName name="OSRRefD22_5x_0" localSheetId="64">'Div 6'!$D$88</definedName>
    <definedName name="OSRRefD22_5x_0" localSheetId="2">Summary!$D$232:$D$235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'204'!$D$52</definedName>
    <definedName name="OSRRefD22_6x_0" localSheetId="45">'205'!$D$50</definedName>
    <definedName name="OSRRefD22_6x_0" localSheetId="46">'206'!$D$49</definedName>
    <definedName name="OSRRefD22_6x_0" localSheetId="48">'300'!$D$200:$D$201</definedName>
    <definedName name="OSRRefD22_6x_0" localSheetId="49">'300 &amp; 317'!$D$225:$D$226</definedName>
    <definedName name="OSRRefD22_6x_0" localSheetId="50">'301'!$D$53:$D$54</definedName>
    <definedName name="OSRRefD22_6x_0" localSheetId="51">'306'!$D$49</definedName>
    <definedName name="OSRRefD22_6x_0" localSheetId="53">'307'!$D$109</definedName>
    <definedName name="OSRRefD22_6x_0" localSheetId="55">'308'!$D$96:$D$97</definedName>
    <definedName name="OSRRefD22_6x_0" localSheetId="67">'309'!$D$56</definedName>
    <definedName name="OSRRefD22_6x_0" localSheetId="66">'310'!$D$65</definedName>
    <definedName name="OSRRefD22_6x_0" localSheetId="75">'310 &amp; 491'!$D$74</definedName>
    <definedName name="OSRRefD22_6x_0" localSheetId="56">'311'!$D$96:$D$97</definedName>
    <definedName name="OSRRefD22_6x_0" localSheetId="68">'313'!$D$59</definedName>
    <definedName name="OSRRefD22_6x_0" localSheetId="54">'314'!$D$88</definedName>
    <definedName name="OSRRefD22_6x_0" localSheetId="59">'315'!$D$89</definedName>
    <definedName name="OSRRefD22_6x_0" localSheetId="62">'316'!$D$64</definedName>
    <definedName name="OSRRefD22_6x_0" localSheetId="65">'317'!$D$90</definedName>
    <definedName name="OSRRefD22_6x_0" localSheetId="63">'320'!$D$60</definedName>
    <definedName name="OSRRefD22_6x_0" localSheetId="69">'321'!$D$54</definedName>
    <definedName name="OSRRefD22_6x_0" localSheetId="70">'322'!$D$56</definedName>
    <definedName name="OSRRefD22_6x_0" localSheetId="71">'325'!$D$57</definedName>
    <definedName name="OSRRefD22_6x_0" localSheetId="60">'326'!$D$87</definedName>
    <definedName name="OSRRefD22_6x_0" localSheetId="52">'330'!$D$116</definedName>
    <definedName name="OSRRefD22_6x_0" localSheetId="58">'331'!$D$104</definedName>
    <definedName name="OSRRefD22_6x_0" localSheetId="61">'332'!$D$73</definedName>
    <definedName name="OSRRefD22_6x_0" localSheetId="77">'405'!$D$57</definedName>
    <definedName name="OSRRefD22_6x_0" localSheetId="78">'406'!$D$57</definedName>
    <definedName name="OSRRefD22_6x_0" localSheetId="79">'411'!$D$53</definedName>
    <definedName name="OSRRefD22_6x_0" localSheetId="80">'412'!$D$57</definedName>
    <definedName name="OSRRefD22_6x_0" localSheetId="82">'413'!$D$56</definedName>
    <definedName name="OSRRefD22_6x_0" localSheetId="83">'414'!$D$57</definedName>
    <definedName name="OSRRefD22_6x_0" localSheetId="84">'415'!$D$57</definedName>
    <definedName name="OSRRefD22_6x_0" localSheetId="85">'418'!$D$58</definedName>
    <definedName name="OSRRefD22_6x_0" localSheetId="81">'420'!$D$46</definedName>
    <definedName name="OSRRefD22_6x_0" localSheetId="87">'424'!$D$55</definedName>
    <definedName name="OSRRefD22_6x_0" localSheetId="88">'425'!$D$60</definedName>
    <definedName name="OSRRefD22_6x_0" localSheetId="91">'430'!$D$49</definedName>
    <definedName name="OSRRefD22_6x_0" localSheetId="92">'433'!$D$57</definedName>
    <definedName name="OSRRefD22_6x_0" localSheetId="93">'435'!$D$55</definedName>
    <definedName name="OSRRefD22_6x_0" localSheetId="94">'444'!$D$57</definedName>
    <definedName name="OSRRefD22_6x_0" localSheetId="95">'450'!$D$58</definedName>
    <definedName name="OSRRefD22_6x_0" localSheetId="76">'491'!$D$68</definedName>
    <definedName name="OSRRefD22_6x_0" localSheetId="90">'492'!$D$61</definedName>
    <definedName name="OSRRefD22_6x_0" localSheetId="97">'501'!$D$50</definedName>
    <definedName name="OSRRefD22_6x_0" localSheetId="39">'Div 2'!$D$53:$D$54</definedName>
    <definedName name="OSRRefD22_6x_0" localSheetId="47">'Div 3'!$D$205:$D$206</definedName>
    <definedName name="OSRRefD22_6x_0" localSheetId="74">'Div 4'!$D$69</definedName>
    <definedName name="OSRRefD22_6x_0" localSheetId="96">'Div 5'!$D$50</definedName>
    <definedName name="OSRRefD22_6x_0" localSheetId="64">'Div 6'!$D$90</definedName>
    <definedName name="OSRRefD22_6x_0" localSheetId="2">Summary!$D$237:$D$238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'204'!$D$54:$D$57</definedName>
    <definedName name="OSRRefD22_7x_0" localSheetId="45">'205'!$D$52:$D$53</definedName>
    <definedName name="OSRRefD22_7x_0" localSheetId="46">'206'!$D$51:$D$52</definedName>
    <definedName name="OSRRefD22_7x_0" localSheetId="48">'300'!$D$203:$D$204</definedName>
    <definedName name="OSRRefD22_7x_0" localSheetId="49">'300 &amp; 317'!$D$228:$D$229</definedName>
    <definedName name="OSRRefD22_7x_0" localSheetId="50">'301'!$D$56:$D$57</definedName>
    <definedName name="OSRRefD22_7x_0" localSheetId="51">'306'!$D$51:$D$52</definedName>
    <definedName name="OSRRefD22_7x_0" localSheetId="53">'307'!$D$111</definedName>
    <definedName name="OSRRefD22_7x_0" localSheetId="55">'308'!$D$99</definedName>
    <definedName name="OSRRefD22_7x_0" localSheetId="67">'309'!$D$58</definedName>
    <definedName name="OSRRefD22_7x_0" localSheetId="66">'310'!$D$67</definedName>
    <definedName name="OSRRefD22_7x_0" localSheetId="75">'310 &amp; 491'!$D$76</definedName>
    <definedName name="OSRRefD22_7x_0" localSheetId="56">'311'!$D$99</definedName>
    <definedName name="OSRRefD22_7x_0" localSheetId="68">'313'!$D$61</definedName>
    <definedName name="OSRRefD22_7x_0" localSheetId="54">'314'!$D$90</definedName>
    <definedName name="OSRRefD22_7x_0" localSheetId="59">'315'!$D$91</definedName>
    <definedName name="OSRRefD22_7x_0" localSheetId="62">'316'!$D$66</definedName>
    <definedName name="OSRRefD22_7x_0" localSheetId="65">'317'!$D$92</definedName>
    <definedName name="OSRRefD22_7x_0" localSheetId="63">'320'!$D$62:$D$63</definedName>
    <definedName name="OSRRefD22_7x_0" localSheetId="69">'321'!$D$56</definedName>
    <definedName name="OSRRefD22_7x_0" localSheetId="70">'322'!$D$58</definedName>
    <definedName name="OSRRefD22_7x_0" localSheetId="71">'325'!$D$59</definedName>
    <definedName name="OSRRefD22_7x_0" localSheetId="60">'326'!$D$89</definedName>
    <definedName name="OSRRefD22_7x_0" localSheetId="52">'330'!$D$118</definedName>
    <definedName name="OSRRefD22_7x_0" localSheetId="58">'331'!$D$106</definedName>
    <definedName name="OSRRefD22_7x_0" localSheetId="61">'332'!$D$75:$D$76</definedName>
    <definedName name="OSRRefD22_7x_0" localSheetId="77">'405'!$D$59</definedName>
    <definedName name="OSRRefD22_7x_0" localSheetId="78">'406'!$D$59</definedName>
    <definedName name="OSRRefD22_7x_0" localSheetId="79">'411'!$D$55</definedName>
    <definedName name="OSRRefD22_7x_0" localSheetId="80">'412'!$D$59</definedName>
    <definedName name="OSRRefD22_7x_0" localSheetId="82">'413'!$D$58</definedName>
    <definedName name="OSRRefD22_7x_0" localSheetId="83">'414'!$D$59</definedName>
    <definedName name="OSRRefD22_7x_0" localSheetId="84">'415'!$D$59</definedName>
    <definedName name="OSRRefD22_7x_0" localSheetId="85">'418'!$D$60</definedName>
    <definedName name="OSRRefD22_7x_0" localSheetId="87">'424'!$D$57:$D$58</definedName>
    <definedName name="OSRRefD22_7x_0" localSheetId="88">'425'!$D$62</definedName>
    <definedName name="OSRRefD22_7x_0" localSheetId="91">'430'!$D$51:$D$53</definedName>
    <definedName name="OSRRefD22_7x_0" localSheetId="92">'433'!$D$59</definedName>
    <definedName name="OSRRefD22_7x_0" localSheetId="93">'435'!$D$57:$D$59</definedName>
    <definedName name="OSRRefD22_7x_0" localSheetId="94">'444'!$D$59</definedName>
    <definedName name="OSRRefD22_7x_0" localSheetId="95">'450'!$D$60</definedName>
    <definedName name="OSRRefD22_7x_0" localSheetId="76">'491'!$D$70</definedName>
    <definedName name="OSRRefD22_7x_0" localSheetId="90">'492'!$D$63</definedName>
    <definedName name="OSRRefD22_7x_0" localSheetId="97">'501'!$D$52</definedName>
    <definedName name="OSRRefD22_7x_0" localSheetId="39">'Div 2'!$D$56</definedName>
    <definedName name="OSRRefD22_7x_0" localSheetId="47">'Div 3'!$D$208:$D$209</definedName>
    <definedName name="OSRRefD22_7x_0" localSheetId="74">'Div 4'!$D$71:$D$72</definedName>
    <definedName name="OSRRefD22_7x_0" localSheetId="96">'Div 5'!$D$52</definedName>
    <definedName name="OSRRefD22_7x_0" localSheetId="64">'Div 6'!$D$92</definedName>
    <definedName name="OSRRefD22_7x_0" localSheetId="2">Summary!$D$240:$D$242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'204'!$D$59</definedName>
    <definedName name="OSRRefD22_8x_0" localSheetId="45">'205'!$D$55</definedName>
    <definedName name="OSRRefD22_8x_0" localSheetId="46">'206'!$D$54</definedName>
    <definedName name="OSRRefD22_8x_0" localSheetId="48">'300'!$D$206</definedName>
    <definedName name="OSRRefD22_8x_0" localSheetId="49">'300 &amp; 317'!$D$231</definedName>
    <definedName name="OSRRefD22_8x_0" localSheetId="50">'301'!$D$59</definedName>
    <definedName name="OSRRefD22_8x_0" localSheetId="51">'306'!$D$54:$D$57</definedName>
    <definedName name="OSRRefD22_8x_0" localSheetId="53">'307'!$D$113:$D$114</definedName>
    <definedName name="OSRRefD22_8x_0" localSheetId="55">'308'!$D$101</definedName>
    <definedName name="OSRRefD22_8x_0" localSheetId="67">'309'!$D$60</definedName>
    <definedName name="OSRRefD22_8x_0" localSheetId="66">'310'!$D$69</definedName>
    <definedName name="OSRRefD22_8x_0" localSheetId="75">'310 &amp; 491'!$D$78</definedName>
    <definedName name="OSRRefD22_8x_0" localSheetId="56">'311'!$D$101</definedName>
    <definedName name="OSRRefD22_8x_0" localSheetId="68">'313'!$D$63</definedName>
    <definedName name="OSRRefD22_8x_0" localSheetId="54">'314'!$D$92</definedName>
    <definedName name="OSRRefD22_8x_0" localSheetId="59">'315'!$D$93</definedName>
    <definedName name="OSRRefD22_8x_0" localSheetId="62">'316'!$D$68</definedName>
    <definedName name="OSRRefD22_8x_0" localSheetId="65">'317'!$D$94</definedName>
    <definedName name="OSRRefD22_8x_0" localSheetId="63">'320'!$D$65</definedName>
    <definedName name="OSRRefD22_8x_0" localSheetId="69">'321'!$D$58</definedName>
    <definedName name="OSRRefD22_8x_0" localSheetId="70">'322'!$D$60</definedName>
    <definedName name="OSRRefD22_8x_0" localSheetId="71">'325'!$D$61</definedName>
    <definedName name="OSRRefD22_8x_0" localSheetId="60">'326'!$D$91</definedName>
    <definedName name="OSRRefD22_8x_0" localSheetId="52">'330'!$D$120</definedName>
    <definedName name="OSRRefD22_8x_0" localSheetId="58">'331'!$D$108:$D$109</definedName>
    <definedName name="OSRRefD22_8x_0" localSheetId="61">'332'!$D$78</definedName>
    <definedName name="OSRRefD22_8x_0" localSheetId="77">'405'!$D$61</definedName>
    <definedName name="OSRRefD22_8x_0" localSheetId="78">'406'!$D$61</definedName>
    <definedName name="OSRRefD22_8x_0" localSheetId="79">'411'!$D$57</definedName>
    <definedName name="OSRRefD22_8x_0" localSheetId="80">'412'!$D$61</definedName>
    <definedName name="OSRRefD22_8x_0" localSheetId="82">'413'!$D$60:$D$62</definedName>
    <definedName name="OSRRefD22_8x_0" localSheetId="83">'414'!$D$61</definedName>
    <definedName name="OSRRefD22_8x_0" localSheetId="84">'415'!$D$61</definedName>
    <definedName name="OSRRefD22_8x_0" localSheetId="85">'418'!$D$62</definedName>
    <definedName name="OSRRefD22_8x_0" localSheetId="87">'424'!$D$60:$D$62</definedName>
    <definedName name="OSRRefD22_8x_0" localSheetId="88">'425'!$D$64</definedName>
    <definedName name="OSRRefD22_8x_0" localSheetId="91">'430'!$D$55</definedName>
    <definedName name="OSRRefD22_8x_0" localSheetId="92">'433'!$D$61</definedName>
    <definedName name="OSRRefD22_8x_0" localSheetId="93">'435'!$D$61</definedName>
    <definedName name="OSRRefD22_8x_0" localSheetId="94">'444'!$D$61</definedName>
    <definedName name="OSRRefD22_8x_0" localSheetId="95">'450'!$D$62</definedName>
    <definedName name="OSRRefD22_8x_0" localSheetId="76">'491'!$D$72</definedName>
    <definedName name="OSRRefD22_8x_0" localSheetId="90">'492'!$D$65</definedName>
    <definedName name="OSRRefD22_8x_0" localSheetId="97">'501'!$D$54</definedName>
    <definedName name="OSRRefD22_8x_0" localSheetId="39">'Div 2'!$D$58</definedName>
    <definedName name="OSRRefD22_8x_0" localSheetId="47">'Div 3'!$D$211</definedName>
    <definedName name="OSRRefD22_8x_0" localSheetId="74">'Div 4'!$D$74</definedName>
    <definedName name="OSRRefD22_8x_0" localSheetId="96">'Div 5'!$D$54</definedName>
    <definedName name="OSRRefD22_8x_0" localSheetId="64">'Div 6'!$D$94</definedName>
    <definedName name="OSRRefD22_8x_0" localSheetId="2">Summary!$D$244</definedName>
    <definedName name="OSRRefD22_9x_0" localSheetId="41">'201'!$D$56</definedName>
    <definedName name="OSRRefD22_9x_0" localSheetId="42">'202'!$D$55:$D$57</definedName>
    <definedName name="OSRRefD22_9x_0" localSheetId="43">'203'!$D$56:$D$57</definedName>
    <definedName name="OSRRefD22_9x_0" localSheetId="44">'204'!$D$61:$D$62</definedName>
    <definedName name="OSRRefD22_9x_0" localSheetId="45">'205'!$D$57</definedName>
    <definedName name="OSRRefD22_9x_0" localSheetId="46">'206'!$D$56</definedName>
    <definedName name="OSRRefD22_9x_0" localSheetId="48">'300'!$D$208</definedName>
    <definedName name="OSRRefD22_9x_0" localSheetId="49">'300 &amp; 317'!$D$233</definedName>
    <definedName name="OSRRefD22_9x_0" localSheetId="50">'301'!$D$61</definedName>
    <definedName name="OSRRefD22_9x_0" localSheetId="51">'306'!$D$59</definedName>
    <definedName name="OSRRefD22_9x_0" localSheetId="53">'307'!$D$116:$D$117</definedName>
    <definedName name="OSRRefD22_9x_0" localSheetId="55">'308'!$D$103:$D$105</definedName>
    <definedName name="OSRRefD22_9x_0" localSheetId="67">'309'!$D$62:$D$63</definedName>
    <definedName name="OSRRefD22_9x_0" localSheetId="66">'310'!$D$71</definedName>
    <definedName name="OSRRefD22_9x_0" localSheetId="75">'310 &amp; 491'!$D$80</definedName>
    <definedName name="OSRRefD22_9x_0" localSheetId="56">'311'!$D$103:$D$105</definedName>
    <definedName name="OSRRefD22_9x_0" localSheetId="68">'313'!$D$65</definedName>
    <definedName name="OSRRefD22_9x_0" localSheetId="54">'314'!$D$94</definedName>
    <definedName name="OSRRefD22_9x_0" localSheetId="59">'315'!$D$95</definedName>
    <definedName name="OSRRefD22_9x_0" localSheetId="62">'316'!$D$70:$D$71</definedName>
    <definedName name="OSRRefD22_9x_0" localSheetId="65">'317'!$D$96:$D$97</definedName>
    <definedName name="OSRRefD22_9x_0" localSheetId="69">'321'!$D$60:$D$62</definedName>
    <definedName name="OSRRefD22_9x_0" localSheetId="70">'322'!$D$62:$D$64</definedName>
    <definedName name="OSRRefD22_9x_0" localSheetId="71">'325'!$D$63</definedName>
    <definedName name="OSRRefD22_9x_0" localSheetId="60">'326'!$D$93</definedName>
    <definedName name="OSRRefD22_9x_0" localSheetId="52">'330'!$D$122:$D$123</definedName>
    <definedName name="OSRRefD22_9x_0" localSheetId="58">'331'!$D$111</definedName>
    <definedName name="OSRRefD22_9x_0" localSheetId="61">'332'!$D$80</definedName>
    <definedName name="OSRRefD22_9x_0" localSheetId="77">'405'!$D$63</definedName>
    <definedName name="OSRRefD22_9x_0" localSheetId="78">'406'!$D$63:$D$65</definedName>
    <definedName name="OSRRefD22_9x_0" localSheetId="79">'411'!$D$59</definedName>
    <definedName name="OSRRefD22_9x_0" localSheetId="80">'412'!$D$63:$D$64</definedName>
    <definedName name="OSRRefD22_9x_0" localSheetId="82">'413'!$D$64:$D$65</definedName>
    <definedName name="OSRRefD22_9x_0" localSheetId="83">'414'!$D$63:$D$64</definedName>
    <definedName name="OSRRefD22_9x_0" localSheetId="84">'415'!$D$63</definedName>
    <definedName name="OSRRefD22_9x_0" localSheetId="85">'418'!$D$64</definedName>
    <definedName name="OSRRefD22_9x_0" localSheetId="87">'424'!$D$64</definedName>
    <definedName name="OSRRefD22_9x_0" localSheetId="88">'425'!$D$66:$D$68</definedName>
    <definedName name="OSRRefD22_9x_0" localSheetId="91">'430'!$D$57</definedName>
    <definedName name="OSRRefD22_9x_0" localSheetId="92">'433'!$D$63</definedName>
    <definedName name="OSRRefD22_9x_0" localSheetId="94">'444'!$D$63</definedName>
    <definedName name="OSRRefD22_9x_0" localSheetId="95">'450'!$D$64</definedName>
    <definedName name="OSRRefD22_9x_0" localSheetId="76">'491'!$D$74</definedName>
    <definedName name="OSRRefD22_9x_0" localSheetId="90">'492'!$D$67</definedName>
    <definedName name="OSRRefD22_9x_0" localSheetId="97">'501'!$D$56</definedName>
    <definedName name="OSRRefD22_9x_0" localSheetId="39">'Div 2'!$D$60</definedName>
    <definedName name="OSRRefD22_9x_0" localSheetId="47">'Div 3'!$D$213</definedName>
    <definedName name="OSRRefD22_9x_0" localSheetId="74">'Div 4'!$D$76</definedName>
    <definedName name="OSRRefD22_9x_0" localSheetId="96">'Div 5'!$D$56</definedName>
    <definedName name="OSRRefD22_9x_0" localSheetId="64">'Div 6'!$D$96:$D$97</definedName>
    <definedName name="OSRRefD22_9x_0" localSheetId="2">Summary!$D$246</definedName>
    <definedName name="OSRRefD22x_0" localSheetId="40">'200'!$D$20,'200'!$D$22,'200'!$D$24,'200'!$D$26,'200'!$D$28:$D$29</definedName>
    <definedName name="OSRRefD22x_0" localSheetId="41">'201'!$D$20:$D$28,'201'!$D$30:$D$39,'201'!$D$41,'201'!$D$43,'201'!$D$45:$D$46,'201'!$D$48,'201'!$D$50,'201'!$D$52,'201'!$D$54,'201'!$D$56,'201'!$D$58:$D$60,'201'!$D$62:$D$64,'201'!$D$66,'201'!$D$68:$D$70,'201'!$D$72,'201'!$D$74,'201'!$D$76:$D$77</definedName>
    <definedName name="OSRRefD22x_0" localSheetId="42">'202'!$D$20:$D$28,'202'!$D$30:$D$39,'202'!$D$41,'202'!$D$43,'202'!$D$45,'202'!$D$47,'202'!$D$49,'202'!$D$51,'202'!$D$53,'202'!$D$55:$D$57,'202'!$D$59,'202'!$D$61:$D$63,'202'!$D$65,'202'!$D$67,'202'!$D$69:$D$70,'202'!$D$72,'202'!$D$74</definedName>
    <definedName name="OSRRefD22x_0" localSheetId="43">'203'!$D$20:$D$29,'203'!$D$31:$D$40,'203'!$D$42,'203'!$D$44,'203'!$D$46,'203'!$D$48,'203'!$D$50,'203'!$D$52,'203'!$D$54,'203'!$D$56:$D$57,'203'!$D$59:$D$60,'203'!$D$62,'203'!$D$64:$D$66,'203'!$D$68,'203'!$D$70,'203'!$D$72</definedName>
    <definedName name="OSRRefD22x_0" localSheetId="44">'204'!$D$21:$D$30,'204'!$D$32:$D$41,'204'!$D$43,'204'!$D$45:$D$46,'204'!$D$48,'204'!$D$50,'204'!$D$52,'204'!$D$54:$D$57,'204'!$D$59,'204'!$D$61:$D$62,'204'!$D$64:$D$65,'204'!$D$67,'204'!$D$69:$D$70</definedName>
    <definedName name="OSRRefD22x_0" localSheetId="45">'205'!$D$20:$D$28,'205'!$D$30:$D$39,'205'!$D$41,'205'!$D$43,'205'!$D$45,'205'!$D$47:$D$48,'205'!$D$50,'205'!$D$52:$D$53,'205'!$D$55,'205'!$D$57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$166:$D$175,'300'!$D$177:$D$186,'300'!$D$188,'300'!$D$190:$D$191,'300'!$D$193,'300'!$D$195:$D$198,'300'!$D$200:$D$201,'300'!$D$203:$D$204,'300'!$D$206,'300'!$D$208,'300'!$D$210:$D$211,'300'!$D$213,'300'!$D$215,'300'!$D$217,'300'!$D$219,'300'!$D$221,'300'!$D$223:$D$226,'300'!$D$228:$D$231,'300'!$D$233:$D$236,'300'!$D$238:$D$239,'300'!$D$241:$D$247,'300'!$D$249:$D$250,'300'!$D$252,'300'!$D$254:$D$256,'300'!$D$258</definedName>
    <definedName name="OSRRefD22x_0" localSheetId="49">'300 &amp; 317'!$D$191:$D$200,'300 &amp; 317'!$D$202:$D$211,'300 &amp; 317'!$D$213,'300 &amp; 317'!$D$215:$D$216,'300 &amp; 317'!$D$218,'300 &amp; 317'!$D$220:$D$223,'300 &amp; 317'!$D$225:$D$226,'300 &amp; 317'!$D$228:$D$229,'300 &amp; 317'!$D$231,'300 &amp; 317'!$D$233,'300 &amp; 317'!$D$235:$D$236,'300 &amp; 317'!$D$238,'300 &amp; 317'!$D$240,'300 &amp; 317'!$D$242,'300 &amp; 317'!$D$244,'300 &amp; 317'!$D$246,'300 &amp; 317'!$D$248:$D$251,'300 &amp; 317'!$D$253:$D$256,'300 &amp; 317'!$D$258:$D$261,'300 &amp; 317'!$D$263:$D$264,'300 &amp; 317'!$D$266:$D$272,'300 &amp; 317'!$D$274:$D$275,'300 &amp; 317'!$D$277,'300 &amp; 317'!$D$279:$D$281,'300 &amp; 317'!$D$283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:$D$76,'301'!$D$78:$D$80,'301'!$D$82:$D$83,'301'!$D$85:$D$90,'301'!$D$92,'301'!$D$94,'301'!$D$96:$D$98,'301'!$D$100</definedName>
    <definedName name="OSRRefD22x_0" localSheetId="51">'306'!$D$20:$D$28,'306'!$D$30:$D$39,'306'!$D$41,'306'!$D$43,'306'!$D$45,'306'!$D$47,'306'!$D$49,'306'!$D$51:$D$52,'306'!$D$54:$D$57,'306'!$D$59,'306'!$D$61</definedName>
    <definedName name="OSRRefD22x_0" localSheetId="53">'307'!$D$79:$D$87,'307'!$D$89:$D$98,'307'!$D$100,'307'!$D$102,'307'!$D$104:$D$105,'307'!$D$107,'307'!$D$109,'307'!$D$111,'307'!$D$113:$D$114,'307'!$D$116:$D$117,'307'!$D$119:$D$121,'307'!$D$123,'307'!$D$125</definedName>
    <definedName name="OSRRefD22x_0" localSheetId="55">'308'!$D$65:$D$74,'308'!$D$76:$D$85,'308'!$D$87,'308'!$D$89:$D$90,'308'!$D$92,'308'!$D$94,'308'!$D$96:$D$97,'308'!$D$99,'308'!$D$101,'308'!$D$103:$D$105,'308'!$D$107,'308'!$D$109:$D$111,'308'!$D$113:$D$114,'308'!$D$116,'308'!$D$118:$D$119</definedName>
    <definedName name="OSRRefD22x_0" localSheetId="67">'309'!$D$26:$D$34,'309'!$D$36:$D$45,'309'!$D$47,'309'!$D$49,'309'!$D$51,'309'!$D$53:$D$54,'309'!$D$56,'309'!$D$58,'309'!$D$60,'309'!$D$62:$D$63,'309'!$D$65:$D$67,'309'!$D$69:$D$71,'309'!$D$73,'309'!$D$75</definedName>
    <definedName name="OSRRefD22x_0" localSheetId="66">'310'!$D$34:$D$42,'310'!$D$44:$D$53,'310'!$D$55,'310'!$D$57,'310'!$D$59,'310'!$D$61:$D$63,'310'!$D$65,'310'!$D$67,'310'!$D$69,'310'!$D$71,'310'!$D$73,'310'!$D$75,'310'!$D$77,'310'!$D$79,'310'!$D$81,'310'!$D$83:$D$85,'310'!$D$87:$D$88,'310'!$D$90:$D$94,'310'!$D$96,'310'!$D$98:$D$106,'310'!$D$108,'310'!$D$110,'310'!$D$112,'310'!$D$114</definedName>
    <definedName name="OSRRefD22x_0" localSheetId="75">'310 &amp; 491'!$D$41:$D$50,'310 &amp; 491'!$D$52:$D$61,'310 &amp; 491'!$D$63,'310 &amp; 491'!$D$65,'310 &amp; 491'!$D$67,'310 &amp; 491'!$D$69:$D$72,'310 &amp; 491'!$D$74,'310 &amp; 491'!$D$76,'310 &amp; 491'!$D$78,'310 &amp; 491'!$D$80,'310 &amp; 491'!$D$82,'310 &amp; 491'!$D$84:$D$85,'310 &amp; 491'!$D$87,'310 &amp; 491'!$D$89,'310 &amp; 491'!$D$91,'310 &amp; 491'!$D$93,'310 &amp; 491'!$D$95,'310 &amp; 491'!$D$97:$D$100,'310 &amp; 491'!$D$102:$D$105,'310 &amp; 491'!$D$107:$D$112,'310 &amp; 491'!$D$114:$D$115,'310 &amp; 491'!$D$117:$D$126,'310 &amp; 491'!$D$128:$D$129,'310 &amp; 491'!$D$131,'310 &amp; 491'!$D$133:$D$135,'310 &amp; 491'!$D$137</definedName>
    <definedName name="OSRRefD22x_0" localSheetId="56">'311'!$D$65:$D$74,'311'!$D$76:$D$85,'311'!$D$87,'311'!$D$89:$D$90,'311'!$D$92,'311'!$D$94,'311'!$D$96:$D$97,'311'!$D$99,'311'!$D$101,'311'!$D$103:$D$105,'311'!$D$107,'311'!$D$109:$D$111,'311'!$D$113:$D$114,'311'!$D$116,'311'!$D$118:$D$119</definedName>
    <definedName name="OSRRefD22x_0" localSheetId="68">'313'!$D$30:$D$38,'313'!$D$40:$D$49,'313'!$D$51,'313'!$D$53,'313'!$D$55,'313'!$D$57,'313'!$D$59,'313'!$D$61,'313'!$D$63,'313'!$D$65,'313'!$D$67:$D$69,'313'!$D$71,'313'!$D$73:$D$77,'313'!$D$79,'313'!$D$81</definedName>
    <definedName name="OSRRefD22x_0" localSheetId="54">'314'!$D$58:$D$66,'314'!$D$68:$D$77,'314'!$D$79,'314'!$D$81:$D$82,'314'!$D$84,'314'!$D$86,'314'!$D$88,'314'!$D$90,'314'!$D$92,'314'!$D$94,'314'!$D$96</definedName>
    <definedName name="OSRRefD22x_0" localSheetId="59">'315'!$D$58:$D$66,'315'!$D$68:$D$77,'315'!$D$79,'315'!$D$81:$D$82,'315'!$D$84,'315'!$D$86:$D$87,'315'!$D$89,'315'!$D$91,'315'!$D$93,'315'!$D$95,'315'!$D$97:$D$99,'315'!$D$101:$D$102,'315'!$D$104:$D$108,'315'!$D$110,'315'!$D$112,'315'!$D$114:$D$115</definedName>
    <definedName name="OSRRefD22x_0" localSheetId="62">'316'!$D$35:$D$43,'316'!$D$45:$D$54,'316'!$D$56,'316'!$D$58,'316'!$D$60,'316'!$D$62,'316'!$D$64,'316'!$D$66,'316'!$D$68,'316'!$D$70:$D$71,'316'!$D$73:$D$74,'316'!$D$76:$D$80,'316'!$D$82:$D$83,'316'!$D$85</definedName>
    <definedName name="OSRRefD22x_0" localSheetId="65">'317'!$D$60:$D$69,'317'!$D$71:$D$80,'317'!$D$82,'317'!$D$84,'317'!$D$86,'317'!$D$88,'317'!$D$90,'317'!$D$92,'317'!$D$94,'317'!$D$96:$D$97,'317'!$D$99:$D$100,'317'!$D$102,'317'!$D$104</definedName>
    <definedName name="OSRRefD22x_0" localSheetId="63">'320'!$D$31:$D$38,'320'!$D$40:$D$49,'320'!$D$51,'320'!$D$53,'320'!$D$55:$D$56,'320'!$D$58,'320'!$D$60,'320'!$D$62:$D$63,'320'!$D$65</definedName>
    <definedName name="OSRRefD22x_0" localSheetId="69">'321'!$D$26:$D$33,'321'!$D$35:$D$44,'321'!$D$46,'321'!$D$48,'321'!$D$50,'321'!$D$52,'321'!$D$54,'321'!$D$56,'321'!$D$58,'321'!$D$60:$D$62,'321'!$D$64:$D$65,'321'!$D$67:$D$69,'321'!$D$71:$D$73,'321'!$D$75,'321'!$D$77</definedName>
    <definedName name="OSRRefD22x_0" localSheetId="70">'322'!$D$26:$D$34,'322'!$D$36:$D$45,'322'!$D$47,'322'!$D$49,'322'!$D$51,'322'!$D$53:$D$54,'322'!$D$56,'322'!$D$58,'322'!$D$60,'322'!$D$62:$D$64,'322'!$D$66:$D$68,'322'!$D$70:$D$75,'322'!$D$77,'322'!$D$79</definedName>
    <definedName name="OSRRefD22x_0" localSheetId="71">'325'!$D$26:$D$34,'325'!$D$36:$D$45,'325'!$D$47,'325'!$D$49,'325'!$D$51,'325'!$D$53:$D$55,'325'!$D$57,'325'!$D$59,'325'!$D$61,'325'!$D$63,'325'!$D$65,'325'!$D$67:$D$69,'325'!$D$71:$D$74,'325'!$D$76,'325'!$D$78:$D$84,'325'!$D$86,'325'!$D$88,'325'!$D$90,'325'!$D$92</definedName>
    <definedName name="OSRRefD22x_0" localSheetId="60">'326'!$D$57:$D$65,'326'!$D$67:$D$76,'326'!$D$78,'326'!$D$80:$D$81,'326'!$D$83,'326'!$D$85,'326'!$D$87,'326'!$D$89,'326'!$D$91,'326'!$D$93,'326'!$D$95,'326'!$D$97,'326'!$D$99,'326'!$D$101:$D$102,'326'!$D$104:$D$106,'326'!$D$108:$D$109,'326'!$D$111:$D$116,'326'!$D$118:$D$119,'326'!$D$121,'326'!$D$123,'326'!$D$125</definedName>
    <definedName name="OSRRefD22x_0" localSheetId="72">'327'!$D$24,'327'!$D$26,'327'!$D$28</definedName>
    <definedName name="OSRRefD22x_0" localSheetId="52">'330'!$D$86:$D$94,'330'!$D$96:$D$105,'330'!$D$107,'330'!$D$109,'330'!$D$111:$D$112,'330'!$D$114,'330'!$D$116,'330'!$D$118,'330'!$D$120,'330'!$D$122:$D$123,'330'!$D$125:$D$126,'330'!$D$128,'330'!$D$130:$D$132,'330'!$D$134,'330'!$D$136,'330'!$D$138</definedName>
    <definedName name="OSRRefD22x_0" localSheetId="58">'331'!$D$73:$D$81,'331'!$D$83:$D$92,'331'!$D$94,'331'!$D$96:$D$97,'331'!$D$99,'331'!$D$101:$D$102,'331'!$D$104,'331'!$D$106,'331'!$D$108:$D$109,'331'!$D$111,'331'!$D$113,'331'!$D$115,'331'!$D$117,'331'!$D$119,'331'!$D$121:$D$122,'331'!$D$124:$D$126,'331'!$D$128:$D$130,'331'!$D$132:$D$133,'331'!$D$135:$D$140,'331'!$D$142:$D$143,'331'!$D$145,'331'!$D$147:$D$148,'331'!$D$150</definedName>
    <definedName name="OSRRefD22x_0" localSheetId="61">'332'!$D$44:$D$52,'332'!$D$54:$D$63,'332'!$D$65,'332'!$D$67,'332'!$D$69,'332'!$D$71,'332'!$D$73,'332'!$D$75:$D$76,'332'!$D$78,'332'!$D$80,'332'!$D$82:$D$83,'332'!$D$85:$D$86,'332'!$D$88:$D$92,'332'!$D$94:$D$95,'332'!$D$97</definedName>
    <definedName name="OSRRefD22x_0" localSheetId="77">'405'!$D$26:$D$34,'405'!$D$36:$D$45,'405'!$D$47,'405'!$D$49,'405'!$D$51,'405'!$D$53:$D$55,'405'!$D$57,'405'!$D$59,'405'!$D$61,'405'!$D$63,'405'!$D$65,'405'!$D$67:$D$69,'405'!$D$71,'405'!$D$73:$D$75,'405'!$D$77:$D$78,'405'!$D$80:$D$88,'405'!$D$90,'405'!$D$92,'405'!$D$94,'405'!$D$96</definedName>
    <definedName name="OSRRefD22x_0" localSheetId="78">'406'!$D$27:$D$35,'406'!$D$37:$D$46,'406'!$D$48,'406'!$D$50,'406'!$D$52,'406'!$D$54:$D$55,'406'!$D$57,'406'!$D$59,'406'!$D$61,'406'!$D$63:$D$65,'406'!$D$67:$D$69,'406'!$D$71:$D$76,'406'!$D$78:$D$79,'406'!$D$81,'406'!$D$83</definedName>
    <definedName name="OSRRefD22x_0" localSheetId="79">'411'!$D$20:$D$29,'411'!$D$31:$D$40,'411'!$D$42,'411'!$D$44:$D$47,'411'!$D$49,'411'!$D$51,'411'!$D$53,'411'!$D$55,'411'!$D$57,'411'!$D$59,'411'!$D$61:$D$63,'411'!$D$65:$D$69,'411'!$D$71,'411'!$D$73:$D$80,'411'!$D$82,'411'!$D$84,'411'!$D$86:$D$88,'411'!$D$90</definedName>
    <definedName name="OSRRefD22x_0" localSheetId="80">'412'!$D$26:$D$34,'412'!$D$36:$D$45,'412'!$D$47,'412'!$D$49,'412'!$D$51,'412'!$D$53:$D$55,'412'!$D$57,'412'!$D$59,'412'!$D$61,'412'!$D$63:$D$64,'412'!$D$66,'412'!$D$68:$D$70,'412'!$D$72:$D$77,'412'!$D$79,'412'!$D$81,'412'!$D$83</definedName>
    <definedName name="OSRRefD22x_0" localSheetId="82">'413'!$D$27:$D$35,'413'!$D$37:$D$46,'413'!$D$48,'413'!$D$50,'413'!$D$52,'413'!$D$54,'413'!$D$56,'413'!$D$58,'413'!$D$60:$D$62,'413'!$D$64:$D$65,'413'!$D$67:$D$73,'413'!$D$75:$D$76,'413'!$D$78</definedName>
    <definedName name="OSRRefD22x_0" localSheetId="83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4">'415'!$D$26:$D$34,'415'!$D$36:$D$45,'415'!$D$47,'415'!$D$49,'415'!$D$51,'415'!$D$53:$D$55,'415'!$D$57,'415'!$D$59,'415'!$D$61,'415'!$D$63,'415'!$D$65,'415'!$D$67:$D$70,'415'!$D$72:$D$76,'415'!$D$78:$D$79,'415'!$D$81:$D$89,'415'!$D$91,'415'!$D$93,'415'!$D$95:$D$96,'415'!$D$98</definedName>
    <definedName name="OSRRefD22x_0" localSheetId="85">'418'!$D$27:$D$35,'418'!$D$37:$D$46,'418'!$D$48,'418'!$D$50,'418'!$D$52,'418'!$D$54:$D$56,'418'!$D$58,'418'!$D$60,'418'!$D$62,'418'!$D$64,'418'!$D$66:$D$67,'418'!$D$69:$D$71,'418'!$D$73:$D$75,'418'!$D$77:$D$78,'418'!$D$80:$D$86,'418'!$D$88,'418'!$D$90,'418'!$D$92</definedName>
    <definedName name="OSRRefD22x_0" localSheetId="81">'420'!$D$23:$D$30,'420'!$D$32:$D$35,'420'!$D$37,'420'!$D$39,'420'!$D$41,'420'!$D$43:$D$44,'420'!$D$46</definedName>
    <definedName name="OSRRefD22x_0" localSheetId="86">'423'!$D$21:$D$29,'423'!$D$31:$D$40,'423'!$D$42,'423'!$D$44,'423'!$D$46,'423'!$D$48</definedName>
    <definedName name="OSRRefD22x_0" localSheetId="87">'424'!$D$27:$D$34,'424'!$D$36:$D$45,'424'!$D$47,'424'!$D$49,'424'!$D$51,'424'!$D$53,'424'!$D$55,'424'!$D$57:$D$58,'424'!$D$60:$D$62,'424'!$D$64,'424'!$D$66:$D$70,'424'!$D$72:$D$73</definedName>
    <definedName name="OSRRefD22x_0" localSheetId="88">'425'!$D$29:$D$38,'425'!$D$40:$D$49,'425'!$D$51,'425'!$D$53,'425'!$D$55,'425'!$D$57:$D$58,'425'!$D$60,'425'!$D$62,'425'!$D$64,'425'!$D$66:$D$68,'425'!$D$70:$D$71,'425'!$D$73:$D$74,'425'!$D$76,'425'!$D$78:$D$84,'425'!$D$86:$D$87,'425'!$D$89,'425'!$D$91</definedName>
    <definedName name="OSRRefD22x_0" localSheetId="91">'430'!$D$20:$D$28,'430'!$D$30:$D$39,'430'!$D$41,'430'!$D$43,'430'!$D$45,'430'!$D$47,'430'!$D$49,'430'!$D$51:$D$53,'430'!$D$55,'430'!$D$57,'430'!$D$59</definedName>
    <definedName name="OSRRefD22x_0" localSheetId="92">'433'!$D$27:$D$36,'433'!$D$38:$D$47,'433'!$D$49,'433'!$D$51,'433'!$D$53,'433'!$D$55,'433'!$D$57,'433'!$D$59,'433'!$D$61,'433'!$D$63,'433'!$D$65:$D$67,'433'!$D$69:$D$72,'433'!$D$74:$D$81,'433'!$D$83,'433'!$D$85,'433'!$D$87:$D$88</definedName>
    <definedName name="OSRRefD22x_0" localSheetId="93">'435'!$D$27:$D$34,'435'!$D$36:$D$45,'435'!$D$47,'435'!$D$49,'435'!$D$51,'435'!$D$53,'435'!$D$55,'435'!$D$57:$D$59,'435'!$D$61</definedName>
    <definedName name="OSRRefD22x_0" localSheetId="94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5">'450'!$D$27:$D$36,'450'!$D$38:$D$47,'450'!$D$49,'450'!$D$51:$D$52,'450'!$D$54,'450'!$D$56,'450'!$D$58,'450'!$D$60,'450'!$D$62,'450'!$D$64,'450'!$D$66,'450'!$D$68:$D$71,'450'!$D$73:$D$75,'450'!$D$77:$D$82,'450'!$D$84,'450'!$D$86,'450'!$D$88:$D$89</definedName>
    <definedName name="OSRRefD22x_0" localSheetId="89">'455'!$D$20:$D$27,'455'!$D$29:$D$38</definedName>
    <definedName name="OSRRefD22x_0" localSheetId="76">'491'!$D$35:$D$44,'491'!$D$46:$D$55,'491'!$D$57,'491'!$D$59,'491'!$D$61,'491'!$D$63:$D$66,'491'!$D$68,'491'!$D$70,'491'!$D$72,'491'!$D$74,'491'!$D$76:$D$77,'491'!$D$79,'491'!$D$81,'491'!$D$83,'491'!$D$85,'491'!$D$87:$D$90,'491'!$D$92:$D$95,'491'!$D$97:$D$101,'491'!$D$103:$D$104,'491'!$D$106:$D$115,'491'!$D$117:$D$118,'491'!$D$120,'491'!$D$122:$D$124,'491'!$D$126</definedName>
    <definedName name="OSRRefD22x_0" localSheetId="90">'492'!$D$29:$D$38,'492'!$D$40:$D$49,'492'!$D$51,'492'!$D$53:$D$54,'492'!$D$56,'492'!$D$58:$D$59,'492'!$D$61,'492'!$D$63,'492'!$D$65,'492'!$D$67,'492'!$D$69,'492'!$D$71,'492'!$D$73:$D$76,'492'!$D$78:$D$81,'492'!$D$83:$D$91,'492'!$D$93,'492'!$D$95,'492'!$D$97:$D$98</definedName>
    <definedName name="OSRRefD22x_0" localSheetId="97">'501'!$D$21:$D$29,'501'!$D$31:$D$40,'501'!$D$42,'501'!$D$44,'501'!$D$46,'501'!$D$48,'501'!$D$50,'501'!$D$52,'501'!$D$54,'501'!$D$56,'501'!$D$58:$D$61,'501'!$D$63,'501'!$D$65:$D$67,'501'!$D$69,'501'!$D$71</definedName>
    <definedName name="OSRRefD22x_0" localSheetId="39">'Div 2'!$D$21:$D$31,'Div 2'!$D$33:$D$42,'Div 2'!$D$44,'Div 2'!$D$46,'Div 2'!$D$48,'Div 2'!$D$50:$D$51,'Div 2'!$D$53:$D$54,'Div 2'!$D$56,'Div 2'!$D$58,'Div 2'!$D$60,'Div 2'!$D$62,'Div 2'!$D$64,'Div 2'!$D$66:$D$68,'Div 2'!$D$70:$D$73,'Div 2'!$D$75:$D$78,'Div 2'!$D$80:$D$81,'Div 2'!$D$83:$D$84,'Div 2'!$D$86:$D$90,'Div 2'!$D$92:$D$93,'Div 2'!$D$95,'Div 2'!$D$97:$D$98</definedName>
    <definedName name="OSRRefD22x_0" localSheetId="47">'Div 3'!$D$171:$D$180,'Div 3'!$D$182:$D$191,'Div 3'!$D$193,'Div 3'!$D$195:$D$196,'Div 3'!$D$198,'Div 3'!$D$200:$D$203,'Div 3'!$D$205:$D$206,'Div 3'!$D$208:$D$209,'Div 3'!$D$211,'Div 3'!$D$213,'Div 3'!$D$215:$D$216,'Div 3'!$D$218,'Div 3'!$D$220,'Div 3'!$D$222,'Div 3'!$D$224,'Div 3'!$D$226,'Div 3'!$D$228,'Div 3'!$D$230,'Div 3'!$D$232:$D$235,'Div 3'!$D$237:$D$240,'Div 3'!$D$242:$D$247,'Div 3'!$D$249:$D$250,'Div 3'!$D$252:$D$260,'Div 3'!$D$262:$D$263,'Div 3'!$D$265,'Div 3'!$D$267:$D$269,'Div 3'!$D$271</definedName>
    <definedName name="OSRRefD22x_0" localSheetId="74">'Div 4'!$D$35:$D$44,'Div 4'!$D$46:$D$55,'Div 4'!$D$57,'Div 4'!$D$59:$D$60,'Div 4'!$D$62,'Div 4'!$D$64:$D$67,'Div 4'!$D$69,'Div 4'!$D$71:$D$72,'Div 4'!$D$74,'Div 4'!$D$76,'Div 4'!$D$78,'Div 4'!$D$80:$D$81,'Div 4'!$D$83,'Div 4'!$D$85,'Div 4'!$D$87,'Div 4'!$D$89,'Div 4'!$D$91,'Div 4'!$D$93:$D$96,'Div 4'!$D$98:$D$101,'Div 4'!$D$103:$D$107,'Div 4'!$D$109:$D$110,'Div 4'!$D$112:$D$121,'Div 4'!$D$123:$D$124,'Div 4'!$D$126,'Div 4'!$D$128:$D$130,'Div 4'!$D$132</definedName>
    <definedName name="OSRRefD22x_0" localSheetId="96">'Div 5'!$D$21:$D$29,'Div 5'!$D$31:$D$40,'Div 5'!$D$42,'Div 5'!$D$44,'Div 5'!$D$46,'Div 5'!$D$48,'Div 5'!$D$50,'Div 5'!$D$52,'Div 5'!$D$54,'Div 5'!$D$56,'Div 5'!$D$58:$D$61,'Div 5'!$D$63,'Div 5'!$D$65:$D$67,'Div 5'!$D$69,'Div 5'!$D$71</definedName>
    <definedName name="OSRRefD22x_0" localSheetId="64">'Div 6'!$D$60:$D$69,'Div 6'!$D$71:$D$80,'Div 6'!$D$82,'Div 6'!$D$84,'Div 6'!$D$86,'Div 6'!$D$88,'Div 6'!$D$90,'Div 6'!$D$92,'Div 6'!$D$94,'Div 6'!$D$96:$D$97,'Div 6'!$D$99:$D$100,'Div 6'!$D$102,'Div 6'!$D$104</definedName>
    <definedName name="OSRRefD22x_0" localSheetId="2">Summary!$D$203:$D$212,Summary!$D$214:$D$223,Summary!$D$225,Summary!$D$227:$D$228,Summary!$D$230,Summary!$D$232:$D$235,Summary!$D$237:$D$238,Summary!$D$240:$D$242,Summary!$D$244,Summary!$D$246,Summary!$D$248:$D$249,Summary!$D$251:$D$252,Summary!$D$254,Summary!$D$256,Summary!$D$258,Summary!$D$260,Summary!$D$262,Summary!$D$264,Summary!$D$266:$D$269,Summary!$D$271:$D$274,Summary!$D$276:$D$281,Summary!$D$283:$D$284,Summary!$D$286:$D$295,Summary!$D$297:$D$298,Summary!$D$300,Summary!$D$302:$D$304,Summary!$D$306</definedName>
    <definedName name="OSRRefD25x_0" localSheetId="48">'300'!$D$261:$D$269</definedName>
    <definedName name="OSRRefD25x_0" localSheetId="49">'300 &amp; 317'!$D$286:$D$297</definedName>
    <definedName name="OSRRefD25x_0" localSheetId="50">'301'!$D$103:$D$106</definedName>
    <definedName name="OSRRefD25x_0" localSheetId="53">'307'!$D$128</definedName>
    <definedName name="OSRRefD25x_0" localSheetId="55">'308'!$D$122:$D$125</definedName>
    <definedName name="OSRRefD25x_0" localSheetId="75">'310 &amp; 491'!$D$140:$D$143</definedName>
    <definedName name="OSRRefD25x_0" localSheetId="56">'311'!$D$122:$D$125</definedName>
    <definedName name="OSRRefD25x_0" localSheetId="59">'315'!$D$118:$D$120</definedName>
    <definedName name="OSRRefD25x_0" localSheetId="62">'316'!$D$88:$D$89</definedName>
    <definedName name="OSRRefD25x_0" localSheetId="65">'317'!$D$107:$D$110</definedName>
    <definedName name="OSRRefD25x_0" localSheetId="63">'320'!$D$68:$D$72</definedName>
    <definedName name="OSRRefD25x_0" localSheetId="52">'330'!$D$141</definedName>
    <definedName name="OSRRefD25x_0" localSheetId="58">'331'!$D$153:$D$155</definedName>
    <definedName name="OSRRefD25x_0" localSheetId="61">'332'!$D$100:$D$106</definedName>
    <definedName name="OSRRefD25x_0" localSheetId="79">'411'!$D$93:$D$94</definedName>
    <definedName name="OSRRefD25x_0" localSheetId="82">'413'!$D$81</definedName>
    <definedName name="OSRRefD25x_0" localSheetId="84">'415'!$D$101</definedName>
    <definedName name="OSRRefD25x_0" localSheetId="86">'423'!$D$51</definedName>
    <definedName name="OSRRefD25x_0" localSheetId="87">'424'!$D$76</definedName>
    <definedName name="OSRRefD25x_0" localSheetId="88">'425'!$D$94</definedName>
    <definedName name="OSRRefD25x_0" localSheetId="89">'455'!$D$41:$D$44</definedName>
    <definedName name="OSRRefD25x_0" localSheetId="76">'491'!$D$129:$D$132</definedName>
    <definedName name="OSRRefD25x_0" localSheetId="97">'501'!$D$74</definedName>
    <definedName name="OSRRefD25x_0" localSheetId="47">'Div 3'!$D$274:$D$282</definedName>
    <definedName name="OSRRefD25x_0" localSheetId="74">'Div 4'!$D$135:$D$138</definedName>
    <definedName name="OSRRefD25x_0" localSheetId="96">'Div 5'!$D$74</definedName>
    <definedName name="OSRRefD25x_0" localSheetId="64">'Div 6'!$D$107:$D$110</definedName>
    <definedName name="OSRRefD25x_0" localSheetId="2">Summary!$D$309:$D$321</definedName>
    <definedName name="OSRRefH13x_0" localSheetId="44">'204'!$H$13</definedName>
    <definedName name="OSRRefH13x_0" localSheetId="48">'300'!$H$13:$H$107</definedName>
    <definedName name="OSRRefH13x_0" localSheetId="49">'300 &amp; 317'!$H$13:$H$125</definedName>
    <definedName name="OSRRefH13x_0" localSheetId="53">'307'!$H$13:$H$50</definedName>
    <definedName name="OSRRefH13x_0" localSheetId="55">'308'!$H$13:$H$40</definedName>
    <definedName name="OSRRefH13x_0" localSheetId="67">'309'!$H$13:$H$15</definedName>
    <definedName name="OSRRefH13x_0" localSheetId="66">'310'!$H$13:$H$23</definedName>
    <definedName name="OSRRefH13x_0" localSheetId="75">'310 &amp; 491'!$H$13:$H$30</definedName>
    <definedName name="OSRRefH13x_0" localSheetId="56">'311'!$H$13:$H$40</definedName>
    <definedName name="OSRRefH13x_0" localSheetId="68">'313'!$H$13:$H$19</definedName>
    <definedName name="OSRRefH13x_0" localSheetId="54">'314'!$H$13:$H$34</definedName>
    <definedName name="OSRRefH13x_0" localSheetId="59">'315'!$H$13:$H$34</definedName>
    <definedName name="OSRRefH13x_0" localSheetId="62">'316'!$H$13:$H$27</definedName>
    <definedName name="OSRRefH13x_0" localSheetId="65">'317'!$H$13:$H$38</definedName>
    <definedName name="OSRRefH13x_0" localSheetId="63">'320'!$H$13:$H$17</definedName>
    <definedName name="OSRRefH13x_0" localSheetId="69">'321'!$H$13:$H$15</definedName>
    <definedName name="OSRRefH13x_0" localSheetId="70">'322'!$H$13:$H$15</definedName>
    <definedName name="OSRRefH13x_0" localSheetId="57">'324'!$H$13:$H$15</definedName>
    <definedName name="OSRRefH13x_0" localSheetId="71">'325'!$H$13:$H$15</definedName>
    <definedName name="OSRRefH13x_0" localSheetId="60">'326'!$H$13:$H$33</definedName>
    <definedName name="OSRRefH13x_0" localSheetId="72">'327'!$H$13:$H$14</definedName>
    <definedName name="OSRRefH13x_0" localSheetId="52">'330'!$H$13:$H$54</definedName>
    <definedName name="OSRRefH13x_0" localSheetId="58">'331'!$H$13:$H$42</definedName>
    <definedName name="OSRRefH13x_0" localSheetId="61">'332'!$H$13:$H$30</definedName>
    <definedName name="OSRRefH13x_0" localSheetId="77">'405'!$H$13:$H$15</definedName>
    <definedName name="OSRRefH13x_0" localSheetId="78">'406'!$H$13:$H$16</definedName>
    <definedName name="OSRRefH13x_0" localSheetId="80">'412'!$H$13:$H$16</definedName>
    <definedName name="OSRRefH13x_0" localSheetId="82">'413'!$H$13:$H$16</definedName>
    <definedName name="OSRRefH13x_0" localSheetId="83">'414'!$H$13:$H$16</definedName>
    <definedName name="OSRRefH13x_0" localSheetId="84">'415'!$H$13:$H$15</definedName>
    <definedName name="OSRRefH13x_0" localSheetId="85">'418'!$H$13:$H$16</definedName>
    <definedName name="OSRRefH13x_0" localSheetId="81">'420'!$H$13:$H$14</definedName>
    <definedName name="OSRRefH13x_0" localSheetId="87">'424'!$H$13:$H$16</definedName>
    <definedName name="OSRRefH13x_0" localSheetId="88">'425'!$H$13:$H$18</definedName>
    <definedName name="OSRRefH13x_0" localSheetId="92">'433'!$H$13:$H$16</definedName>
    <definedName name="OSRRefH13x_0" localSheetId="93">'435'!$H$13:$H$16</definedName>
    <definedName name="OSRRefH13x_0" localSheetId="94">'444'!$H$13:$H$16</definedName>
    <definedName name="OSRRefH13x_0" localSheetId="95">'450'!$H$13:$H$16</definedName>
    <definedName name="OSRRefH13x_0" localSheetId="76">'491'!$H$13:$H$24</definedName>
    <definedName name="OSRRefH13x_0" localSheetId="90">'492'!$H$13:$H$18</definedName>
    <definedName name="OSRRefH13x_0" localSheetId="97">'501'!$H$13</definedName>
    <definedName name="OSRRefH13x_0" localSheetId="39">'Div 2'!$H$13</definedName>
    <definedName name="OSRRefH13x_0" localSheetId="47">'Div 3'!$H$13:$H$110</definedName>
    <definedName name="OSRRefH13x_0" localSheetId="74">'Div 4'!$H$13:$H$24</definedName>
    <definedName name="OSRRefH13x_0" localSheetId="96">'Div 5'!$H$13</definedName>
    <definedName name="OSRRefH13x_0" localSheetId="64">'Div 6'!$H$13:$H$38</definedName>
    <definedName name="OSRRefH13x_0" localSheetId="2">Summary!$H$13:$H$135</definedName>
    <definedName name="OSRRefH16x_0" localSheetId="48">'300'!$H$110:$H$160</definedName>
    <definedName name="OSRRefH16x_0" localSheetId="49">'300 &amp; 317'!$H$128:$H$185</definedName>
    <definedName name="OSRRefH16x_0" localSheetId="53">'307'!$H$53:$H$73</definedName>
    <definedName name="OSRRefH16x_0" localSheetId="55">'308'!$H$43:$H$59</definedName>
    <definedName name="OSRRefH16x_0" localSheetId="67">'309'!$H$18:$H$20</definedName>
    <definedName name="OSRRefH16x_0" localSheetId="66">'310'!$H$26:$H$28</definedName>
    <definedName name="OSRRefH16x_0" localSheetId="75">'310 &amp; 491'!$H$33:$H$35</definedName>
    <definedName name="OSRRefH16x_0" localSheetId="56">'311'!$H$43:$H$59</definedName>
    <definedName name="OSRRefH16x_0" localSheetId="68">'313'!$H$22:$H$24</definedName>
    <definedName name="OSRRefH16x_0" localSheetId="54">'314'!$H$37:$H$52</definedName>
    <definedName name="OSRRefH16x_0" localSheetId="59">'315'!$H$37:$H$52</definedName>
    <definedName name="OSRRefH16x_0" localSheetId="65">'317'!$H$41:$H$54</definedName>
    <definedName name="OSRRefH16x_0" localSheetId="63">'320'!$H$20:$H$25</definedName>
    <definedName name="OSRRefH16x_0" localSheetId="69">'321'!$H$18:$H$20</definedName>
    <definedName name="OSRRefH16x_0" localSheetId="70">'322'!$H$18:$H$20</definedName>
    <definedName name="OSRRefH16x_0" localSheetId="57">'324'!$H$18:$H$20</definedName>
    <definedName name="OSRRefH16x_0" localSheetId="71">'325'!$H$18:$H$20</definedName>
    <definedName name="OSRRefH16x_0" localSheetId="60">'326'!$H$36:$H$51</definedName>
    <definedName name="OSRRefH16x_0" localSheetId="72">'327'!$H$17:$H$18</definedName>
    <definedName name="OSRRefH16x_0" localSheetId="52">'330'!$H$57:$H$80</definedName>
    <definedName name="OSRRefH16x_0" localSheetId="58">'331'!$H$45:$H$67</definedName>
    <definedName name="OSRRefH16x_0" localSheetId="61">'332'!$H$33:$H$38</definedName>
    <definedName name="OSRRefH16x_0" localSheetId="77">'405'!$H$18:$H$20</definedName>
    <definedName name="OSRRefH16x_0" localSheetId="78">'406'!$H$19:$H$21</definedName>
    <definedName name="OSRRefH16x_0" localSheetId="80">'412'!$H$19:$H$20</definedName>
    <definedName name="OSRRefH16x_0" localSheetId="82">'413'!$H$19:$H$21</definedName>
    <definedName name="OSRRefH16x_0" localSheetId="83">'414'!$H$19:$H$21</definedName>
    <definedName name="OSRRefH16x_0" localSheetId="84">'415'!$H$18:$H$20</definedName>
    <definedName name="OSRRefH16x_0" localSheetId="85">'418'!$H$19:$H$21</definedName>
    <definedName name="OSRRefH16x_0" localSheetId="81">'420'!$H$17</definedName>
    <definedName name="OSRRefH16x_0" localSheetId="86">'423'!$H$15</definedName>
    <definedName name="OSRRefH16x_0" localSheetId="87">'424'!$H$19:$H$21</definedName>
    <definedName name="OSRRefH16x_0" localSheetId="88">'425'!$H$21:$H$23</definedName>
    <definedName name="OSRRefH16x_0" localSheetId="92">'433'!$H$19:$H$21</definedName>
    <definedName name="OSRRefH16x_0" localSheetId="93">'435'!$H$19:$H$21</definedName>
    <definedName name="OSRRefH16x_0" localSheetId="94">'444'!$H$19:$H$21</definedName>
    <definedName name="OSRRefH16x_0" localSheetId="95">'450'!$H$19:$H$21</definedName>
    <definedName name="OSRRefH16x_0" localSheetId="76">'491'!$H$27:$H$29</definedName>
    <definedName name="OSRRefH16x_0" localSheetId="90">'492'!$H$21:$H$23</definedName>
    <definedName name="OSRRefH16x_0" localSheetId="47">'Div 3'!$H$113:$H$165</definedName>
    <definedName name="OSRRefH16x_0" localSheetId="74">'Div 4'!$H$27:$H$29</definedName>
    <definedName name="OSRRefH16x_0" localSheetId="64">'Div 6'!$H$41:$H$54</definedName>
    <definedName name="OSRRefH16x_0" localSheetId="2">Summary!$H$138:$H$197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'204'!$H$21:$H$30</definedName>
    <definedName name="OSRRefH22_0x_0" localSheetId="45">'205'!$H$20:$H$28</definedName>
    <definedName name="OSRRefH22_0x_0" localSheetId="46">'206'!$H$20:$H$28</definedName>
    <definedName name="OSRRefH22_0x_0" localSheetId="48">'300'!$H$166:$H$175</definedName>
    <definedName name="OSRRefH22_0x_0" localSheetId="49">'300 &amp; 317'!$H$191:$H$200</definedName>
    <definedName name="OSRRefH22_0x_0" localSheetId="50">'301'!$H$20:$H$28</definedName>
    <definedName name="OSRRefH22_0x_0" localSheetId="51">'306'!$H$20:$H$28</definedName>
    <definedName name="OSRRefH22_0x_0" localSheetId="53">'307'!$H$79:$H$87</definedName>
    <definedName name="OSRRefH22_0x_0" localSheetId="55">'308'!$H$65:$H$74</definedName>
    <definedName name="OSRRefH22_0x_0" localSheetId="67">'309'!$H$26:$H$34</definedName>
    <definedName name="OSRRefH22_0x_0" localSheetId="66">'310'!$H$34:$H$42</definedName>
    <definedName name="OSRRefH22_0x_0" localSheetId="75">'310 &amp; 491'!$H$41:$H$50</definedName>
    <definedName name="OSRRefH22_0x_0" localSheetId="56">'311'!$H$65:$H$74</definedName>
    <definedName name="OSRRefH22_0x_0" localSheetId="68">'313'!$H$30:$H$38</definedName>
    <definedName name="OSRRefH22_0x_0" localSheetId="54">'314'!$H$58:$H$66</definedName>
    <definedName name="OSRRefH22_0x_0" localSheetId="59">'315'!$H$58:$H$66</definedName>
    <definedName name="OSRRefH22_0x_0" localSheetId="62">'316'!$H$35:$H$43</definedName>
    <definedName name="OSRRefH22_0x_0" localSheetId="65">'317'!$H$60:$H$69</definedName>
    <definedName name="OSRRefH22_0x_0" localSheetId="63">'320'!$H$31:$H$38</definedName>
    <definedName name="OSRRefH22_0x_0" localSheetId="69">'321'!$H$26:$H$33</definedName>
    <definedName name="OSRRefH22_0x_0" localSheetId="70">'322'!$H$26:$H$34</definedName>
    <definedName name="OSRRefH22_0x_0" localSheetId="71">'325'!$H$26:$H$34</definedName>
    <definedName name="OSRRefH22_0x_0" localSheetId="60">'326'!$H$57:$H$65</definedName>
    <definedName name="OSRRefH22_0x_0" localSheetId="72">'327'!$H$24</definedName>
    <definedName name="OSRRefH22_0x_0" localSheetId="52">'330'!$H$86:$H$94</definedName>
    <definedName name="OSRRefH22_0x_0" localSheetId="58">'331'!$H$73:$H$81</definedName>
    <definedName name="OSRRefH22_0x_0" localSheetId="61">'332'!$H$44:$H$52</definedName>
    <definedName name="OSRRefH22_0x_0" localSheetId="77">'405'!$H$26:$H$34</definedName>
    <definedName name="OSRRefH22_0x_0" localSheetId="78">'406'!$H$27:$H$35</definedName>
    <definedName name="OSRRefH22_0x_0" localSheetId="79">'411'!$H$20:$H$29</definedName>
    <definedName name="OSRRefH22_0x_0" localSheetId="80">'412'!$H$26:$H$34</definedName>
    <definedName name="OSRRefH22_0x_0" localSheetId="82">'413'!$H$27:$H$35</definedName>
    <definedName name="OSRRefH22_0x_0" localSheetId="83">'414'!$H$27:$H$35</definedName>
    <definedName name="OSRRefH22_0x_0" localSheetId="84">'415'!$H$26:$H$34</definedName>
    <definedName name="OSRRefH22_0x_0" localSheetId="85">'418'!$H$27:$H$35</definedName>
    <definedName name="OSRRefH22_0x_0" localSheetId="81">'420'!$H$23:$H$30</definedName>
    <definedName name="OSRRefH22_0x_0" localSheetId="86">'423'!$H$21:$H$29</definedName>
    <definedName name="OSRRefH22_0x_0" localSheetId="87">'424'!$H$27:$H$34</definedName>
    <definedName name="OSRRefH22_0x_0" localSheetId="88">'425'!$H$29:$H$38</definedName>
    <definedName name="OSRRefH22_0x_0" localSheetId="91">'430'!$H$20:$H$28</definedName>
    <definedName name="OSRRefH22_0x_0" localSheetId="92">'433'!$H$27:$H$36</definedName>
    <definedName name="OSRRefH22_0x_0" localSheetId="93">'435'!$H$27:$H$34</definedName>
    <definedName name="OSRRefH22_0x_0" localSheetId="94">'444'!$H$27:$H$36</definedName>
    <definedName name="OSRRefH22_0x_0" localSheetId="95">'450'!$H$27:$H$36</definedName>
    <definedName name="OSRRefH22_0x_0" localSheetId="89">'455'!$H$20:$H$27</definedName>
    <definedName name="OSRRefH22_0x_0" localSheetId="76">'491'!$H$35:$H$44</definedName>
    <definedName name="OSRRefH22_0x_0" localSheetId="90">'492'!$H$29:$H$38</definedName>
    <definedName name="OSRRefH22_0x_0" localSheetId="97">'501'!$H$21:$H$29</definedName>
    <definedName name="OSRRefH22_0x_0" localSheetId="39">'Div 2'!$H$21:$H$31</definedName>
    <definedName name="OSRRefH22_0x_0" localSheetId="47">'Div 3'!$H$171:$H$180</definedName>
    <definedName name="OSRRefH22_0x_0" localSheetId="74">'Div 4'!$H$35:$H$44</definedName>
    <definedName name="OSRRefH22_0x_0" localSheetId="96">'Div 5'!$H$21:$H$29</definedName>
    <definedName name="OSRRefH22_0x_0" localSheetId="64">'Div 6'!$H$60:$H$69</definedName>
    <definedName name="OSRRefH22_0x_0" localSheetId="2">Summary!$H$203:$H$212</definedName>
    <definedName name="OSRRefH22_10x_0" localSheetId="41">'201'!$H$58:$H$60</definedName>
    <definedName name="OSRRefH22_10x_0" localSheetId="42">'202'!$H$59</definedName>
    <definedName name="OSRRefH22_10x_0" localSheetId="43">'203'!$H$59:$H$60</definedName>
    <definedName name="OSRRefH22_10x_0" localSheetId="44">'204'!$H$64:$H$65</definedName>
    <definedName name="OSRRefH22_10x_0" localSheetId="46">'206'!$H$58</definedName>
    <definedName name="OSRRefH22_10x_0" localSheetId="48">'300'!$H$210:$H$211</definedName>
    <definedName name="OSRRefH22_10x_0" localSheetId="49">'300 &amp; 317'!$H$235:$H$236</definedName>
    <definedName name="OSRRefH22_10x_0" localSheetId="50">'301'!$H$63</definedName>
    <definedName name="OSRRefH22_10x_0" localSheetId="51">'306'!$H$61</definedName>
    <definedName name="OSRRefH22_10x_0" localSheetId="53">'307'!$H$119:$H$121</definedName>
    <definedName name="OSRRefH22_10x_0" localSheetId="55">'308'!$H$107</definedName>
    <definedName name="OSRRefH22_10x_0" localSheetId="67">'309'!$H$65:$H$67</definedName>
    <definedName name="OSRRefH22_10x_0" localSheetId="66">'310'!$H$73</definedName>
    <definedName name="OSRRefH22_10x_0" localSheetId="75">'310 &amp; 491'!$H$82</definedName>
    <definedName name="OSRRefH22_10x_0" localSheetId="56">'311'!$H$107</definedName>
    <definedName name="OSRRefH22_10x_0" localSheetId="68">'313'!$H$67:$H$69</definedName>
    <definedName name="OSRRefH22_10x_0" localSheetId="54">'314'!$H$96</definedName>
    <definedName name="OSRRefH22_10x_0" localSheetId="59">'315'!$H$97:$H$99</definedName>
    <definedName name="OSRRefH22_10x_0" localSheetId="62">'316'!$H$73:$H$74</definedName>
    <definedName name="OSRRefH22_10x_0" localSheetId="65">'317'!$H$99:$H$100</definedName>
    <definedName name="OSRRefH22_10x_0" localSheetId="69">'321'!$H$64:$H$65</definedName>
    <definedName name="OSRRefH22_10x_0" localSheetId="70">'322'!$H$66:$H$68</definedName>
    <definedName name="OSRRefH22_10x_0" localSheetId="71">'325'!$H$65</definedName>
    <definedName name="OSRRefH22_10x_0" localSheetId="60">'326'!$H$95</definedName>
    <definedName name="OSRRefH22_10x_0" localSheetId="52">'330'!$H$125:$H$126</definedName>
    <definedName name="OSRRefH22_10x_0" localSheetId="58">'331'!$H$113</definedName>
    <definedName name="OSRRefH22_10x_0" localSheetId="61">'332'!$H$82:$H$83</definedName>
    <definedName name="OSRRefH22_10x_0" localSheetId="77">'405'!$H$65</definedName>
    <definedName name="OSRRefH22_10x_0" localSheetId="78">'406'!$H$67:$H$69</definedName>
    <definedName name="OSRRefH22_10x_0" localSheetId="79">'411'!$H$61:$H$63</definedName>
    <definedName name="OSRRefH22_10x_0" localSheetId="80">'412'!$H$66</definedName>
    <definedName name="OSRRefH22_10x_0" localSheetId="82">'413'!$H$67:$H$73</definedName>
    <definedName name="OSRRefH22_10x_0" localSheetId="83">'414'!$H$66</definedName>
    <definedName name="OSRRefH22_10x_0" localSheetId="84">'415'!$H$65</definedName>
    <definedName name="OSRRefH22_10x_0" localSheetId="85">'418'!$H$66:$H$67</definedName>
    <definedName name="OSRRefH22_10x_0" localSheetId="87">'424'!$H$66:$H$70</definedName>
    <definedName name="OSRRefH22_10x_0" localSheetId="88">'425'!$H$70:$H$71</definedName>
    <definedName name="OSRRefH22_10x_0" localSheetId="91">'430'!$H$59</definedName>
    <definedName name="OSRRefH22_10x_0" localSheetId="92">'433'!$H$65:$H$67</definedName>
    <definedName name="OSRRefH22_10x_0" localSheetId="94">'444'!$H$65</definedName>
    <definedName name="OSRRefH22_10x_0" localSheetId="95">'450'!$H$66</definedName>
    <definedName name="OSRRefH22_10x_0" localSheetId="76">'491'!$H$76:$H$77</definedName>
    <definedName name="OSRRefH22_10x_0" localSheetId="90">'492'!$H$69</definedName>
    <definedName name="OSRRefH22_10x_0" localSheetId="97">'501'!$H$58:$H$61</definedName>
    <definedName name="OSRRefH22_10x_0" localSheetId="39">'Div 2'!$H$62</definedName>
    <definedName name="OSRRefH22_10x_0" localSheetId="47">'Div 3'!$H$215:$H$216</definedName>
    <definedName name="OSRRefH22_10x_0" localSheetId="74">'Div 4'!$H$78</definedName>
    <definedName name="OSRRefH22_10x_0" localSheetId="96">'Div 5'!$H$58:$H$61</definedName>
    <definedName name="OSRRefH22_10x_0" localSheetId="64">'Div 6'!$H$99:$H$100</definedName>
    <definedName name="OSRRefH22_10x_0" localSheetId="2">Summary!$H$248:$H$249</definedName>
    <definedName name="OSRRefH22_11x_0" localSheetId="41">'201'!$H$62:$H$64</definedName>
    <definedName name="OSRRefH22_11x_0" localSheetId="42">'202'!$H$61:$H$63</definedName>
    <definedName name="OSRRefH22_11x_0" localSheetId="43">'203'!$H$62</definedName>
    <definedName name="OSRRefH22_11x_0" localSheetId="44">'204'!$H$67</definedName>
    <definedName name="OSRRefH22_11x_0" localSheetId="48">'300'!$H$213</definedName>
    <definedName name="OSRRefH22_11x_0" localSheetId="49">'300 &amp; 317'!$H$238</definedName>
    <definedName name="OSRRefH22_11x_0" localSheetId="50">'301'!$H$65</definedName>
    <definedName name="OSRRefH22_11x_0" localSheetId="53">'307'!$H$123</definedName>
    <definedName name="OSRRefH22_11x_0" localSheetId="55">'308'!$H$109:$H$111</definedName>
    <definedName name="OSRRefH22_11x_0" localSheetId="67">'309'!$H$69:$H$71</definedName>
    <definedName name="OSRRefH22_11x_0" localSheetId="66">'310'!$H$75</definedName>
    <definedName name="OSRRefH22_11x_0" localSheetId="75">'310 &amp; 491'!$H$84:$H$85</definedName>
    <definedName name="OSRRefH22_11x_0" localSheetId="56">'311'!$H$109:$H$111</definedName>
    <definedName name="OSRRefH22_11x_0" localSheetId="68">'313'!$H$71</definedName>
    <definedName name="OSRRefH22_11x_0" localSheetId="59">'315'!$H$101:$H$102</definedName>
    <definedName name="OSRRefH22_11x_0" localSheetId="62">'316'!$H$76:$H$80</definedName>
    <definedName name="OSRRefH22_11x_0" localSheetId="65">'317'!$H$102</definedName>
    <definedName name="OSRRefH22_11x_0" localSheetId="69">'321'!$H$67:$H$69</definedName>
    <definedName name="OSRRefH22_11x_0" localSheetId="70">'322'!$H$70:$H$75</definedName>
    <definedName name="OSRRefH22_11x_0" localSheetId="71">'325'!$H$67:$H$69</definedName>
    <definedName name="OSRRefH22_11x_0" localSheetId="60">'326'!$H$97</definedName>
    <definedName name="OSRRefH22_11x_0" localSheetId="52">'330'!$H$128</definedName>
    <definedName name="OSRRefH22_11x_0" localSheetId="58">'331'!$H$115</definedName>
    <definedName name="OSRRefH22_11x_0" localSheetId="61">'332'!$H$85:$H$86</definedName>
    <definedName name="OSRRefH22_11x_0" localSheetId="77">'405'!$H$67:$H$69</definedName>
    <definedName name="OSRRefH22_11x_0" localSheetId="78">'406'!$H$71:$H$76</definedName>
    <definedName name="OSRRefH22_11x_0" localSheetId="79">'411'!$H$65:$H$69</definedName>
    <definedName name="OSRRefH22_11x_0" localSheetId="80">'412'!$H$68:$H$70</definedName>
    <definedName name="OSRRefH22_11x_0" localSheetId="82">'413'!$H$75:$H$76</definedName>
    <definedName name="OSRRefH22_11x_0" localSheetId="83">'414'!$H$68</definedName>
    <definedName name="OSRRefH22_11x_0" localSheetId="84">'415'!$H$67:$H$70</definedName>
    <definedName name="OSRRefH22_11x_0" localSheetId="85">'418'!$H$69:$H$71</definedName>
    <definedName name="OSRRefH22_11x_0" localSheetId="87">'424'!$H$72:$H$73</definedName>
    <definedName name="OSRRefH22_11x_0" localSheetId="88">'425'!$H$73:$H$74</definedName>
    <definedName name="OSRRefH22_11x_0" localSheetId="92">'433'!$H$69:$H$72</definedName>
    <definedName name="OSRRefH22_11x_0" localSheetId="94">'444'!$H$67:$H$69</definedName>
    <definedName name="OSRRefH22_11x_0" localSheetId="95">'450'!$H$68:$H$71</definedName>
    <definedName name="OSRRefH22_11x_0" localSheetId="76">'491'!$H$79</definedName>
    <definedName name="OSRRefH22_11x_0" localSheetId="90">'492'!$H$71</definedName>
    <definedName name="OSRRefH22_11x_0" localSheetId="97">'501'!$H$63</definedName>
    <definedName name="OSRRefH22_11x_0" localSheetId="39">'Div 2'!$H$64</definedName>
    <definedName name="OSRRefH22_11x_0" localSheetId="47">'Div 3'!$H$218</definedName>
    <definedName name="OSRRefH22_11x_0" localSheetId="74">'Div 4'!$H$80:$H$81</definedName>
    <definedName name="OSRRefH22_11x_0" localSheetId="96">'Div 5'!$H$63</definedName>
    <definedName name="OSRRefH22_11x_0" localSheetId="64">'Div 6'!$H$102</definedName>
    <definedName name="OSRRefH22_11x_0" localSheetId="2">Summary!$H$251:$H$252</definedName>
    <definedName name="OSRRefH22_12x_0" localSheetId="41">'201'!$H$66</definedName>
    <definedName name="OSRRefH22_12x_0" localSheetId="42">'202'!$H$65</definedName>
    <definedName name="OSRRefH22_12x_0" localSheetId="43">'203'!$H$64:$H$66</definedName>
    <definedName name="OSRRefH22_12x_0" localSheetId="44">'204'!$H$69:$H$70</definedName>
    <definedName name="OSRRefH22_12x_0" localSheetId="48">'300'!$H$215</definedName>
    <definedName name="OSRRefH22_12x_0" localSheetId="49">'300 &amp; 317'!$H$240</definedName>
    <definedName name="OSRRefH22_12x_0" localSheetId="50">'301'!$H$67</definedName>
    <definedName name="OSRRefH22_12x_0" localSheetId="53">'307'!$H$125</definedName>
    <definedName name="OSRRefH22_12x_0" localSheetId="55">'308'!$H$113:$H$114</definedName>
    <definedName name="OSRRefH22_12x_0" localSheetId="67">'309'!$H$73</definedName>
    <definedName name="OSRRefH22_12x_0" localSheetId="66">'310'!$H$77</definedName>
    <definedName name="OSRRefH22_12x_0" localSheetId="75">'310 &amp; 491'!$H$87</definedName>
    <definedName name="OSRRefH22_12x_0" localSheetId="56">'311'!$H$113:$H$114</definedName>
    <definedName name="OSRRefH22_12x_0" localSheetId="68">'313'!$H$73:$H$77</definedName>
    <definedName name="OSRRefH22_12x_0" localSheetId="59">'315'!$H$104:$H$108</definedName>
    <definedName name="OSRRefH22_12x_0" localSheetId="62">'316'!$H$82:$H$83</definedName>
    <definedName name="OSRRefH22_12x_0" localSheetId="65">'317'!$H$104</definedName>
    <definedName name="OSRRefH22_12x_0" localSheetId="69">'321'!$H$71:$H$73</definedName>
    <definedName name="OSRRefH22_12x_0" localSheetId="70">'322'!$H$77</definedName>
    <definedName name="OSRRefH22_12x_0" localSheetId="71">'325'!$H$71:$H$74</definedName>
    <definedName name="OSRRefH22_12x_0" localSheetId="60">'326'!$H$99</definedName>
    <definedName name="OSRRefH22_12x_0" localSheetId="52">'330'!$H$130:$H$132</definedName>
    <definedName name="OSRRefH22_12x_0" localSheetId="58">'331'!$H$117</definedName>
    <definedName name="OSRRefH22_12x_0" localSheetId="61">'332'!$H$88:$H$92</definedName>
    <definedName name="OSRRefH22_12x_0" localSheetId="77">'405'!$H$71</definedName>
    <definedName name="OSRRefH22_12x_0" localSheetId="78">'406'!$H$78:$H$79</definedName>
    <definedName name="OSRRefH22_12x_0" localSheetId="79">'411'!$H$71</definedName>
    <definedName name="OSRRefH22_12x_0" localSheetId="80">'412'!$H$72:$H$77</definedName>
    <definedName name="OSRRefH22_12x_0" localSheetId="82">'413'!$H$78</definedName>
    <definedName name="OSRRefH22_12x_0" localSheetId="83">'414'!$H$70</definedName>
    <definedName name="OSRRefH22_12x_0" localSheetId="84">'415'!$H$72:$H$76</definedName>
    <definedName name="OSRRefH22_12x_0" localSheetId="85">'418'!$H$73:$H$75</definedName>
    <definedName name="OSRRefH22_12x_0" localSheetId="88">'425'!$H$76</definedName>
    <definedName name="OSRRefH22_12x_0" localSheetId="92">'433'!$H$74:$H$81</definedName>
    <definedName name="OSRRefH22_12x_0" localSheetId="94">'444'!$H$71:$H$74</definedName>
    <definedName name="OSRRefH22_12x_0" localSheetId="95">'450'!$H$73:$H$75</definedName>
    <definedName name="OSRRefH22_12x_0" localSheetId="76">'491'!$H$81</definedName>
    <definedName name="OSRRefH22_12x_0" localSheetId="90">'492'!$H$73:$H$76</definedName>
    <definedName name="OSRRefH22_12x_0" localSheetId="97">'501'!$H$65:$H$67</definedName>
    <definedName name="OSRRefH22_12x_0" localSheetId="39">'Div 2'!$H$66:$H$68</definedName>
    <definedName name="OSRRefH22_12x_0" localSheetId="47">'Div 3'!$H$220</definedName>
    <definedName name="OSRRefH22_12x_0" localSheetId="74">'Div 4'!$H$83</definedName>
    <definedName name="OSRRefH22_12x_0" localSheetId="96">'Div 5'!$H$65:$H$67</definedName>
    <definedName name="OSRRefH22_12x_0" localSheetId="64">'Div 6'!$H$104</definedName>
    <definedName name="OSRRefH22_12x_0" localSheetId="2">Summary!$H$254</definedName>
    <definedName name="OSRRefH22_13x_0" localSheetId="41">'201'!$H$68:$H$70</definedName>
    <definedName name="OSRRefH22_13x_0" localSheetId="42">'202'!$H$67</definedName>
    <definedName name="OSRRefH22_13x_0" localSheetId="43">'203'!$H$68</definedName>
    <definedName name="OSRRefH22_13x_0" localSheetId="48">'300'!$H$217</definedName>
    <definedName name="OSRRefH22_13x_0" localSheetId="49">'300 &amp; 317'!$H$242</definedName>
    <definedName name="OSRRefH22_13x_0" localSheetId="50">'301'!$H$69</definedName>
    <definedName name="OSRRefH22_13x_0" localSheetId="55">'308'!$H$116</definedName>
    <definedName name="OSRRefH22_13x_0" localSheetId="67">'309'!$H$75</definedName>
    <definedName name="OSRRefH22_13x_0" localSheetId="66">'310'!$H$79</definedName>
    <definedName name="OSRRefH22_13x_0" localSheetId="75">'310 &amp; 491'!$H$89</definedName>
    <definedName name="OSRRefH22_13x_0" localSheetId="56">'311'!$H$116</definedName>
    <definedName name="OSRRefH22_13x_0" localSheetId="68">'313'!$H$79</definedName>
    <definedName name="OSRRefH22_13x_0" localSheetId="59">'315'!$H$110</definedName>
    <definedName name="OSRRefH22_13x_0" localSheetId="62">'316'!$H$85</definedName>
    <definedName name="OSRRefH22_13x_0" localSheetId="69">'321'!$H$75</definedName>
    <definedName name="OSRRefH22_13x_0" localSheetId="70">'322'!$H$79</definedName>
    <definedName name="OSRRefH22_13x_0" localSheetId="71">'325'!$H$76</definedName>
    <definedName name="OSRRefH22_13x_0" localSheetId="60">'326'!$H$101:$H$102</definedName>
    <definedName name="OSRRefH22_13x_0" localSheetId="52">'330'!$H$134</definedName>
    <definedName name="OSRRefH22_13x_0" localSheetId="58">'331'!$H$119</definedName>
    <definedName name="OSRRefH22_13x_0" localSheetId="61">'332'!$H$94:$H$95</definedName>
    <definedName name="OSRRefH22_13x_0" localSheetId="77">'405'!$H$73:$H$75</definedName>
    <definedName name="OSRRefH22_13x_0" localSheetId="78">'406'!$H$81</definedName>
    <definedName name="OSRRefH22_13x_0" localSheetId="79">'411'!$H$73:$H$80</definedName>
    <definedName name="OSRRefH22_13x_0" localSheetId="80">'412'!$H$79</definedName>
    <definedName name="OSRRefH22_13x_0" localSheetId="83">'414'!$H$72:$H$78</definedName>
    <definedName name="OSRRefH22_13x_0" localSheetId="84">'415'!$H$78:$H$79</definedName>
    <definedName name="OSRRefH22_13x_0" localSheetId="85">'418'!$H$77:$H$78</definedName>
    <definedName name="OSRRefH22_13x_0" localSheetId="88">'425'!$H$78:$H$84</definedName>
    <definedName name="OSRRefH22_13x_0" localSheetId="92">'433'!$H$83</definedName>
    <definedName name="OSRRefH22_13x_0" localSheetId="94">'444'!$H$76:$H$83</definedName>
    <definedName name="OSRRefH22_13x_0" localSheetId="95">'450'!$H$77:$H$82</definedName>
    <definedName name="OSRRefH22_13x_0" localSheetId="76">'491'!$H$83</definedName>
    <definedName name="OSRRefH22_13x_0" localSheetId="90">'492'!$H$78:$H$81</definedName>
    <definedName name="OSRRefH22_13x_0" localSheetId="97">'501'!$H$69</definedName>
    <definedName name="OSRRefH22_13x_0" localSheetId="39">'Div 2'!$H$70:$H$73</definedName>
    <definedName name="OSRRefH22_13x_0" localSheetId="47">'Div 3'!$H$222</definedName>
    <definedName name="OSRRefH22_13x_0" localSheetId="74">'Div 4'!$H$85</definedName>
    <definedName name="OSRRefH22_13x_0" localSheetId="96">'Div 5'!$H$69</definedName>
    <definedName name="OSRRefH22_13x_0" localSheetId="2">Summary!$H$256</definedName>
    <definedName name="OSRRefH22_14x_0" localSheetId="41">'201'!$H$72</definedName>
    <definedName name="OSRRefH22_14x_0" localSheetId="42">'202'!$H$69:$H$70</definedName>
    <definedName name="OSRRefH22_14x_0" localSheetId="43">'203'!$H$70</definedName>
    <definedName name="OSRRefH22_14x_0" localSheetId="48">'300'!$H$219</definedName>
    <definedName name="OSRRefH22_14x_0" localSheetId="49">'300 &amp; 317'!$H$244</definedName>
    <definedName name="OSRRefH22_14x_0" localSheetId="50">'301'!$H$71</definedName>
    <definedName name="OSRRefH22_14x_0" localSheetId="55">'308'!$H$118:$H$119</definedName>
    <definedName name="OSRRefH22_14x_0" localSheetId="66">'310'!$H$81</definedName>
    <definedName name="OSRRefH22_14x_0" localSheetId="75">'310 &amp; 491'!$H$91</definedName>
    <definedName name="OSRRefH22_14x_0" localSheetId="56">'311'!$H$118:$H$119</definedName>
    <definedName name="OSRRefH22_14x_0" localSheetId="68">'313'!$H$81</definedName>
    <definedName name="OSRRefH22_14x_0" localSheetId="59">'315'!$H$112</definedName>
    <definedName name="OSRRefH22_14x_0" localSheetId="69">'321'!$H$77</definedName>
    <definedName name="OSRRefH22_14x_0" localSheetId="71">'325'!$H$78:$H$84</definedName>
    <definedName name="OSRRefH22_14x_0" localSheetId="60">'326'!$H$104:$H$106</definedName>
    <definedName name="OSRRefH22_14x_0" localSheetId="52">'330'!$H$136</definedName>
    <definedName name="OSRRefH22_14x_0" localSheetId="58">'331'!$H$121:$H$122</definedName>
    <definedName name="OSRRefH22_14x_0" localSheetId="61">'332'!$H$97</definedName>
    <definedName name="OSRRefH22_14x_0" localSheetId="77">'405'!$H$77:$H$78</definedName>
    <definedName name="OSRRefH22_14x_0" localSheetId="78">'406'!$H$83</definedName>
    <definedName name="OSRRefH22_14x_0" localSheetId="79">'411'!$H$82</definedName>
    <definedName name="OSRRefH22_14x_0" localSheetId="80">'412'!$H$81</definedName>
    <definedName name="OSRRefH22_14x_0" localSheetId="83">'414'!$H$80</definedName>
    <definedName name="OSRRefH22_14x_0" localSheetId="84">'415'!$H$81:$H$89</definedName>
    <definedName name="OSRRefH22_14x_0" localSheetId="85">'418'!$H$80:$H$86</definedName>
    <definedName name="OSRRefH22_14x_0" localSheetId="88">'425'!$H$86:$H$87</definedName>
    <definedName name="OSRRefH22_14x_0" localSheetId="92">'433'!$H$85</definedName>
    <definedName name="OSRRefH22_14x_0" localSheetId="94">'444'!$H$85</definedName>
    <definedName name="OSRRefH22_14x_0" localSheetId="95">'450'!$H$84</definedName>
    <definedName name="OSRRefH22_14x_0" localSheetId="76">'491'!$H$85</definedName>
    <definedName name="OSRRefH22_14x_0" localSheetId="90">'492'!$H$83:$H$91</definedName>
    <definedName name="OSRRefH22_14x_0" localSheetId="97">'501'!$H$71</definedName>
    <definedName name="OSRRefH22_14x_0" localSheetId="39">'Div 2'!$H$75:$H$78</definedName>
    <definedName name="OSRRefH22_14x_0" localSheetId="47">'Div 3'!$H$224</definedName>
    <definedName name="OSRRefH22_14x_0" localSheetId="74">'Div 4'!$H$87</definedName>
    <definedName name="OSRRefH22_14x_0" localSheetId="96">'Div 5'!$H$71</definedName>
    <definedName name="OSRRefH22_14x_0" localSheetId="2">Summary!$H$258</definedName>
    <definedName name="OSRRefH22_15x_0" localSheetId="41">'201'!$H$74</definedName>
    <definedName name="OSRRefH22_15x_0" localSheetId="42">'202'!$H$72</definedName>
    <definedName name="OSRRefH22_15x_0" localSheetId="43">'203'!$H$72</definedName>
    <definedName name="OSRRefH22_15x_0" localSheetId="48">'300'!$H$221</definedName>
    <definedName name="OSRRefH22_15x_0" localSheetId="49">'300 &amp; 317'!$H$246</definedName>
    <definedName name="OSRRefH22_15x_0" localSheetId="50">'301'!$H$73:$H$76</definedName>
    <definedName name="OSRRefH22_15x_0" localSheetId="66">'310'!$H$83:$H$85</definedName>
    <definedName name="OSRRefH22_15x_0" localSheetId="75">'310 &amp; 491'!$H$93</definedName>
    <definedName name="OSRRefH22_15x_0" localSheetId="59">'315'!$H$114:$H$115</definedName>
    <definedName name="OSRRefH22_15x_0" localSheetId="71">'325'!$H$86</definedName>
    <definedName name="OSRRefH22_15x_0" localSheetId="60">'326'!$H$108:$H$109</definedName>
    <definedName name="OSRRefH22_15x_0" localSheetId="52">'330'!$H$138</definedName>
    <definedName name="OSRRefH22_15x_0" localSheetId="58">'331'!$H$124:$H$126</definedName>
    <definedName name="OSRRefH22_15x_0" localSheetId="77">'405'!$H$80:$H$88</definedName>
    <definedName name="OSRRefH22_15x_0" localSheetId="79">'411'!$H$84</definedName>
    <definedName name="OSRRefH22_15x_0" localSheetId="80">'412'!$H$83</definedName>
    <definedName name="OSRRefH22_15x_0" localSheetId="83">'414'!$H$82</definedName>
    <definedName name="OSRRefH22_15x_0" localSheetId="84">'415'!$H$91</definedName>
    <definedName name="OSRRefH22_15x_0" localSheetId="85">'418'!$H$88</definedName>
    <definedName name="OSRRefH22_15x_0" localSheetId="88">'425'!$H$89</definedName>
    <definedName name="OSRRefH22_15x_0" localSheetId="92">'433'!$H$87:$H$88</definedName>
    <definedName name="OSRRefH22_15x_0" localSheetId="94">'444'!$H$87</definedName>
    <definedName name="OSRRefH22_15x_0" localSheetId="95">'450'!$H$86</definedName>
    <definedName name="OSRRefH22_15x_0" localSheetId="76">'491'!$H$87:$H$90</definedName>
    <definedName name="OSRRefH22_15x_0" localSheetId="90">'492'!$H$93</definedName>
    <definedName name="OSRRefH22_15x_0" localSheetId="39">'Div 2'!$H$80:$H$81</definedName>
    <definedName name="OSRRefH22_15x_0" localSheetId="47">'Div 3'!$H$226</definedName>
    <definedName name="OSRRefH22_15x_0" localSheetId="74">'Div 4'!$H$89</definedName>
    <definedName name="OSRRefH22_15x_0" localSheetId="2">Summary!$H$260</definedName>
    <definedName name="OSRRefH22_16x_0" localSheetId="41">'201'!$H$76:$H$77</definedName>
    <definedName name="OSRRefH22_16x_0" localSheetId="42">'202'!$H$74</definedName>
    <definedName name="OSRRefH22_16x_0" localSheetId="48">'300'!$H$223:$H$226</definedName>
    <definedName name="OSRRefH22_16x_0" localSheetId="49">'300 &amp; 317'!$H$248:$H$251</definedName>
    <definedName name="OSRRefH22_16x_0" localSheetId="50">'301'!$H$78:$H$80</definedName>
    <definedName name="OSRRefH22_16x_0" localSheetId="66">'310'!$H$87:$H$88</definedName>
    <definedName name="OSRRefH22_16x_0" localSheetId="75">'310 &amp; 491'!$H$95</definedName>
    <definedName name="OSRRefH22_16x_0" localSheetId="71">'325'!$H$88</definedName>
    <definedName name="OSRRefH22_16x_0" localSheetId="60">'326'!$H$111:$H$116</definedName>
    <definedName name="OSRRefH22_16x_0" localSheetId="58">'331'!$H$128:$H$130</definedName>
    <definedName name="OSRRefH22_16x_0" localSheetId="77">'405'!$H$90</definedName>
    <definedName name="OSRRefH22_16x_0" localSheetId="79">'411'!$H$86:$H$88</definedName>
    <definedName name="OSRRefH22_16x_0" localSheetId="84">'415'!$H$93</definedName>
    <definedName name="OSRRefH22_16x_0" localSheetId="85">'418'!$H$90</definedName>
    <definedName name="OSRRefH22_16x_0" localSheetId="88">'425'!$H$91</definedName>
    <definedName name="OSRRefH22_16x_0" localSheetId="94">'444'!$H$89</definedName>
    <definedName name="OSRRefH22_16x_0" localSheetId="95">'450'!$H$88:$H$89</definedName>
    <definedName name="OSRRefH22_16x_0" localSheetId="76">'491'!$H$92:$H$95</definedName>
    <definedName name="OSRRefH22_16x_0" localSheetId="90">'492'!$H$95</definedName>
    <definedName name="OSRRefH22_16x_0" localSheetId="39">'Div 2'!$H$83:$H$84</definedName>
    <definedName name="OSRRefH22_16x_0" localSheetId="47">'Div 3'!$H$228</definedName>
    <definedName name="OSRRefH22_16x_0" localSheetId="74">'Div 4'!$H$91</definedName>
    <definedName name="OSRRefH22_16x_0" localSheetId="2">Summary!$H$262</definedName>
    <definedName name="OSRRefH22_17x_0" localSheetId="48">'300'!$H$228:$H$231</definedName>
    <definedName name="OSRRefH22_17x_0" localSheetId="49">'300 &amp; 317'!$H$253:$H$256</definedName>
    <definedName name="OSRRefH22_17x_0" localSheetId="50">'301'!$H$82:$H$83</definedName>
    <definedName name="OSRRefH22_17x_0" localSheetId="66">'310'!$H$90:$H$94</definedName>
    <definedName name="OSRRefH22_17x_0" localSheetId="75">'310 &amp; 491'!$H$97:$H$100</definedName>
    <definedName name="OSRRefH22_17x_0" localSheetId="71">'325'!$H$90</definedName>
    <definedName name="OSRRefH22_17x_0" localSheetId="60">'326'!$H$118:$H$119</definedName>
    <definedName name="OSRRefH22_17x_0" localSheetId="58">'331'!$H$132:$H$133</definedName>
    <definedName name="OSRRefH22_17x_0" localSheetId="77">'405'!$H$92</definedName>
    <definedName name="OSRRefH22_17x_0" localSheetId="79">'411'!$H$90</definedName>
    <definedName name="OSRRefH22_17x_0" localSheetId="84">'415'!$H$95:$H$96</definedName>
    <definedName name="OSRRefH22_17x_0" localSheetId="85">'418'!$H$92</definedName>
    <definedName name="OSRRefH22_17x_0" localSheetId="76">'491'!$H$97:$H$101</definedName>
    <definedName name="OSRRefH22_17x_0" localSheetId="90">'492'!$H$97:$H$98</definedName>
    <definedName name="OSRRefH22_17x_0" localSheetId="39">'Div 2'!$H$86:$H$90</definedName>
    <definedName name="OSRRefH22_17x_0" localSheetId="47">'Div 3'!$H$230</definedName>
    <definedName name="OSRRefH22_17x_0" localSheetId="74">'Div 4'!$H$93:$H$96</definedName>
    <definedName name="OSRRefH22_17x_0" localSheetId="2">Summary!$H$264</definedName>
    <definedName name="OSRRefH22_18x_0" localSheetId="48">'300'!$H$233:$H$236</definedName>
    <definedName name="OSRRefH22_18x_0" localSheetId="49">'300 &amp; 317'!$H$258:$H$261</definedName>
    <definedName name="OSRRefH22_18x_0" localSheetId="50">'301'!$H$85:$H$90</definedName>
    <definedName name="OSRRefH22_18x_0" localSheetId="66">'310'!$H$96</definedName>
    <definedName name="OSRRefH22_18x_0" localSheetId="75">'310 &amp; 491'!$H$102:$H$105</definedName>
    <definedName name="OSRRefH22_18x_0" localSheetId="71">'325'!$H$92</definedName>
    <definedName name="OSRRefH22_18x_0" localSheetId="60">'326'!$H$121</definedName>
    <definedName name="OSRRefH22_18x_0" localSheetId="58">'331'!$H$135:$H$140</definedName>
    <definedName name="OSRRefH22_18x_0" localSheetId="77">'405'!$H$94</definedName>
    <definedName name="OSRRefH22_18x_0" localSheetId="84">'415'!$H$98</definedName>
    <definedName name="OSRRefH22_18x_0" localSheetId="76">'491'!$H$103:$H$104</definedName>
    <definedName name="OSRRefH22_18x_0" localSheetId="39">'Div 2'!$H$92:$H$93</definedName>
    <definedName name="OSRRefH22_18x_0" localSheetId="47">'Div 3'!$H$232:$H$235</definedName>
    <definedName name="OSRRefH22_18x_0" localSheetId="74">'Div 4'!$H$98:$H$101</definedName>
    <definedName name="OSRRefH22_18x_0" localSheetId="2">Summary!$H$266:$H$269</definedName>
    <definedName name="OSRRefH22_19x_0" localSheetId="48">'300'!$H$238:$H$239</definedName>
    <definedName name="OSRRefH22_19x_0" localSheetId="49">'300 &amp; 317'!$H$263:$H$264</definedName>
    <definedName name="OSRRefH22_19x_0" localSheetId="50">'301'!$H$92</definedName>
    <definedName name="OSRRefH22_19x_0" localSheetId="66">'310'!$H$98:$H$106</definedName>
    <definedName name="OSRRefH22_19x_0" localSheetId="75">'310 &amp; 491'!$H$107:$H$112</definedName>
    <definedName name="OSRRefH22_19x_0" localSheetId="60">'326'!$H$123</definedName>
    <definedName name="OSRRefH22_19x_0" localSheetId="58">'331'!$H$142:$H$143</definedName>
    <definedName name="OSRRefH22_19x_0" localSheetId="77">'405'!$H$96</definedName>
    <definedName name="OSRRefH22_19x_0" localSheetId="76">'491'!$H$106:$H$115</definedName>
    <definedName name="OSRRefH22_19x_0" localSheetId="39">'Div 2'!$H$95</definedName>
    <definedName name="OSRRefH22_19x_0" localSheetId="47">'Div 3'!$H$237:$H$240</definedName>
    <definedName name="OSRRefH22_19x_0" localSheetId="74">'Div 4'!$H$103:$H$107</definedName>
    <definedName name="OSRRefH22_19x_0" localSheetId="2">Summary!$H$271:$H$274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'204'!$H$32:$H$41</definedName>
    <definedName name="OSRRefH22_1x_0" localSheetId="45">'205'!$H$30:$H$39</definedName>
    <definedName name="OSRRefH22_1x_0" localSheetId="46">'206'!$H$30:$H$39</definedName>
    <definedName name="OSRRefH22_1x_0" localSheetId="48">'300'!$H$177:$H$186</definedName>
    <definedName name="OSRRefH22_1x_0" localSheetId="49">'300 &amp; 317'!$H$202:$H$211</definedName>
    <definedName name="OSRRefH22_1x_0" localSheetId="50">'301'!$H$30:$H$39</definedName>
    <definedName name="OSRRefH22_1x_0" localSheetId="51">'306'!$H$30:$H$39</definedName>
    <definedName name="OSRRefH22_1x_0" localSheetId="53">'307'!$H$89:$H$98</definedName>
    <definedName name="OSRRefH22_1x_0" localSheetId="55">'308'!$H$76:$H$85</definedName>
    <definedName name="OSRRefH22_1x_0" localSheetId="67">'309'!$H$36:$H$45</definedName>
    <definedName name="OSRRefH22_1x_0" localSheetId="66">'310'!$H$44:$H$53</definedName>
    <definedName name="OSRRefH22_1x_0" localSheetId="75">'310 &amp; 491'!$H$52:$H$61</definedName>
    <definedName name="OSRRefH22_1x_0" localSheetId="56">'311'!$H$76:$H$85</definedName>
    <definedName name="OSRRefH22_1x_0" localSheetId="68">'313'!$H$40:$H$49</definedName>
    <definedName name="OSRRefH22_1x_0" localSheetId="54">'314'!$H$68:$H$77</definedName>
    <definedName name="OSRRefH22_1x_0" localSheetId="59">'315'!$H$68:$H$77</definedName>
    <definedName name="OSRRefH22_1x_0" localSheetId="62">'316'!$H$45:$H$54</definedName>
    <definedName name="OSRRefH22_1x_0" localSheetId="65">'317'!$H$71:$H$80</definedName>
    <definedName name="OSRRefH22_1x_0" localSheetId="63">'320'!$H$40:$H$49</definedName>
    <definedName name="OSRRefH22_1x_0" localSheetId="69">'321'!$H$35:$H$44</definedName>
    <definedName name="OSRRefH22_1x_0" localSheetId="70">'322'!$H$36:$H$45</definedName>
    <definedName name="OSRRefH22_1x_0" localSheetId="71">'325'!$H$36:$H$45</definedName>
    <definedName name="OSRRefH22_1x_0" localSheetId="60">'326'!$H$67:$H$76</definedName>
    <definedName name="OSRRefH22_1x_0" localSheetId="72">'327'!$H$26</definedName>
    <definedName name="OSRRefH22_1x_0" localSheetId="52">'330'!$H$96:$H$105</definedName>
    <definedName name="OSRRefH22_1x_0" localSheetId="58">'331'!$H$83:$H$92</definedName>
    <definedName name="OSRRefH22_1x_0" localSheetId="61">'332'!$H$54:$H$63</definedName>
    <definedName name="OSRRefH22_1x_0" localSheetId="77">'405'!$H$36:$H$45</definedName>
    <definedName name="OSRRefH22_1x_0" localSheetId="78">'406'!$H$37:$H$46</definedName>
    <definedName name="OSRRefH22_1x_0" localSheetId="79">'411'!$H$31:$H$40</definedName>
    <definedName name="OSRRefH22_1x_0" localSheetId="80">'412'!$H$36:$H$45</definedName>
    <definedName name="OSRRefH22_1x_0" localSheetId="82">'413'!$H$37:$H$46</definedName>
    <definedName name="OSRRefH22_1x_0" localSheetId="83">'414'!$H$37:$H$46</definedName>
    <definedName name="OSRRefH22_1x_0" localSheetId="84">'415'!$H$36:$H$45</definedName>
    <definedName name="OSRRefH22_1x_0" localSheetId="85">'418'!$H$37:$H$46</definedName>
    <definedName name="OSRRefH22_1x_0" localSheetId="81">'420'!$H$32:$H$35</definedName>
    <definedName name="OSRRefH22_1x_0" localSheetId="86">'423'!$H$31:$H$40</definedName>
    <definedName name="OSRRefH22_1x_0" localSheetId="87">'424'!$H$36:$H$45</definedName>
    <definedName name="OSRRefH22_1x_0" localSheetId="88">'425'!$H$40:$H$49</definedName>
    <definedName name="OSRRefH22_1x_0" localSheetId="91">'430'!$H$30:$H$39</definedName>
    <definedName name="OSRRefH22_1x_0" localSheetId="92">'433'!$H$38:$H$47</definedName>
    <definedName name="OSRRefH22_1x_0" localSheetId="93">'435'!$H$36:$H$45</definedName>
    <definedName name="OSRRefH22_1x_0" localSheetId="94">'444'!$H$38:$H$47</definedName>
    <definedName name="OSRRefH22_1x_0" localSheetId="95">'450'!$H$38:$H$47</definedName>
    <definedName name="OSRRefH22_1x_0" localSheetId="89">'455'!$H$29:$H$38</definedName>
    <definedName name="OSRRefH22_1x_0" localSheetId="76">'491'!$H$46:$H$55</definedName>
    <definedName name="OSRRefH22_1x_0" localSheetId="90">'492'!$H$40:$H$49</definedName>
    <definedName name="OSRRefH22_1x_0" localSheetId="97">'501'!$H$31:$H$40</definedName>
    <definedName name="OSRRefH22_1x_0" localSheetId="39">'Div 2'!$H$33:$H$42</definedName>
    <definedName name="OSRRefH22_1x_0" localSheetId="47">'Div 3'!$H$182:$H$191</definedName>
    <definedName name="OSRRefH22_1x_0" localSheetId="74">'Div 4'!$H$46:$H$55</definedName>
    <definedName name="OSRRefH22_1x_0" localSheetId="96">'Div 5'!$H$31:$H$40</definedName>
    <definedName name="OSRRefH22_1x_0" localSheetId="64">'Div 6'!$H$71:$H$80</definedName>
    <definedName name="OSRRefH22_1x_0" localSheetId="2">Summary!$H$214:$H$223</definedName>
    <definedName name="OSRRefH22_20x_0" localSheetId="48">'300'!$H$241:$H$247</definedName>
    <definedName name="OSRRefH22_20x_0" localSheetId="49">'300 &amp; 317'!$H$266:$H$272</definedName>
    <definedName name="OSRRefH22_20x_0" localSheetId="50">'301'!$H$94</definedName>
    <definedName name="OSRRefH22_20x_0" localSheetId="66">'310'!$H$108</definedName>
    <definedName name="OSRRefH22_20x_0" localSheetId="75">'310 &amp; 491'!$H$114:$H$115</definedName>
    <definedName name="OSRRefH22_20x_0" localSheetId="60">'326'!$H$125</definedName>
    <definedName name="OSRRefH22_20x_0" localSheetId="58">'331'!$H$145</definedName>
    <definedName name="OSRRefH22_20x_0" localSheetId="76">'491'!$H$117:$H$118</definedName>
    <definedName name="OSRRefH22_20x_0" localSheetId="39">'Div 2'!$H$97:$H$98</definedName>
    <definedName name="OSRRefH22_20x_0" localSheetId="47">'Div 3'!$H$242:$H$247</definedName>
    <definedName name="OSRRefH22_20x_0" localSheetId="74">'Div 4'!$H$109:$H$110</definedName>
    <definedName name="OSRRefH22_20x_0" localSheetId="2">Summary!$H$276:$H$281</definedName>
    <definedName name="OSRRefH22_21x_0" localSheetId="48">'300'!$H$249:$H$250</definedName>
    <definedName name="OSRRefH22_21x_0" localSheetId="49">'300 &amp; 317'!$H$274:$H$275</definedName>
    <definedName name="OSRRefH22_21x_0" localSheetId="50">'301'!$H$96:$H$98</definedName>
    <definedName name="OSRRefH22_21x_0" localSheetId="66">'310'!$H$110</definedName>
    <definedName name="OSRRefH22_21x_0" localSheetId="75">'310 &amp; 491'!$H$117:$H$126</definedName>
    <definedName name="OSRRefH22_21x_0" localSheetId="58">'331'!$H$147:$H$148</definedName>
    <definedName name="OSRRefH22_21x_0" localSheetId="76">'491'!$H$120</definedName>
    <definedName name="OSRRefH22_21x_0" localSheetId="47">'Div 3'!$H$249:$H$250</definedName>
    <definedName name="OSRRefH22_21x_0" localSheetId="74">'Div 4'!$H$112:$H$121</definedName>
    <definedName name="OSRRefH22_21x_0" localSheetId="2">Summary!$H$283:$H$284</definedName>
    <definedName name="OSRRefH22_22x_0" localSheetId="48">'300'!$H$252</definedName>
    <definedName name="OSRRefH22_22x_0" localSheetId="49">'300 &amp; 317'!$H$277</definedName>
    <definedName name="OSRRefH22_22x_0" localSheetId="50">'301'!$H$100</definedName>
    <definedName name="OSRRefH22_22x_0" localSheetId="66">'310'!$H$112</definedName>
    <definedName name="OSRRefH22_22x_0" localSheetId="75">'310 &amp; 491'!$H$128:$H$129</definedName>
    <definedName name="OSRRefH22_22x_0" localSheetId="58">'331'!$H$150</definedName>
    <definedName name="OSRRefH22_22x_0" localSheetId="76">'491'!$H$122:$H$124</definedName>
    <definedName name="OSRRefH22_22x_0" localSheetId="47">'Div 3'!$H$252:$H$260</definedName>
    <definedName name="OSRRefH22_22x_0" localSheetId="74">'Div 4'!$H$123:$H$124</definedName>
    <definedName name="OSRRefH22_22x_0" localSheetId="2">Summary!$H$286:$H$295</definedName>
    <definedName name="OSRRefH22_23x_0" localSheetId="48">'300'!$H$254:$H$256</definedName>
    <definedName name="OSRRefH22_23x_0" localSheetId="49">'300 &amp; 317'!$H$279:$H$281</definedName>
    <definedName name="OSRRefH22_23x_0" localSheetId="66">'310'!$H$114</definedName>
    <definedName name="OSRRefH22_23x_0" localSheetId="75">'310 &amp; 491'!$H$131</definedName>
    <definedName name="OSRRefH22_23x_0" localSheetId="76">'491'!$H$126</definedName>
    <definedName name="OSRRefH22_23x_0" localSheetId="47">'Div 3'!$H$262:$H$263</definedName>
    <definedName name="OSRRefH22_23x_0" localSheetId="74">'Div 4'!$H$126</definedName>
    <definedName name="OSRRefH22_23x_0" localSheetId="2">Summary!$H$297:$H$298</definedName>
    <definedName name="OSRRefH22_24x_0" localSheetId="48">'300'!$H$258</definedName>
    <definedName name="OSRRefH22_24x_0" localSheetId="49">'300 &amp; 317'!$H$283</definedName>
    <definedName name="OSRRefH22_24x_0" localSheetId="75">'310 &amp; 491'!$H$133:$H$135</definedName>
    <definedName name="OSRRefH22_24x_0" localSheetId="47">'Div 3'!$H$265</definedName>
    <definedName name="OSRRefH22_24x_0" localSheetId="74">'Div 4'!$H$128:$H$130</definedName>
    <definedName name="OSRRefH22_24x_0" localSheetId="2">Summary!$H$300</definedName>
    <definedName name="OSRRefH22_25x_0" localSheetId="75">'310 &amp; 491'!$H$137</definedName>
    <definedName name="OSRRefH22_25x_0" localSheetId="47">'Div 3'!$H$267:$H$269</definedName>
    <definedName name="OSRRefH22_25x_0" localSheetId="74">'Div 4'!$H$132</definedName>
    <definedName name="OSRRefH22_25x_0" localSheetId="2">Summary!$H$302:$H$304</definedName>
    <definedName name="OSRRefH22_26x_0" localSheetId="47">'Div 3'!$H$271</definedName>
    <definedName name="OSRRefH22_26x_0" localSheetId="2">Summary!$H$306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'204'!$H$43</definedName>
    <definedName name="OSRRefH22_2x_0" localSheetId="45">'205'!$H$41</definedName>
    <definedName name="OSRRefH22_2x_0" localSheetId="46">'206'!$H$41</definedName>
    <definedName name="OSRRefH22_2x_0" localSheetId="48">'300'!$H$188</definedName>
    <definedName name="OSRRefH22_2x_0" localSheetId="49">'300 &amp; 317'!$H$213</definedName>
    <definedName name="OSRRefH22_2x_0" localSheetId="50">'301'!$H$41</definedName>
    <definedName name="OSRRefH22_2x_0" localSheetId="51">'306'!$H$41</definedName>
    <definedName name="OSRRefH22_2x_0" localSheetId="53">'307'!$H$100</definedName>
    <definedName name="OSRRefH22_2x_0" localSheetId="55">'308'!$H$87</definedName>
    <definedName name="OSRRefH22_2x_0" localSheetId="67">'309'!$H$47</definedName>
    <definedName name="OSRRefH22_2x_0" localSheetId="66">'310'!$H$55</definedName>
    <definedName name="OSRRefH22_2x_0" localSheetId="75">'310 &amp; 491'!$H$63</definedName>
    <definedName name="OSRRefH22_2x_0" localSheetId="56">'311'!$H$87</definedName>
    <definedName name="OSRRefH22_2x_0" localSheetId="68">'313'!$H$51</definedName>
    <definedName name="OSRRefH22_2x_0" localSheetId="54">'314'!$H$79</definedName>
    <definedName name="OSRRefH22_2x_0" localSheetId="59">'315'!$H$79</definedName>
    <definedName name="OSRRefH22_2x_0" localSheetId="62">'316'!$H$56</definedName>
    <definedName name="OSRRefH22_2x_0" localSheetId="65">'317'!$H$82</definedName>
    <definedName name="OSRRefH22_2x_0" localSheetId="63">'320'!$H$51</definedName>
    <definedName name="OSRRefH22_2x_0" localSheetId="69">'321'!$H$46</definedName>
    <definedName name="OSRRefH22_2x_0" localSheetId="70">'322'!$H$47</definedName>
    <definedName name="OSRRefH22_2x_0" localSheetId="71">'325'!$H$47</definedName>
    <definedName name="OSRRefH22_2x_0" localSheetId="60">'326'!$H$78</definedName>
    <definedName name="OSRRefH22_2x_0" localSheetId="72">'327'!$H$28</definedName>
    <definedName name="OSRRefH22_2x_0" localSheetId="52">'330'!$H$107</definedName>
    <definedName name="OSRRefH22_2x_0" localSheetId="58">'331'!$H$94</definedName>
    <definedName name="OSRRefH22_2x_0" localSheetId="61">'332'!$H$65</definedName>
    <definedName name="OSRRefH22_2x_0" localSheetId="77">'405'!$H$47</definedName>
    <definedName name="OSRRefH22_2x_0" localSheetId="78">'406'!$H$48</definedName>
    <definedName name="OSRRefH22_2x_0" localSheetId="79">'411'!$H$42</definedName>
    <definedName name="OSRRefH22_2x_0" localSheetId="80">'412'!$H$47</definedName>
    <definedName name="OSRRefH22_2x_0" localSheetId="82">'413'!$H$48</definedName>
    <definedName name="OSRRefH22_2x_0" localSheetId="83">'414'!$H$48</definedName>
    <definedName name="OSRRefH22_2x_0" localSheetId="84">'415'!$H$47</definedName>
    <definedName name="OSRRefH22_2x_0" localSheetId="85">'418'!$H$48</definedName>
    <definedName name="OSRRefH22_2x_0" localSheetId="81">'420'!$H$37</definedName>
    <definedName name="OSRRefH22_2x_0" localSheetId="86">'423'!$H$42</definedName>
    <definedName name="OSRRefH22_2x_0" localSheetId="87">'424'!$H$47</definedName>
    <definedName name="OSRRefH22_2x_0" localSheetId="88">'425'!$H$51</definedName>
    <definedName name="OSRRefH22_2x_0" localSheetId="91">'430'!$H$41</definedName>
    <definedName name="OSRRefH22_2x_0" localSheetId="92">'433'!$H$49</definedName>
    <definedName name="OSRRefH22_2x_0" localSheetId="93">'435'!$H$47</definedName>
    <definedName name="OSRRefH22_2x_0" localSheetId="94">'444'!$H$49</definedName>
    <definedName name="OSRRefH22_2x_0" localSheetId="95">'450'!$H$49</definedName>
    <definedName name="OSRRefH22_2x_0" localSheetId="76">'491'!$H$57</definedName>
    <definedName name="OSRRefH22_2x_0" localSheetId="90">'492'!$H$51</definedName>
    <definedName name="OSRRefH22_2x_0" localSheetId="97">'501'!$H$42</definedName>
    <definedName name="OSRRefH22_2x_0" localSheetId="39">'Div 2'!$H$44</definedName>
    <definedName name="OSRRefH22_2x_0" localSheetId="47">'Div 3'!$H$193</definedName>
    <definedName name="OSRRefH22_2x_0" localSheetId="74">'Div 4'!$H$57</definedName>
    <definedName name="OSRRefH22_2x_0" localSheetId="96">'Div 5'!$H$42</definedName>
    <definedName name="OSRRefH22_2x_0" localSheetId="64">'Div 6'!$H$82</definedName>
    <definedName name="OSRRefH22_2x_0" localSheetId="2">Summary!$H$225</definedName>
    <definedName name="OSRRefH22_3x_0" localSheetId="40">'200'!$H$26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'204'!$H$45:$H$46</definedName>
    <definedName name="OSRRefH22_3x_0" localSheetId="45">'205'!$H$43</definedName>
    <definedName name="OSRRefH22_3x_0" localSheetId="46">'206'!$H$43</definedName>
    <definedName name="OSRRefH22_3x_0" localSheetId="48">'300'!$H$190:$H$191</definedName>
    <definedName name="OSRRefH22_3x_0" localSheetId="49">'300 &amp; 317'!$H$215:$H$216</definedName>
    <definedName name="OSRRefH22_3x_0" localSheetId="50">'301'!$H$43:$H$44</definedName>
    <definedName name="OSRRefH22_3x_0" localSheetId="51">'306'!$H$43</definedName>
    <definedName name="OSRRefH22_3x_0" localSheetId="53">'307'!$H$102</definedName>
    <definedName name="OSRRefH22_3x_0" localSheetId="55">'308'!$H$89:$H$90</definedName>
    <definedName name="OSRRefH22_3x_0" localSheetId="67">'309'!$H$49</definedName>
    <definedName name="OSRRefH22_3x_0" localSheetId="66">'310'!$H$57</definedName>
    <definedName name="OSRRefH22_3x_0" localSheetId="75">'310 &amp; 491'!$H$65</definedName>
    <definedName name="OSRRefH22_3x_0" localSheetId="56">'311'!$H$89:$H$90</definedName>
    <definedName name="OSRRefH22_3x_0" localSheetId="68">'313'!$H$53</definedName>
    <definedName name="OSRRefH22_3x_0" localSheetId="54">'314'!$H$81:$H$82</definedName>
    <definedName name="OSRRefH22_3x_0" localSheetId="59">'315'!$H$81:$H$82</definedName>
    <definedName name="OSRRefH22_3x_0" localSheetId="62">'316'!$H$58</definedName>
    <definedName name="OSRRefH22_3x_0" localSheetId="65">'317'!$H$84</definedName>
    <definedName name="OSRRefH22_3x_0" localSheetId="63">'320'!$H$53</definedName>
    <definedName name="OSRRefH22_3x_0" localSheetId="69">'321'!$H$48</definedName>
    <definedName name="OSRRefH22_3x_0" localSheetId="70">'322'!$H$49</definedName>
    <definedName name="OSRRefH22_3x_0" localSheetId="71">'325'!$H$49</definedName>
    <definedName name="OSRRefH22_3x_0" localSheetId="60">'326'!$H$80:$H$81</definedName>
    <definedName name="OSRRefH22_3x_0" localSheetId="52">'330'!$H$109</definedName>
    <definedName name="OSRRefH22_3x_0" localSheetId="58">'331'!$H$96:$H$97</definedName>
    <definedName name="OSRRefH22_3x_0" localSheetId="61">'332'!$H$67</definedName>
    <definedName name="OSRRefH22_3x_0" localSheetId="77">'405'!$H$49</definedName>
    <definedName name="OSRRefH22_3x_0" localSheetId="78">'406'!$H$50</definedName>
    <definedName name="OSRRefH22_3x_0" localSheetId="79">'411'!$H$44:$H$47</definedName>
    <definedName name="OSRRefH22_3x_0" localSheetId="80">'412'!$H$49</definedName>
    <definedName name="OSRRefH22_3x_0" localSheetId="82">'413'!$H$50</definedName>
    <definedName name="OSRRefH22_3x_0" localSheetId="83">'414'!$H$50</definedName>
    <definedName name="OSRRefH22_3x_0" localSheetId="84">'415'!$H$49</definedName>
    <definedName name="OSRRefH22_3x_0" localSheetId="85">'418'!$H$50</definedName>
    <definedName name="OSRRefH22_3x_0" localSheetId="81">'420'!$H$39</definedName>
    <definedName name="OSRRefH22_3x_0" localSheetId="86">'423'!$H$44</definedName>
    <definedName name="OSRRefH22_3x_0" localSheetId="87">'424'!$H$49</definedName>
    <definedName name="OSRRefH22_3x_0" localSheetId="88">'425'!$H$53</definedName>
    <definedName name="OSRRefH22_3x_0" localSheetId="91">'430'!$H$43</definedName>
    <definedName name="OSRRefH22_3x_0" localSheetId="92">'433'!$H$51</definedName>
    <definedName name="OSRRefH22_3x_0" localSheetId="93">'435'!$H$49</definedName>
    <definedName name="OSRRefH22_3x_0" localSheetId="94">'444'!$H$51</definedName>
    <definedName name="OSRRefH22_3x_0" localSheetId="95">'450'!$H$51:$H$52</definedName>
    <definedName name="OSRRefH22_3x_0" localSheetId="76">'491'!$H$59</definedName>
    <definedName name="OSRRefH22_3x_0" localSheetId="90">'492'!$H$53:$H$54</definedName>
    <definedName name="OSRRefH22_3x_0" localSheetId="97">'501'!$H$44</definedName>
    <definedName name="OSRRefH22_3x_0" localSheetId="39">'Div 2'!$H$46</definedName>
    <definedName name="OSRRefH22_3x_0" localSheetId="47">'Div 3'!$H$195:$H$196</definedName>
    <definedName name="OSRRefH22_3x_0" localSheetId="74">'Div 4'!$H$59:$H$60</definedName>
    <definedName name="OSRRefH22_3x_0" localSheetId="96">'Div 5'!$H$44</definedName>
    <definedName name="OSRRefH22_3x_0" localSheetId="64">'Div 6'!$H$84</definedName>
    <definedName name="OSRRefH22_3x_0" localSheetId="2">Summary!$H$227:$H$228</definedName>
    <definedName name="OSRRefH22_4x_0" localSheetId="40">'200'!$H$28:$H$29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'204'!$H$48</definedName>
    <definedName name="OSRRefH22_4x_0" localSheetId="45">'205'!$H$45</definedName>
    <definedName name="OSRRefH22_4x_0" localSheetId="46">'206'!$H$45</definedName>
    <definedName name="OSRRefH22_4x_0" localSheetId="48">'300'!$H$193</definedName>
    <definedName name="OSRRefH22_4x_0" localSheetId="49">'300 &amp; 317'!$H$218</definedName>
    <definedName name="OSRRefH22_4x_0" localSheetId="50">'301'!$H$46</definedName>
    <definedName name="OSRRefH22_4x_0" localSheetId="51">'306'!$H$45</definedName>
    <definedName name="OSRRefH22_4x_0" localSheetId="53">'307'!$H$104:$H$105</definedName>
    <definedName name="OSRRefH22_4x_0" localSheetId="55">'308'!$H$92</definedName>
    <definedName name="OSRRefH22_4x_0" localSheetId="67">'309'!$H$51</definedName>
    <definedName name="OSRRefH22_4x_0" localSheetId="66">'310'!$H$59</definedName>
    <definedName name="OSRRefH22_4x_0" localSheetId="75">'310 &amp; 491'!$H$67</definedName>
    <definedName name="OSRRefH22_4x_0" localSheetId="56">'311'!$H$92</definedName>
    <definedName name="OSRRefH22_4x_0" localSheetId="68">'313'!$H$55</definedName>
    <definedName name="OSRRefH22_4x_0" localSheetId="54">'314'!$H$84</definedName>
    <definedName name="OSRRefH22_4x_0" localSheetId="59">'315'!$H$84</definedName>
    <definedName name="OSRRefH22_4x_0" localSheetId="62">'316'!$H$60</definedName>
    <definedName name="OSRRefH22_4x_0" localSheetId="65">'317'!$H$86</definedName>
    <definedName name="OSRRefH22_4x_0" localSheetId="63">'320'!$H$55:$H$56</definedName>
    <definedName name="OSRRefH22_4x_0" localSheetId="69">'321'!$H$50</definedName>
    <definedName name="OSRRefH22_4x_0" localSheetId="70">'322'!$H$51</definedName>
    <definedName name="OSRRefH22_4x_0" localSheetId="71">'325'!$H$51</definedName>
    <definedName name="OSRRefH22_4x_0" localSheetId="60">'326'!$H$83</definedName>
    <definedName name="OSRRefH22_4x_0" localSheetId="52">'330'!$H$111:$H$112</definedName>
    <definedName name="OSRRefH22_4x_0" localSheetId="58">'331'!$H$99</definedName>
    <definedName name="OSRRefH22_4x_0" localSheetId="61">'332'!$H$69</definedName>
    <definedName name="OSRRefH22_4x_0" localSheetId="77">'405'!$H$51</definedName>
    <definedName name="OSRRefH22_4x_0" localSheetId="78">'406'!$H$52</definedName>
    <definedName name="OSRRefH22_4x_0" localSheetId="79">'411'!$H$49</definedName>
    <definedName name="OSRRefH22_4x_0" localSheetId="80">'412'!$H$51</definedName>
    <definedName name="OSRRefH22_4x_0" localSheetId="82">'413'!$H$52</definedName>
    <definedName name="OSRRefH22_4x_0" localSheetId="83">'414'!$H$52</definedName>
    <definedName name="OSRRefH22_4x_0" localSheetId="84">'415'!$H$51</definedName>
    <definedName name="OSRRefH22_4x_0" localSheetId="85">'418'!$H$52</definedName>
    <definedName name="OSRRefH22_4x_0" localSheetId="81">'420'!$H$41</definedName>
    <definedName name="OSRRefH22_4x_0" localSheetId="86">'423'!$H$46</definedName>
    <definedName name="OSRRefH22_4x_0" localSheetId="87">'424'!$H$51</definedName>
    <definedName name="OSRRefH22_4x_0" localSheetId="88">'425'!$H$55</definedName>
    <definedName name="OSRRefH22_4x_0" localSheetId="91">'430'!$H$45</definedName>
    <definedName name="OSRRefH22_4x_0" localSheetId="92">'433'!$H$53</definedName>
    <definedName name="OSRRefH22_4x_0" localSheetId="93">'435'!$H$51</definedName>
    <definedName name="OSRRefH22_4x_0" localSheetId="94">'444'!$H$53</definedName>
    <definedName name="OSRRefH22_4x_0" localSheetId="95">'450'!$H$54</definedName>
    <definedName name="OSRRefH22_4x_0" localSheetId="76">'491'!$H$61</definedName>
    <definedName name="OSRRefH22_4x_0" localSheetId="90">'492'!$H$56</definedName>
    <definedName name="OSRRefH22_4x_0" localSheetId="97">'501'!$H$46</definedName>
    <definedName name="OSRRefH22_4x_0" localSheetId="39">'Div 2'!$H$48</definedName>
    <definedName name="OSRRefH22_4x_0" localSheetId="47">'Div 3'!$H$198</definedName>
    <definedName name="OSRRefH22_4x_0" localSheetId="74">'Div 4'!$H$62</definedName>
    <definedName name="OSRRefH22_4x_0" localSheetId="96">'Div 5'!$H$46</definedName>
    <definedName name="OSRRefH22_4x_0" localSheetId="64">'Div 6'!$H$86</definedName>
    <definedName name="OSRRefH22_4x_0" localSheetId="2">Summary!$H$230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'204'!$H$50</definedName>
    <definedName name="OSRRefH22_5x_0" localSheetId="45">'205'!$H$47:$H$48</definedName>
    <definedName name="OSRRefH22_5x_0" localSheetId="46">'206'!$H$47</definedName>
    <definedName name="OSRRefH22_5x_0" localSheetId="48">'300'!$H$195:$H$198</definedName>
    <definedName name="OSRRefH22_5x_0" localSheetId="49">'300 &amp; 317'!$H$220:$H$223</definedName>
    <definedName name="OSRRefH22_5x_0" localSheetId="50">'301'!$H$48:$H$51</definedName>
    <definedName name="OSRRefH22_5x_0" localSheetId="51">'306'!$H$47</definedName>
    <definedName name="OSRRefH22_5x_0" localSheetId="53">'307'!$H$107</definedName>
    <definedName name="OSRRefH22_5x_0" localSheetId="55">'308'!$H$94</definedName>
    <definedName name="OSRRefH22_5x_0" localSheetId="67">'309'!$H$53:$H$54</definedName>
    <definedName name="OSRRefH22_5x_0" localSheetId="66">'310'!$H$61:$H$63</definedName>
    <definedName name="OSRRefH22_5x_0" localSheetId="75">'310 &amp; 491'!$H$69:$H$72</definedName>
    <definedName name="OSRRefH22_5x_0" localSheetId="56">'311'!$H$94</definedName>
    <definedName name="OSRRefH22_5x_0" localSheetId="68">'313'!$H$57</definedName>
    <definedName name="OSRRefH22_5x_0" localSheetId="54">'314'!$H$86</definedName>
    <definedName name="OSRRefH22_5x_0" localSheetId="59">'315'!$H$86:$H$87</definedName>
    <definedName name="OSRRefH22_5x_0" localSheetId="62">'316'!$H$62</definedName>
    <definedName name="OSRRefH22_5x_0" localSheetId="65">'317'!$H$88</definedName>
    <definedName name="OSRRefH22_5x_0" localSheetId="63">'320'!$H$58</definedName>
    <definedName name="OSRRefH22_5x_0" localSheetId="69">'321'!$H$52</definedName>
    <definedName name="OSRRefH22_5x_0" localSheetId="70">'322'!$H$53:$H$54</definedName>
    <definedName name="OSRRefH22_5x_0" localSheetId="71">'325'!$H$53:$H$55</definedName>
    <definedName name="OSRRefH22_5x_0" localSheetId="60">'326'!$H$85</definedName>
    <definedName name="OSRRefH22_5x_0" localSheetId="52">'330'!$H$114</definedName>
    <definedName name="OSRRefH22_5x_0" localSheetId="58">'331'!$H$101:$H$102</definedName>
    <definedName name="OSRRefH22_5x_0" localSheetId="61">'332'!$H$71</definedName>
    <definedName name="OSRRefH22_5x_0" localSheetId="77">'405'!$H$53:$H$55</definedName>
    <definedName name="OSRRefH22_5x_0" localSheetId="78">'406'!$H$54:$H$55</definedName>
    <definedName name="OSRRefH22_5x_0" localSheetId="79">'411'!$H$51</definedName>
    <definedName name="OSRRefH22_5x_0" localSheetId="80">'412'!$H$53:$H$55</definedName>
    <definedName name="OSRRefH22_5x_0" localSheetId="82">'413'!$H$54</definedName>
    <definedName name="OSRRefH22_5x_0" localSheetId="83">'414'!$H$54:$H$55</definedName>
    <definedName name="OSRRefH22_5x_0" localSheetId="84">'415'!$H$53:$H$55</definedName>
    <definedName name="OSRRefH22_5x_0" localSheetId="85">'418'!$H$54:$H$56</definedName>
    <definedName name="OSRRefH22_5x_0" localSheetId="81">'420'!$H$43:$H$44</definedName>
    <definedName name="OSRRefH22_5x_0" localSheetId="86">'423'!$H$48</definedName>
    <definedName name="OSRRefH22_5x_0" localSheetId="87">'424'!$H$53</definedName>
    <definedName name="OSRRefH22_5x_0" localSheetId="88">'425'!$H$57:$H$58</definedName>
    <definedName name="OSRRefH22_5x_0" localSheetId="91">'430'!$H$47</definedName>
    <definedName name="OSRRefH22_5x_0" localSheetId="92">'433'!$H$55</definedName>
    <definedName name="OSRRefH22_5x_0" localSheetId="93">'435'!$H$53</definedName>
    <definedName name="OSRRefH22_5x_0" localSheetId="94">'444'!$H$55</definedName>
    <definedName name="OSRRefH22_5x_0" localSheetId="95">'450'!$H$56</definedName>
    <definedName name="OSRRefH22_5x_0" localSheetId="76">'491'!$H$63:$H$66</definedName>
    <definedName name="OSRRefH22_5x_0" localSheetId="90">'492'!$H$58:$H$59</definedName>
    <definedName name="OSRRefH22_5x_0" localSheetId="97">'501'!$H$48</definedName>
    <definedName name="OSRRefH22_5x_0" localSheetId="39">'Div 2'!$H$50:$H$51</definedName>
    <definedName name="OSRRefH22_5x_0" localSheetId="47">'Div 3'!$H$200:$H$203</definedName>
    <definedName name="OSRRefH22_5x_0" localSheetId="74">'Div 4'!$H$64:$H$67</definedName>
    <definedName name="OSRRefH22_5x_0" localSheetId="96">'Div 5'!$H$48</definedName>
    <definedName name="OSRRefH22_5x_0" localSheetId="64">'Div 6'!$H$88</definedName>
    <definedName name="OSRRefH22_5x_0" localSheetId="2">Summary!$H$232:$H$235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'204'!$H$52</definedName>
    <definedName name="OSRRefH22_6x_0" localSheetId="45">'205'!$H$50</definedName>
    <definedName name="OSRRefH22_6x_0" localSheetId="46">'206'!$H$49</definedName>
    <definedName name="OSRRefH22_6x_0" localSheetId="48">'300'!$H$200:$H$201</definedName>
    <definedName name="OSRRefH22_6x_0" localSheetId="49">'300 &amp; 317'!$H$225:$H$226</definedName>
    <definedName name="OSRRefH22_6x_0" localSheetId="50">'301'!$H$53:$H$54</definedName>
    <definedName name="OSRRefH22_6x_0" localSheetId="51">'306'!$H$49</definedName>
    <definedName name="OSRRefH22_6x_0" localSheetId="53">'307'!$H$109</definedName>
    <definedName name="OSRRefH22_6x_0" localSheetId="55">'308'!$H$96:$H$97</definedName>
    <definedName name="OSRRefH22_6x_0" localSheetId="67">'309'!$H$56</definedName>
    <definedName name="OSRRefH22_6x_0" localSheetId="66">'310'!$H$65</definedName>
    <definedName name="OSRRefH22_6x_0" localSheetId="75">'310 &amp; 491'!$H$74</definedName>
    <definedName name="OSRRefH22_6x_0" localSheetId="56">'311'!$H$96:$H$97</definedName>
    <definedName name="OSRRefH22_6x_0" localSheetId="68">'313'!$H$59</definedName>
    <definedName name="OSRRefH22_6x_0" localSheetId="54">'314'!$H$88</definedName>
    <definedName name="OSRRefH22_6x_0" localSheetId="59">'315'!$H$89</definedName>
    <definedName name="OSRRefH22_6x_0" localSheetId="62">'316'!$H$64</definedName>
    <definedName name="OSRRefH22_6x_0" localSheetId="65">'317'!$H$90</definedName>
    <definedName name="OSRRefH22_6x_0" localSheetId="63">'320'!$H$60</definedName>
    <definedName name="OSRRefH22_6x_0" localSheetId="69">'321'!$H$54</definedName>
    <definedName name="OSRRefH22_6x_0" localSheetId="70">'322'!$H$56</definedName>
    <definedName name="OSRRefH22_6x_0" localSheetId="71">'325'!$H$57</definedName>
    <definedName name="OSRRefH22_6x_0" localSheetId="60">'326'!$H$87</definedName>
    <definedName name="OSRRefH22_6x_0" localSheetId="52">'330'!$H$116</definedName>
    <definedName name="OSRRefH22_6x_0" localSheetId="58">'331'!$H$104</definedName>
    <definedName name="OSRRefH22_6x_0" localSheetId="61">'332'!$H$73</definedName>
    <definedName name="OSRRefH22_6x_0" localSheetId="77">'405'!$H$57</definedName>
    <definedName name="OSRRefH22_6x_0" localSheetId="78">'406'!$H$57</definedName>
    <definedName name="OSRRefH22_6x_0" localSheetId="79">'411'!$H$53</definedName>
    <definedName name="OSRRefH22_6x_0" localSheetId="80">'412'!$H$57</definedName>
    <definedName name="OSRRefH22_6x_0" localSheetId="82">'413'!$H$56</definedName>
    <definedName name="OSRRefH22_6x_0" localSheetId="83">'414'!$H$57</definedName>
    <definedName name="OSRRefH22_6x_0" localSheetId="84">'415'!$H$57</definedName>
    <definedName name="OSRRefH22_6x_0" localSheetId="85">'418'!$H$58</definedName>
    <definedName name="OSRRefH22_6x_0" localSheetId="81">'420'!$H$46</definedName>
    <definedName name="OSRRefH22_6x_0" localSheetId="87">'424'!$H$55</definedName>
    <definedName name="OSRRefH22_6x_0" localSheetId="88">'425'!$H$60</definedName>
    <definedName name="OSRRefH22_6x_0" localSheetId="91">'430'!$H$49</definedName>
    <definedName name="OSRRefH22_6x_0" localSheetId="92">'433'!$H$57</definedName>
    <definedName name="OSRRefH22_6x_0" localSheetId="93">'435'!$H$55</definedName>
    <definedName name="OSRRefH22_6x_0" localSheetId="94">'444'!$H$57</definedName>
    <definedName name="OSRRefH22_6x_0" localSheetId="95">'450'!$H$58</definedName>
    <definedName name="OSRRefH22_6x_0" localSheetId="76">'491'!$H$68</definedName>
    <definedName name="OSRRefH22_6x_0" localSheetId="90">'492'!$H$61</definedName>
    <definedName name="OSRRefH22_6x_0" localSheetId="97">'501'!$H$50</definedName>
    <definedName name="OSRRefH22_6x_0" localSheetId="39">'Div 2'!$H$53:$H$54</definedName>
    <definedName name="OSRRefH22_6x_0" localSheetId="47">'Div 3'!$H$205:$H$206</definedName>
    <definedName name="OSRRefH22_6x_0" localSheetId="74">'Div 4'!$H$69</definedName>
    <definedName name="OSRRefH22_6x_0" localSheetId="96">'Div 5'!$H$50</definedName>
    <definedName name="OSRRefH22_6x_0" localSheetId="64">'Div 6'!$H$90</definedName>
    <definedName name="OSRRefH22_6x_0" localSheetId="2">Summary!$H$237:$H$238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'204'!$H$54:$H$57</definedName>
    <definedName name="OSRRefH22_7x_0" localSheetId="45">'205'!$H$52:$H$53</definedName>
    <definedName name="OSRRefH22_7x_0" localSheetId="46">'206'!$H$51:$H$52</definedName>
    <definedName name="OSRRefH22_7x_0" localSheetId="48">'300'!$H$203:$H$204</definedName>
    <definedName name="OSRRefH22_7x_0" localSheetId="49">'300 &amp; 317'!$H$228:$H$229</definedName>
    <definedName name="OSRRefH22_7x_0" localSheetId="50">'301'!$H$56:$H$57</definedName>
    <definedName name="OSRRefH22_7x_0" localSheetId="51">'306'!$H$51:$H$52</definedName>
    <definedName name="OSRRefH22_7x_0" localSheetId="53">'307'!$H$111</definedName>
    <definedName name="OSRRefH22_7x_0" localSheetId="55">'308'!$H$99</definedName>
    <definedName name="OSRRefH22_7x_0" localSheetId="67">'309'!$H$58</definedName>
    <definedName name="OSRRefH22_7x_0" localSheetId="66">'310'!$H$67</definedName>
    <definedName name="OSRRefH22_7x_0" localSheetId="75">'310 &amp; 491'!$H$76</definedName>
    <definedName name="OSRRefH22_7x_0" localSheetId="56">'311'!$H$99</definedName>
    <definedName name="OSRRefH22_7x_0" localSheetId="68">'313'!$H$61</definedName>
    <definedName name="OSRRefH22_7x_0" localSheetId="54">'314'!$H$90</definedName>
    <definedName name="OSRRefH22_7x_0" localSheetId="59">'315'!$H$91</definedName>
    <definedName name="OSRRefH22_7x_0" localSheetId="62">'316'!$H$66</definedName>
    <definedName name="OSRRefH22_7x_0" localSheetId="65">'317'!$H$92</definedName>
    <definedName name="OSRRefH22_7x_0" localSheetId="63">'320'!$H$62:$H$63</definedName>
    <definedName name="OSRRefH22_7x_0" localSheetId="69">'321'!$H$56</definedName>
    <definedName name="OSRRefH22_7x_0" localSheetId="70">'322'!$H$58</definedName>
    <definedName name="OSRRefH22_7x_0" localSheetId="71">'325'!$H$59</definedName>
    <definedName name="OSRRefH22_7x_0" localSheetId="60">'326'!$H$89</definedName>
    <definedName name="OSRRefH22_7x_0" localSheetId="52">'330'!$H$118</definedName>
    <definedName name="OSRRefH22_7x_0" localSheetId="58">'331'!$H$106</definedName>
    <definedName name="OSRRefH22_7x_0" localSheetId="61">'332'!$H$75:$H$76</definedName>
    <definedName name="OSRRefH22_7x_0" localSheetId="77">'405'!$H$59</definedName>
    <definedName name="OSRRefH22_7x_0" localSheetId="78">'406'!$H$59</definedName>
    <definedName name="OSRRefH22_7x_0" localSheetId="79">'411'!$H$55</definedName>
    <definedName name="OSRRefH22_7x_0" localSheetId="80">'412'!$H$59</definedName>
    <definedName name="OSRRefH22_7x_0" localSheetId="82">'413'!$H$58</definedName>
    <definedName name="OSRRefH22_7x_0" localSheetId="83">'414'!$H$59</definedName>
    <definedName name="OSRRefH22_7x_0" localSheetId="84">'415'!$H$59</definedName>
    <definedName name="OSRRefH22_7x_0" localSheetId="85">'418'!$H$60</definedName>
    <definedName name="OSRRefH22_7x_0" localSheetId="87">'424'!$H$57:$H$58</definedName>
    <definedName name="OSRRefH22_7x_0" localSheetId="88">'425'!$H$62</definedName>
    <definedName name="OSRRefH22_7x_0" localSheetId="91">'430'!$H$51:$H$53</definedName>
    <definedName name="OSRRefH22_7x_0" localSheetId="92">'433'!$H$59</definedName>
    <definedName name="OSRRefH22_7x_0" localSheetId="93">'435'!$H$57:$H$59</definedName>
    <definedName name="OSRRefH22_7x_0" localSheetId="94">'444'!$H$59</definedName>
    <definedName name="OSRRefH22_7x_0" localSheetId="95">'450'!$H$60</definedName>
    <definedName name="OSRRefH22_7x_0" localSheetId="76">'491'!$H$70</definedName>
    <definedName name="OSRRefH22_7x_0" localSheetId="90">'492'!$H$63</definedName>
    <definedName name="OSRRefH22_7x_0" localSheetId="97">'501'!$H$52</definedName>
    <definedName name="OSRRefH22_7x_0" localSheetId="39">'Div 2'!$H$56</definedName>
    <definedName name="OSRRefH22_7x_0" localSheetId="47">'Div 3'!$H$208:$H$209</definedName>
    <definedName name="OSRRefH22_7x_0" localSheetId="74">'Div 4'!$H$71:$H$72</definedName>
    <definedName name="OSRRefH22_7x_0" localSheetId="96">'Div 5'!$H$52</definedName>
    <definedName name="OSRRefH22_7x_0" localSheetId="64">'Div 6'!$H$92</definedName>
    <definedName name="OSRRefH22_7x_0" localSheetId="2">Summary!$H$240:$H$242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'204'!$H$59</definedName>
    <definedName name="OSRRefH22_8x_0" localSheetId="45">'205'!$H$55</definedName>
    <definedName name="OSRRefH22_8x_0" localSheetId="46">'206'!$H$54</definedName>
    <definedName name="OSRRefH22_8x_0" localSheetId="48">'300'!$H$206</definedName>
    <definedName name="OSRRefH22_8x_0" localSheetId="49">'300 &amp; 317'!$H$231</definedName>
    <definedName name="OSRRefH22_8x_0" localSheetId="50">'301'!$H$59</definedName>
    <definedName name="OSRRefH22_8x_0" localSheetId="51">'306'!$H$54:$H$57</definedName>
    <definedName name="OSRRefH22_8x_0" localSheetId="53">'307'!$H$113:$H$114</definedName>
    <definedName name="OSRRefH22_8x_0" localSheetId="55">'308'!$H$101</definedName>
    <definedName name="OSRRefH22_8x_0" localSheetId="67">'309'!$H$60</definedName>
    <definedName name="OSRRefH22_8x_0" localSheetId="66">'310'!$H$69</definedName>
    <definedName name="OSRRefH22_8x_0" localSheetId="75">'310 &amp; 491'!$H$78</definedName>
    <definedName name="OSRRefH22_8x_0" localSheetId="56">'311'!$H$101</definedName>
    <definedName name="OSRRefH22_8x_0" localSheetId="68">'313'!$H$63</definedName>
    <definedName name="OSRRefH22_8x_0" localSheetId="54">'314'!$H$92</definedName>
    <definedName name="OSRRefH22_8x_0" localSheetId="59">'315'!$H$93</definedName>
    <definedName name="OSRRefH22_8x_0" localSheetId="62">'316'!$H$68</definedName>
    <definedName name="OSRRefH22_8x_0" localSheetId="65">'317'!$H$94</definedName>
    <definedName name="OSRRefH22_8x_0" localSheetId="63">'320'!$H$65</definedName>
    <definedName name="OSRRefH22_8x_0" localSheetId="69">'321'!$H$58</definedName>
    <definedName name="OSRRefH22_8x_0" localSheetId="70">'322'!$H$60</definedName>
    <definedName name="OSRRefH22_8x_0" localSheetId="71">'325'!$H$61</definedName>
    <definedName name="OSRRefH22_8x_0" localSheetId="60">'326'!$H$91</definedName>
    <definedName name="OSRRefH22_8x_0" localSheetId="52">'330'!$H$120</definedName>
    <definedName name="OSRRefH22_8x_0" localSheetId="58">'331'!$H$108:$H$109</definedName>
    <definedName name="OSRRefH22_8x_0" localSheetId="61">'332'!$H$78</definedName>
    <definedName name="OSRRefH22_8x_0" localSheetId="77">'405'!$H$61</definedName>
    <definedName name="OSRRefH22_8x_0" localSheetId="78">'406'!$H$61</definedName>
    <definedName name="OSRRefH22_8x_0" localSheetId="79">'411'!$H$57</definedName>
    <definedName name="OSRRefH22_8x_0" localSheetId="80">'412'!$H$61</definedName>
    <definedName name="OSRRefH22_8x_0" localSheetId="82">'413'!$H$60:$H$62</definedName>
    <definedName name="OSRRefH22_8x_0" localSheetId="83">'414'!$H$61</definedName>
    <definedName name="OSRRefH22_8x_0" localSheetId="84">'415'!$H$61</definedName>
    <definedName name="OSRRefH22_8x_0" localSheetId="85">'418'!$H$62</definedName>
    <definedName name="OSRRefH22_8x_0" localSheetId="87">'424'!$H$60:$H$62</definedName>
    <definedName name="OSRRefH22_8x_0" localSheetId="88">'425'!$H$64</definedName>
    <definedName name="OSRRefH22_8x_0" localSheetId="91">'430'!$H$55</definedName>
    <definedName name="OSRRefH22_8x_0" localSheetId="92">'433'!$H$61</definedName>
    <definedName name="OSRRefH22_8x_0" localSheetId="93">'435'!$H$61</definedName>
    <definedName name="OSRRefH22_8x_0" localSheetId="94">'444'!$H$61</definedName>
    <definedName name="OSRRefH22_8x_0" localSheetId="95">'450'!$H$62</definedName>
    <definedName name="OSRRefH22_8x_0" localSheetId="76">'491'!$H$72</definedName>
    <definedName name="OSRRefH22_8x_0" localSheetId="90">'492'!$H$65</definedName>
    <definedName name="OSRRefH22_8x_0" localSheetId="97">'501'!$H$54</definedName>
    <definedName name="OSRRefH22_8x_0" localSheetId="39">'Div 2'!$H$58</definedName>
    <definedName name="OSRRefH22_8x_0" localSheetId="47">'Div 3'!$H$211</definedName>
    <definedName name="OSRRefH22_8x_0" localSheetId="74">'Div 4'!$H$74</definedName>
    <definedName name="OSRRefH22_8x_0" localSheetId="96">'Div 5'!$H$54</definedName>
    <definedName name="OSRRefH22_8x_0" localSheetId="64">'Div 6'!$H$94</definedName>
    <definedName name="OSRRefH22_8x_0" localSheetId="2">Summary!$H$244</definedName>
    <definedName name="OSRRefH22_9x_0" localSheetId="41">'201'!$H$56</definedName>
    <definedName name="OSRRefH22_9x_0" localSheetId="42">'202'!$H$55:$H$57</definedName>
    <definedName name="OSRRefH22_9x_0" localSheetId="43">'203'!$H$56:$H$57</definedName>
    <definedName name="OSRRefH22_9x_0" localSheetId="44">'204'!$H$61:$H$62</definedName>
    <definedName name="OSRRefH22_9x_0" localSheetId="45">'205'!$H$57</definedName>
    <definedName name="OSRRefH22_9x_0" localSheetId="46">'206'!$H$56</definedName>
    <definedName name="OSRRefH22_9x_0" localSheetId="48">'300'!$H$208</definedName>
    <definedName name="OSRRefH22_9x_0" localSheetId="49">'300 &amp; 317'!$H$233</definedName>
    <definedName name="OSRRefH22_9x_0" localSheetId="50">'301'!$H$61</definedName>
    <definedName name="OSRRefH22_9x_0" localSheetId="51">'306'!$H$59</definedName>
    <definedName name="OSRRefH22_9x_0" localSheetId="53">'307'!$H$116:$H$117</definedName>
    <definedName name="OSRRefH22_9x_0" localSheetId="55">'308'!$H$103:$H$105</definedName>
    <definedName name="OSRRefH22_9x_0" localSheetId="67">'309'!$H$62:$H$63</definedName>
    <definedName name="OSRRefH22_9x_0" localSheetId="66">'310'!$H$71</definedName>
    <definedName name="OSRRefH22_9x_0" localSheetId="75">'310 &amp; 491'!$H$80</definedName>
    <definedName name="OSRRefH22_9x_0" localSheetId="56">'311'!$H$103:$H$105</definedName>
    <definedName name="OSRRefH22_9x_0" localSheetId="68">'313'!$H$65</definedName>
    <definedName name="OSRRefH22_9x_0" localSheetId="54">'314'!$H$94</definedName>
    <definedName name="OSRRefH22_9x_0" localSheetId="59">'315'!$H$95</definedName>
    <definedName name="OSRRefH22_9x_0" localSheetId="62">'316'!$H$70:$H$71</definedName>
    <definedName name="OSRRefH22_9x_0" localSheetId="65">'317'!$H$96:$H$97</definedName>
    <definedName name="OSRRefH22_9x_0" localSheetId="69">'321'!$H$60:$H$62</definedName>
    <definedName name="OSRRefH22_9x_0" localSheetId="70">'322'!$H$62:$H$64</definedName>
    <definedName name="OSRRefH22_9x_0" localSheetId="71">'325'!$H$63</definedName>
    <definedName name="OSRRefH22_9x_0" localSheetId="60">'326'!$H$93</definedName>
    <definedName name="OSRRefH22_9x_0" localSheetId="52">'330'!$H$122:$H$123</definedName>
    <definedName name="OSRRefH22_9x_0" localSheetId="58">'331'!$H$111</definedName>
    <definedName name="OSRRefH22_9x_0" localSheetId="61">'332'!$H$80</definedName>
    <definedName name="OSRRefH22_9x_0" localSheetId="77">'405'!$H$63</definedName>
    <definedName name="OSRRefH22_9x_0" localSheetId="78">'406'!$H$63:$H$65</definedName>
    <definedName name="OSRRefH22_9x_0" localSheetId="79">'411'!$H$59</definedName>
    <definedName name="OSRRefH22_9x_0" localSheetId="80">'412'!$H$63:$H$64</definedName>
    <definedName name="OSRRefH22_9x_0" localSheetId="82">'413'!$H$64:$H$65</definedName>
    <definedName name="OSRRefH22_9x_0" localSheetId="83">'414'!$H$63:$H$64</definedName>
    <definedName name="OSRRefH22_9x_0" localSheetId="84">'415'!$H$63</definedName>
    <definedName name="OSRRefH22_9x_0" localSheetId="85">'418'!$H$64</definedName>
    <definedName name="OSRRefH22_9x_0" localSheetId="87">'424'!$H$64</definedName>
    <definedName name="OSRRefH22_9x_0" localSheetId="88">'425'!$H$66:$H$68</definedName>
    <definedName name="OSRRefH22_9x_0" localSheetId="91">'430'!$H$57</definedName>
    <definedName name="OSRRefH22_9x_0" localSheetId="92">'433'!$H$63</definedName>
    <definedName name="OSRRefH22_9x_0" localSheetId="94">'444'!$H$63</definedName>
    <definedName name="OSRRefH22_9x_0" localSheetId="95">'450'!$H$64</definedName>
    <definedName name="OSRRefH22_9x_0" localSheetId="76">'491'!$H$74</definedName>
    <definedName name="OSRRefH22_9x_0" localSheetId="90">'492'!$H$67</definedName>
    <definedName name="OSRRefH22_9x_0" localSheetId="97">'501'!$H$56</definedName>
    <definedName name="OSRRefH22_9x_0" localSheetId="39">'Div 2'!$H$60</definedName>
    <definedName name="OSRRefH22_9x_0" localSheetId="47">'Div 3'!$H$213</definedName>
    <definedName name="OSRRefH22_9x_0" localSheetId="74">'Div 4'!$H$76</definedName>
    <definedName name="OSRRefH22_9x_0" localSheetId="96">'Div 5'!$H$56</definedName>
    <definedName name="OSRRefH22_9x_0" localSheetId="64">'Div 6'!$H$96:$H$97</definedName>
    <definedName name="OSRRefH22_9x_0" localSheetId="2">Summary!$H$246</definedName>
    <definedName name="OSRRefH22x_0" localSheetId="40">'200'!$H$20,'200'!$H$22,'200'!$H$24,'200'!$H$26,'200'!$H$28:$H$29</definedName>
    <definedName name="OSRRefH22x_0" localSheetId="41">'201'!$H$20:$H$28,'201'!$H$30:$H$39,'201'!$H$41,'201'!$H$43,'201'!$H$45:$H$46,'201'!$H$48,'201'!$H$50,'201'!$H$52,'201'!$H$54,'201'!$H$56,'201'!$H$58:$H$60,'201'!$H$62:$H$64,'201'!$H$66,'201'!$H$68:$H$70,'201'!$H$72,'201'!$H$74,'201'!$H$76:$H$77</definedName>
    <definedName name="OSRRefH22x_0" localSheetId="42">'202'!$H$20:$H$28,'202'!$H$30:$H$39,'202'!$H$41,'202'!$H$43,'202'!$H$45,'202'!$H$47,'202'!$H$49,'202'!$H$51,'202'!$H$53,'202'!$H$55:$H$57,'202'!$H$59,'202'!$H$61:$H$63,'202'!$H$65,'202'!$H$67,'202'!$H$69:$H$70,'202'!$H$72,'202'!$H$74</definedName>
    <definedName name="OSRRefH22x_0" localSheetId="43">'203'!$H$20:$H$29,'203'!$H$31:$H$40,'203'!$H$42,'203'!$H$44,'203'!$H$46,'203'!$H$48,'203'!$H$50,'203'!$H$52,'203'!$H$54,'203'!$H$56:$H$57,'203'!$H$59:$H$60,'203'!$H$62,'203'!$H$64:$H$66,'203'!$H$68,'203'!$H$70,'203'!$H$72</definedName>
    <definedName name="OSRRefH22x_0" localSheetId="44">'204'!$H$21:$H$30,'204'!$H$32:$H$41,'204'!$H$43,'204'!$H$45:$H$46,'204'!$H$48,'204'!$H$50,'204'!$H$52,'204'!$H$54:$H$57,'204'!$H$59,'204'!$H$61:$H$62,'204'!$H$64:$H$65,'204'!$H$67,'204'!$H$69:$H$70</definedName>
    <definedName name="OSRRefH22x_0" localSheetId="45">'205'!$H$20:$H$28,'205'!$H$30:$H$39,'205'!$H$41,'205'!$H$43,'205'!$H$45,'205'!$H$47:$H$48,'205'!$H$50,'205'!$H$52:$H$53,'205'!$H$55,'205'!$H$57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$166:$H$175,'300'!$H$177:$H$186,'300'!$H$188,'300'!$H$190:$H$191,'300'!$H$193,'300'!$H$195:$H$198,'300'!$H$200:$H$201,'300'!$H$203:$H$204,'300'!$H$206,'300'!$H$208,'300'!$H$210:$H$211,'300'!$H$213,'300'!$H$215,'300'!$H$217,'300'!$H$219,'300'!$H$221,'300'!$H$223:$H$226,'300'!$H$228:$H$231,'300'!$H$233:$H$236,'300'!$H$238:$H$239,'300'!$H$241:$H$247,'300'!$H$249:$H$250,'300'!$H$252,'300'!$H$254:$H$256,'300'!$H$258</definedName>
    <definedName name="OSRRefH22x_0" localSheetId="49">'300 &amp; 317'!$H$191:$H$200,'300 &amp; 317'!$H$202:$H$211,'300 &amp; 317'!$H$213,'300 &amp; 317'!$H$215:$H$216,'300 &amp; 317'!$H$218,'300 &amp; 317'!$H$220:$H$223,'300 &amp; 317'!$H$225:$H$226,'300 &amp; 317'!$H$228:$H$229,'300 &amp; 317'!$H$231,'300 &amp; 317'!$H$233,'300 &amp; 317'!$H$235:$H$236,'300 &amp; 317'!$H$238,'300 &amp; 317'!$H$240,'300 &amp; 317'!$H$242,'300 &amp; 317'!$H$244,'300 &amp; 317'!$H$246,'300 &amp; 317'!$H$248:$H$251,'300 &amp; 317'!$H$253:$H$256,'300 &amp; 317'!$H$258:$H$261,'300 &amp; 317'!$H$263:$H$264,'300 &amp; 317'!$H$266:$H$272,'300 &amp; 317'!$H$274:$H$275,'300 &amp; 317'!$H$277,'300 &amp; 317'!$H$279:$H$281,'300 &amp; 317'!$H$283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:$H$76,'301'!$H$78:$H$80,'301'!$H$82:$H$83,'301'!$H$85:$H$90,'301'!$H$92,'301'!$H$94,'301'!$H$96:$H$98,'301'!$H$100</definedName>
    <definedName name="OSRRefH22x_0" localSheetId="51">'306'!$H$20:$H$28,'306'!$H$30:$H$39,'306'!$H$41,'306'!$H$43,'306'!$H$45,'306'!$H$47,'306'!$H$49,'306'!$H$51:$H$52,'306'!$H$54:$H$57,'306'!$H$59,'306'!$H$61</definedName>
    <definedName name="OSRRefH22x_0" localSheetId="53">'307'!$H$79:$H$87,'307'!$H$89:$H$98,'307'!$H$100,'307'!$H$102,'307'!$H$104:$H$105,'307'!$H$107,'307'!$H$109,'307'!$H$111,'307'!$H$113:$H$114,'307'!$H$116:$H$117,'307'!$H$119:$H$121,'307'!$H$123,'307'!$H$125</definedName>
    <definedName name="OSRRefH22x_0" localSheetId="55">'308'!$H$65:$H$74,'308'!$H$76:$H$85,'308'!$H$87,'308'!$H$89:$H$90,'308'!$H$92,'308'!$H$94,'308'!$H$96:$H$97,'308'!$H$99,'308'!$H$101,'308'!$H$103:$H$105,'308'!$H$107,'308'!$H$109:$H$111,'308'!$H$113:$H$114,'308'!$H$116,'308'!$H$118:$H$119</definedName>
    <definedName name="OSRRefH22x_0" localSheetId="67">'309'!$H$26:$H$34,'309'!$H$36:$H$45,'309'!$H$47,'309'!$H$49,'309'!$H$51,'309'!$H$53:$H$54,'309'!$H$56,'309'!$H$58,'309'!$H$60,'309'!$H$62:$H$63,'309'!$H$65:$H$67,'309'!$H$69:$H$71,'309'!$H$73,'309'!$H$75</definedName>
    <definedName name="OSRRefH22x_0" localSheetId="66">'310'!$H$34:$H$42,'310'!$H$44:$H$53,'310'!$H$55,'310'!$H$57,'310'!$H$59,'310'!$H$61:$H$63,'310'!$H$65,'310'!$H$67,'310'!$H$69,'310'!$H$71,'310'!$H$73,'310'!$H$75,'310'!$H$77,'310'!$H$79,'310'!$H$81,'310'!$H$83:$H$85,'310'!$H$87:$H$88,'310'!$H$90:$H$94,'310'!$H$96,'310'!$H$98:$H$106,'310'!$H$108,'310'!$H$110,'310'!$H$112,'310'!$H$114</definedName>
    <definedName name="OSRRefH22x_0" localSheetId="75">'310 &amp; 491'!$H$41:$H$50,'310 &amp; 491'!$H$52:$H$61,'310 &amp; 491'!$H$63,'310 &amp; 491'!$H$65,'310 &amp; 491'!$H$67,'310 &amp; 491'!$H$69:$H$72,'310 &amp; 491'!$H$74,'310 &amp; 491'!$H$76,'310 &amp; 491'!$H$78,'310 &amp; 491'!$H$80,'310 &amp; 491'!$H$82,'310 &amp; 491'!$H$84:$H$85,'310 &amp; 491'!$H$87,'310 &amp; 491'!$H$89,'310 &amp; 491'!$H$91,'310 &amp; 491'!$H$93,'310 &amp; 491'!$H$95,'310 &amp; 491'!$H$97:$H$100,'310 &amp; 491'!$H$102:$H$105,'310 &amp; 491'!$H$107:$H$112,'310 &amp; 491'!$H$114:$H$115,'310 &amp; 491'!$H$117:$H$126,'310 &amp; 491'!$H$128:$H$129,'310 &amp; 491'!$H$131,'310 &amp; 491'!$H$133:$H$135,'310 &amp; 491'!$H$137</definedName>
    <definedName name="OSRRefH22x_0" localSheetId="56">'311'!$H$65:$H$74,'311'!$H$76:$H$85,'311'!$H$87,'311'!$H$89:$H$90,'311'!$H$92,'311'!$H$94,'311'!$H$96:$H$97,'311'!$H$99,'311'!$H$101,'311'!$H$103:$H$105,'311'!$H$107,'311'!$H$109:$H$111,'311'!$H$113:$H$114,'311'!$H$116,'311'!$H$118:$H$119</definedName>
    <definedName name="OSRRefH22x_0" localSheetId="68">'313'!$H$30:$H$38,'313'!$H$40:$H$49,'313'!$H$51,'313'!$H$53,'313'!$H$55,'313'!$H$57,'313'!$H$59,'313'!$H$61,'313'!$H$63,'313'!$H$65,'313'!$H$67:$H$69,'313'!$H$71,'313'!$H$73:$H$77,'313'!$H$79,'313'!$H$81</definedName>
    <definedName name="OSRRefH22x_0" localSheetId="54">'314'!$H$58:$H$66,'314'!$H$68:$H$77,'314'!$H$79,'314'!$H$81:$H$82,'314'!$H$84,'314'!$H$86,'314'!$H$88,'314'!$H$90,'314'!$H$92,'314'!$H$94,'314'!$H$96</definedName>
    <definedName name="OSRRefH22x_0" localSheetId="59">'315'!$H$58:$H$66,'315'!$H$68:$H$77,'315'!$H$79,'315'!$H$81:$H$82,'315'!$H$84,'315'!$H$86:$H$87,'315'!$H$89,'315'!$H$91,'315'!$H$93,'315'!$H$95,'315'!$H$97:$H$99,'315'!$H$101:$H$102,'315'!$H$104:$H$108,'315'!$H$110,'315'!$H$112,'315'!$H$114:$H$115</definedName>
    <definedName name="OSRRefH22x_0" localSheetId="62">'316'!$H$35:$H$43,'316'!$H$45:$H$54,'316'!$H$56,'316'!$H$58,'316'!$H$60,'316'!$H$62,'316'!$H$64,'316'!$H$66,'316'!$H$68,'316'!$H$70:$H$71,'316'!$H$73:$H$74,'316'!$H$76:$H$80,'316'!$H$82:$H$83,'316'!$H$85</definedName>
    <definedName name="OSRRefH22x_0" localSheetId="65">'317'!$H$60:$H$69,'317'!$H$71:$H$80,'317'!$H$82,'317'!$H$84,'317'!$H$86,'317'!$H$88,'317'!$H$90,'317'!$H$92,'317'!$H$94,'317'!$H$96:$H$97,'317'!$H$99:$H$100,'317'!$H$102,'317'!$H$104</definedName>
    <definedName name="OSRRefH22x_0" localSheetId="63">'320'!$H$31:$H$38,'320'!$H$40:$H$49,'320'!$H$51,'320'!$H$53,'320'!$H$55:$H$56,'320'!$H$58,'320'!$H$60,'320'!$H$62:$H$63,'320'!$H$65</definedName>
    <definedName name="OSRRefH22x_0" localSheetId="69">'321'!$H$26:$H$33,'321'!$H$35:$H$44,'321'!$H$46,'321'!$H$48,'321'!$H$50,'321'!$H$52,'321'!$H$54,'321'!$H$56,'321'!$H$58,'321'!$H$60:$H$62,'321'!$H$64:$H$65,'321'!$H$67:$H$69,'321'!$H$71:$H$73,'321'!$H$75,'321'!$H$77</definedName>
    <definedName name="OSRRefH22x_0" localSheetId="70">'322'!$H$26:$H$34,'322'!$H$36:$H$45,'322'!$H$47,'322'!$H$49,'322'!$H$51,'322'!$H$53:$H$54,'322'!$H$56,'322'!$H$58,'322'!$H$60,'322'!$H$62:$H$64,'322'!$H$66:$H$68,'322'!$H$70:$H$75,'322'!$H$77,'322'!$H$79</definedName>
    <definedName name="OSRRefH22x_0" localSheetId="71">'325'!$H$26:$H$34,'325'!$H$36:$H$45,'325'!$H$47,'325'!$H$49,'325'!$H$51,'325'!$H$53:$H$55,'325'!$H$57,'325'!$H$59,'325'!$H$61,'325'!$H$63,'325'!$H$65,'325'!$H$67:$H$69,'325'!$H$71:$H$74,'325'!$H$76,'325'!$H$78:$H$84,'325'!$H$86,'325'!$H$88,'325'!$H$90,'325'!$H$92</definedName>
    <definedName name="OSRRefH22x_0" localSheetId="60">'326'!$H$57:$H$65,'326'!$H$67:$H$76,'326'!$H$78,'326'!$H$80:$H$81,'326'!$H$83,'326'!$H$85,'326'!$H$87,'326'!$H$89,'326'!$H$91,'326'!$H$93,'326'!$H$95,'326'!$H$97,'326'!$H$99,'326'!$H$101:$H$102,'326'!$H$104:$H$106,'326'!$H$108:$H$109,'326'!$H$111:$H$116,'326'!$H$118:$H$119,'326'!$H$121,'326'!$H$123,'326'!$H$125</definedName>
    <definedName name="OSRRefH22x_0" localSheetId="72">'327'!$H$24,'327'!$H$26,'327'!$H$28</definedName>
    <definedName name="OSRRefH22x_0" localSheetId="52">'330'!$H$86:$H$94,'330'!$H$96:$H$105,'330'!$H$107,'330'!$H$109,'330'!$H$111:$H$112,'330'!$H$114,'330'!$H$116,'330'!$H$118,'330'!$H$120,'330'!$H$122:$H$123,'330'!$H$125:$H$126,'330'!$H$128,'330'!$H$130:$H$132,'330'!$H$134,'330'!$H$136,'330'!$H$138</definedName>
    <definedName name="OSRRefH22x_0" localSheetId="58">'331'!$H$73:$H$81,'331'!$H$83:$H$92,'331'!$H$94,'331'!$H$96:$H$97,'331'!$H$99,'331'!$H$101:$H$102,'331'!$H$104,'331'!$H$106,'331'!$H$108:$H$109,'331'!$H$111,'331'!$H$113,'331'!$H$115,'331'!$H$117,'331'!$H$119,'331'!$H$121:$H$122,'331'!$H$124:$H$126,'331'!$H$128:$H$130,'331'!$H$132:$H$133,'331'!$H$135:$H$140,'331'!$H$142:$H$143,'331'!$H$145,'331'!$H$147:$H$148,'331'!$H$150</definedName>
    <definedName name="OSRRefH22x_0" localSheetId="61">'332'!$H$44:$H$52,'332'!$H$54:$H$63,'332'!$H$65,'332'!$H$67,'332'!$H$69,'332'!$H$71,'332'!$H$73,'332'!$H$75:$H$76,'332'!$H$78,'332'!$H$80,'332'!$H$82:$H$83,'332'!$H$85:$H$86,'332'!$H$88:$H$92,'332'!$H$94:$H$95,'332'!$H$97</definedName>
    <definedName name="OSRRefH22x_0" localSheetId="77">'405'!$H$26:$H$34,'405'!$H$36:$H$45,'405'!$H$47,'405'!$H$49,'405'!$H$51,'405'!$H$53:$H$55,'405'!$H$57,'405'!$H$59,'405'!$H$61,'405'!$H$63,'405'!$H$65,'405'!$H$67:$H$69,'405'!$H$71,'405'!$H$73:$H$75,'405'!$H$77:$H$78,'405'!$H$80:$H$88,'405'!$H$90,'405'!$H$92,'405'!$H$94,'405'!$H$96</definedName>
    <definedName name="OSRRefH22x_0" localSheetId="78">'406'!$H$27:$H$35,'406'!$H$37:$H$46,'406'!$H$48,'406'!$H$50,'406'!$H$52,'406'!$H$54:$H$55,'406'!$H$57,'406'!$H$59,'406'!$H$61,'406'!$H$63:$H$65,'406'!$H$67:$H$69,'406'!$H$71:$H$76,'406'!$H$78:$H$79,'406'!$H$81,'406'!$H$83</definedName>
    <definedName name="OSRRefH22x_0" localSheetId="79">'411'!$H$20:$H$29,'411'!$H$31:$H$40,'411'!$H$42,'411'!$H$44:$H$47,'411'!$H$49,'411'!$H$51,'411'!$H$53,'411'!$H$55,'411'!$H$57,'411'!$H$59,'411'!$H$61:$H$63,'411'!$H$65:$H$69,'411'!$H$71,'411'!$H$73:$H$80,'411'!$H$82,'411'!$H$84,'411'!$H$86:$H$88,'411'!$H$90</definedName>
    <definedName name="OSRRefH22x_0" localSheetId="80">'412'!$H$26:$H$34,'412'!$H$36:$H$45,'412'!$H$47,'412'!$H$49,'412'!$H$51,'412'!$H$53:$H$55,'412'!$H$57,'412'!$H$59,'412'!$H$61,'412'!$H$63:$H$64,'412'!$H$66,'412'!$H$68:$H$70,'412'!$H$72:$H$77,'412'!$H$79,'412'!$H$81,'412'!$H$83</definedName>
    <definedName name="OSRRefH22x_0" localSheetId="82">'413'!$H$27:$H$35,'413'!$H$37:$H$46,'413'!$H$48,'413'!$H$50,'413'!$H$52,'413'!$H$54,'413'!$H$56,'413'!$H$58,'413'!$H$60:$H$62,'413'!$H$64:$H$65,'413'!$H$67:$H$73,'413'!$H$75:$H$76,'413'!$H$78</definedName>
    <definedName name="OSRRefH22x_0" localSheetId="83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4">'415'!$H$26:$H$34,'415'!$H$36:$H$45,'415'!$H$47,'415'!$H$49,'415'!$H$51,'415'!$H$53:$H$55,'415'!$H$57,'415'!$H$59,'415'!$H$61,'415'!$H$63,'415'!$H$65,'415'!$H$67:$H$70,'415'!$H$72:$H$76,'415'!$H$78:$H$79,'415'!$H$81:$H$89,'415'!$H$91,'415'!$H$93,'415'!$H$95:$H$96,'415'!$H$98</definedName>
    <definedName name="OSRRefH22x_0" localSheetId="85">'418'!$H$27:$H$35,'418'!$H$37:$H$46,'418'!$H$48,'418'!$H$50,'418'!$H$52,'418'!$H$54:$H$56,'418'!$H$58,'418'!$H$60,'418'!$H$62,'418'!$H$64,'418'!$H$66:$H$67,'418'!$H$69:$H$71,'418'!$H$73:$H$75,'418'!$H$77:$H$78,'418'!$H$80:$H$86,'418'!$H$88,'418'!$H$90,'418'!$H$92</definedName>
    <definedName name="OSRRefH22x_0" localSheetId="81">'420'!$H$23:$H$30,'420'!$H$32:$H$35,'420'!$H$37,'420'!$H$39,'420'!$H$41,'420'!$H$43:$H$44,'420'!$H$46</definedName>
    <definedName name="OSRRefH22x_0" localSheetId="86">'423'!$H$21:$H$29,'423'!$H$31:$H$40,'423'!$H$42,'423'!$H$44,'423'!$H$46,'423'!$H$48</definedName>
    <definedName name="OSRRefH22x_0" localSheetId="87">'424'!$H$27:$H$34,'424'!$H$36:$H$45,'424'!$H$47,'424'!$H$49,'424'!$H$51,'424'!$H$53,'424'!$H$55,'424'!$H$57:$H$58,'424'!$H$60:$H$62,'424'!$H$64,'424'!$H$66:$H$70,'424'!$H$72:$H$73</definedName>
    <definedName name="OSRRefH22x_0" localSheetId="88">'425'!$H$29:$H$38,'425'!$H$40:$H$49,'425'!$H$51,'425'!$H$53,'425'!$H$55,'425'!$H$57:$H$58,'425'!$H$60,'425'!$H$62,'425'!$H$64,'425'!$H$66:$H$68,'425'!$H$70:$H$71,'425'!$H$73:$H$74,'425'!$H$76,'425'!$H$78:$H$84,'425'!$H$86:$H$87,'425'!$H$89,'425'!$H$91</definedName>
    <definedName name="OSRRefH22x_0" localSheetId="91">'430'!$H$20:$H$28,'430'!$H$30:$H$39,'430'!$H$41,'430'!$H$43,'430'!$H$45,'430'!$H$47,'430'!$H$49,'430'!$H$51:$H$53,'430'!$H$55,'430'!$H$57,'430'!$H$59</definedName>
    <definedName name="OSRRefH22x_0" localSheetId="92">'433'!$H$27:$H$36,'433'!$H$38:$H$47,'433'!$H$49,'433'!$H$51,'433'!$H$53,'433'!$H$55,'433'!$H$57,'433'!$H$59,'433'!$H$61,'433'!$H$63,'433'!$H$65:$H$67,'433'!$H$69:$H$72,'433'!$H$74:$H$81,'433'!$H$83,'433'!$H$85,'433'!$H$87:$H$88</definedName>
    <definedName name="OSRRefH22x_0" localSheetId="93">'435'!$H$27:$H$34,'435'!$H$36:$H$45,'435'!$H$47,'435'!$H$49,'435'!$H$51,'435'!$H$53,'435'!$H$55,'435'!$H$57:$H$59,'435'!$H$61</definedName>
    <definedName name="OSRRefH22x_0" localSheetId="94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5">'450'!$H$27:$H$36,'450'!$H$38:$H$47,'450'!$H$49,'450'!$H$51:$H$52,'450'!$H$54,'450'!$H$56,'450'!$H$58,'450'!$H$60,'450'!$H$62,'450'!$H$64,'450'!$H$66,'450'!$H$68:$H$71,'450'!$H$73:$H$75,'450'!$H$77:$H$82,'450'!$H$84,'450'!$H$86,'450'!$H$88:$H$89</definedName>
    <definedName name="OSRRefH22x_0" localSheetId="89">'455'!$H$20:$H$27,'455'!$H$29:$H$38</definedName>
    <definedName name="OSRRefH22x_0" localSheetId="76">'491'!$H$35:$H$44,'491'!$H$46:$H$55,'491'!$H$57,'491'!$H$59,'491'!$H$61,'491'!$H$63:$H$66,'491'!$H$68,'491'!$H$70,'491'!$H$72,'491'!$H$74,'491'!$H$76:$H$77,'491'!$H$79,'491'!$H$81,'491'!$H$83,'491'!$H$85,'491'!$H$87:$H$90,'491'!$H$92:$H$95,'491'!$H$97:$H$101,'491'!$H$103:$H$104,'491'!$H$106:$H$115,'491'!$H$117:$H$118,'491'!$H$120,'491'!$H$122:$H$124,'491'!$H$126</definedName>
    <definedName name="OSRRefH22x_0" localSheetId="90">'492'!$H$29:$H$38,'492'!$H$40:$H$49,'492'!$H$51,'492'!$H$53:$H$54,'492'!$H$56,'492'!$H$58:$H$59,'492'!$H$61,'492'!$H$63,'492'!$H$65,'492'!$H$67,'492'!$H$69,'492'!$H$71,'492'!$H$73:$H$76,'492'!$H$78:$H$81,'492'!$H$83:$H$91,'492'!$H$93,'492'!$H$95,'492'!$H$97:$H$98</definedName>
    <definedName name="OSRRefH22x_0" localSheetId="97">'501'!$H$21:$H$29,'501'!$H$31:$H$40,'501'!$H$42,'501'!$H$44,'501'!$H$46,'501'!$H$48,'501'!$H$50,'501'!$H$52,'501'!$H$54,'501'!$H$56,'501'!$H$58:$H$61,'501'!$H$63,'501'!$H$65:$H$67,'501'!$H$69,'501'!$H$71</definedName>
    <definedName name="OSRRefH22x_0" localSheetId="39">'Div 2'!$H$21:$H$31,'Div 2'!$H$33:$H$42,'Div 2'!$H$44,'Div 2'!$H$46,'Div 2'!$H$48,'Div 2'!$H$50:$H$51,'Div 2'!$H$53:$H$54,'Div 2'!$H$56,'Div 2'!$H$58,'Div 2'!$H$60,'Div 2'!$H$62,'Div 2'!$H$64,'Div 2'!$H$66:$H$68,'Div 2'!$H$70:$H$73,'Div 2'!$H$75:$H$78,'Div 2'!$H$80:$H$81,'Div 2'!$H$83:$H$84,'Div 2'!$H$86:$H$90,'Div 2'!$H$92:$H$93,'Div 2'!$H$95,'Div 2'!$H$97:$H$98</definedName>
    <definedName name="OSRRefH22x_0" localSheetId="47">'Div 3'!$H$171:$H$180,'Div 3'!$H$182:$H$191,'Div 3'!$H$193,'Div 3'!$H$195:$H$196,'Div 3'!$H$198,'Div 3'!$H$200:$H$203,'Div 3'!$H$205:$H$206,'Div 3'!$H$208:$H$209,'Div 3'!$H$211,'Div 3'!$H$213,'Div 3'!$H$215:$H$216,'Div 3'!$H$218,'Div 3'!$H$220,'Div 3'!$H$222,'Div 3'!$H$224,'Div 3'!$H$226,'Div 3'!$H$228,'Div 3'!$H$230,'Div 3'!$H$232:$H$235,'Div 3'!$H$237:$H$240,'Div 3'!$H$242:$H$247,'Div 3'!$H$249:$H$250,'Div 3'!$H$252:$H$260,'Div 3'!$H$262:$H$263,'Div 3'!$H$265,'Div 3'!$H$267:$H$269,'Div 3'!$H$271</definedName>
    <definedName name="OSRRefH22x_0" localSheetId="74">'Div 4'!$H$35:$H$44,'Div 4'!$H$46:$H$55,'Div 4'!$H$57,'Div 4'!$H$59:$H$60,'Div 4'!$H$62,'Div 4'!$H$64:$H$67,'Div 4'!$H$69,'Div 4'!$H$71:$H$72,'Div 4'!$H$74,'Div 4'!$H$76,'Div 4'!$H$78,'Div 4'!$H$80:$H$81,'Div 4'!$H$83,'Div 4'!$H$85,'Div 4'!$H$87,'Div 4'!$H$89,'Div 4'!$H$91,'Div 4'!$H$93:$H$96,'Div 4'!$H$98:$H$101,'Div 4'!$H$103:$H$107,'Div 4'!$H$109:$H$110,'Div 4'!$H$112:$H$121,'Div 4'!$H$123:$H$124,'Div 4'!$H$126,'Div 4'!$H$128:$H$130,'Div 4'!$H$132</definedName>
    <definedName name="OSRRefH22x_0" localSheetId="96">'Div 5'!$H$21:$H$29,'Div 5'!$H$31:$H$40,'Div 5'!$H$42,'Div 5'!$H$44,'Div 5'!$H$46,'Div 5'!$H$48,'Div 5'!$H$50,'Div 5'!$H$52,'Div 5'!$H$54,'Div 5'!$H$56,'Div 5'!$H$58:$H$61,'Div 5'!$H$63,'Div 5'!$H$65:$H$67,'Div 5'!$H$69,'Div 5'!$H$71</definedName>
    <definedName name="OSRRefH22x_0" localSheetId="64">'Div 6'!$H$60:$H$69,'Div 6'!$H$71:$H$80,'Div 6'!$H$82,'Div 6'!$H$84,'Div 6'!$H$86,'Div 6'!$H$88,'Div 6'!$H$90,'Div 6'!$H$92,'Div 6'!$H$94,'Div 6'!$H$96:$H$97,'Div 6'!$H$99:$H$100,'Div 6'!$H$102,'Div 6'!$H$104</definedName>
    <definedName name="OSRRefH22x_0" localSheetId="2">Summary!$H$203:$H$212,Summary!$H$214:$H$223,Summary!$H$225,Summary!$H$227:$H$228,Summary!$H$230,Summary!$H$232:$H$235,Summary!$H$237:$H$238,Summary!$H$240:$H$242,Summary!$H$244,Summary!$H$246,Summary!$H$248:$H$249,Summary!$H$251:$H$252,Summary!$H$254,Summary!$H$256,Summary!$H$258,Summary!$H$260,Summary!$H$262,Summary!$H$264,Summary!$H$266:$H$269,Summary!$H$271:$H$274,Summary!$H$276:$H$281,Summary!$H$283:$H$284,Summary!$H$286:$H$295,Summary!$H$297:$H$298,Summary!$H$300,Summary!$H$302:$H$304,Summary!$H$306</definedName>
    <definedName name="OSRRefH25x_0" localSheetId="48">'300'!$H$261:$H$269</definedName>
    <definedName name="OSRRefH25x_0" localSheetId="49">'300 &amp; 317'!$H$286:$H$297</definedName>
    <definedName name="OSRRefH25x_0" localSheetId="50">'301'!$H$103:$H$106</definedName>
    <definedName name="OSRRefH25x_0" localSheetId="53">'307'!$H$128</definedName>
    <definedName name="OSRRefH25x_0" localSheetId="55">'308'!$H$122:$H$125</definedName>
    <definedName name="OSRRefH25x_0" localSheetId="75">'310 &amp; 491'!$H$140:$H$143</definedName>
    <definedName name="OSRRefH25x_0" localSheetId="56">'311'!$H$122:$H$125</definedName>
    <definedName name="OSRRefH25x_0" localSheetId="59">'315'!$H$118:$H$120</definedName>
    <definedName name="OSRRefH25x_0" localSheetId="62">'316'!$H$88:$H$89</definedName>
    <definedName name="OSRRefH25x_0" localSheetId="65">'317'!$H$107:$H$110</definedName>
    <definedName name="OSRRefH25x_0" localSheetId="63">'320'!$H$68:$H$72</definedName>
    <definedName name="OSRRefH25x_0" localSheetId="52">'330'!$H$141</definedName>
    <definedName name="OSRRefH25x_0" localSheetId="58">'331'!$H$153:$H$155</definedName>
    <definedName name="OSRRefH25x_0" localSheetId="61">'332'!$H$100:$H$106</definedName>
    <definedName name="OSRRefH25x_0" localSheetId="79">'411'!$H$93:$H$94</definedName>
    <definedName name="OSRRefH25x_0" localSheetId="82">'413'!$H$81</definedName>
    <definedName name="OSRRefH25x_0" localSheetId="84">'415'!$H$101</definedName>
    <definedName name="OSRRefH25x_0" localSheetId="86">'423'!$H$51</definedName>
    <definedName name="OSRRefH25x_0" localSheetId="87">'424'!$H$76</definedName>
    <definedName name="OSRRefH25x_0" localSheetId="88">'425'!$H$94</definedName>
    <definedName name="OSRRefH25x_0" localSheetId="89">'455'!$H$41:$H$44</definedName>
    <definedName name="OSRRefH25x_0" localSheetId="76">'491'!$H$129:$H$132</definedName>
    <definedName name="OSRRefH25x_0" localSheetId="97">'501'!$H$74</definedName>
    <definedName name="OSRRefH25x_0" localSheetId="47">'Div 3'!$H$274:$H$282</definedName>
    <definedName name="OSRRefH25x_0" localSheetId="74">'Div 4'!$H$135:$H$138</definedName>
    <definedName name="OSRRefH25x_0" localSheetId="96">'Div 5'!$H$74</definedName>
    <definedName name="OSRRefH25x_0" localSheetId="64">'Div 6'!$H$107:$H$110</definedName>
    <definedName name="OSRRefH25x_0" localSheetId="2">Summary!$H$309:$H$321</definedName>
    <definedName name="OSRRefP13x_0" localSheetId="44">'204'!$P$13</definedName>
    <definedName name="OSRRefP13x_0" localSheetId="48">'300'!$P$13:$P$107</definedName>
    <definedName name="OSRRefP13x_0" localSheetId="49">'300 &amp; 317'!$P$13:$P$125</definedName>
    <definedName name="OSRRefP13x_0" localSheetId="53">'307'!$P$13:$P$50</definedName>
    <definedName name="OSRRefP13x_0" localSheetId="55">'308'!$P$13:$P$40</definedName>
    <definedName name="OSRRefP13x_0" localSheetId="67">'309'!$P$13:$P$15</definedName>
    <definedName name="OSRRefP13x_0" localSheetId="66">'310'!$P$13:$P$23</definedName>
    <definedName name="OSRRefP13x_0" localSheetId="75">'310 &amp; 491'!$P$13:$P$30</definedName>
    <definedName name="OSRRefP13x_0" localSheetId="56">'311'!$P$13:$P$40</definedName>
    <definedName name="OSRRefP13x_0" localSheetId="68">'313'!$P$13:$P$19</definedName>
    <definedName name="OSRRefP13x_0" localSheetId="54">'314'!$P$13:$P$34</definedName>
    <definedName name="OSRRefP13x_0" localSheetId="59">'315'!$P$13:$P$34</definedName>
    <definedName name="OSRRefP13x_0" localSheetId="62">'316'!$P$13:$P$27</definedName>
    <definedName name="OSRRefP13x_0" localSheetId="65">'317'!$P$13:$P$38</definedName>
    <definedName name="OSRRefP13x_0" localSheetId="63">'320'!$P$13:$P$17</definedName>
    <definedName name="OSRRefP13x_0" localSheetId="69">'321'!$P$13:$P$15</definedName>
    <definedName name="OSRRefP13x_0" localSheetId="70">'322'!$P$13:$P$15</definedName>
    <definedName name="OSRRefP13x_0" localSheetId="57">'324'!$P$13:$P$15</definedName>
    <definedName name="OSRRefP13x_0" localSheetId="71">'325'!$P$13:$P$15</definedName>
    <definedName name="OSRRefP13x_0" localSheetId="60">'326'!$P$13:$P$33</definedName>
    <definedName name="OSRRefP13x_0" localSheetId="72">'327'!$P$13:$P$14</definedName>
    <definedName name="OSRRefP13x_0" localSheetId="52">'330'!$P$13:$P$54</definedName>
    <definedName name="OSRRefP13x_0" localSheetId="58">'331'!$P$13:$P$42</definedName>
    <definedName name="OSRRefP13x_0" localSheetId="61">'332'!$P$13:$P$30</definedName>
    <definedName name="OSRRefP13x_0" localSheetId="77">'405'!$P$13:$P$15</definedName>
    <definedName name="OSRRefP13x_0" localSheetId="78">'406'!$P$13:$P$16</definedName>
    <definedName name="OSRRefP13x_0" localSheetId="80">'412'!$P$13:$P$16</definedName>
    <definedName name="OSRRefP13x_0" localSheetId="82">'413'!$P$13:$P$16</definedName>
    <definedName name="OSRRefP13x_0" localSheetId="83">'414'!$P$13:$P$16</definedName>
    <definedName name="OSRRefP13x_0" localSheetId="84">'415'!$P$13:$P$15</definedName>
    <definedName name="OSRRefP13x_0" localSheetId="85">'418'!$P$13:$P$16</definedName>
    <definedName name="OSRRefP13x_0" localSheetId="81">'420'!$P$13:$P$14</definedName>
    <definedName name="OSRRefP13x_0" localSheetId="87">'424'!$P$13:$P$16</definedName>
    <definedName name="OSRRefP13x_0" localSheetId="88">'425'!$P$13:$P$18</definedName>
    <definedName name="OSRRefP13x_0" localSheetId="92">'433'!$P$13:$P$16</definedName>
    <definedName name="OSRRefP13x_0" localSheetId="93">'435'!$P$13:$P$16</definedName>
    <definedName name="OSRRefP13x_0" localSheetId="94">'444'!$P$13:$P$16</definedName>
    <definedName name="OSRRefP13x_0" localSheetId="95">'450'!$P$13:$P$16</definedName>
    <definedName name="OSRRefP13x_0" localSheetId="76">'491'!$P$13:$P$24</definedName>
    <definedName name="OSRRefP13x_0" localSheetId="90">'492'!$P$13:$P$18</definedName>
    <definedName name="OSRRefP13x_0" localSheetId="97">'501'!$P$13</definedName>
    <definedName name="OSRRefP13x_0" localSheetId="39">'Div 2'!$P$13</definedName>
    <definedName name="OSRRefP13x_0" localSheetId="47">'Div 3'!$P$13:$P$110</definedName>
    <definedName name="OSRRefP13x_0" localSheetId="74">'Div 4'!$P$13:$P$24</definedName>
    <definedName name="OSRRefP13x_0" localSheetId="96">'Div 5'!$P$13</definedName>
    <definedName name="OSRRefP13x_0" localSheetId="64">'Div 6'!$P$13:$P$38</definedName>
    <definedName name="OSRRefP13x_0" localSheetId="2">Summary!$P$13:$P$135</definedName>
    <definedName name="OSRRefP16x_0" localSheetId="48">'300'!$P$110:$P$160</definedName>
    <definedName name="OSRRefP16x_0" localSheetId="49">'300 &amp; 317'!$P$128:$P$185</definedName>
    <definedName name="OSRRefP16x_0" localSheetId="53">'307'!$P$53:$P$73</definedName>
    <definedName name="OSRRefP16x_0" localSheetId="55">'308'!$P$43:$P$59</definedName>
    <definedName name="OSRRefP16x_0" localSheetId="67">'309'!$P$18:$P$20</definedName>
    <definedName name="OSRRefP16x_0" localSheetId="66">'310'!$P$26:$P$28</definedName>
    <definedName name="OSRRefP16x_0" localSheetId="75">'310 &amp; 491'!$P$33:$P$35</definedName>
    <definedName name="OSRRefP16x_0" localSheetId="56">'311'!$P$43:$P$59</definedName>
    <definedName name="OSRRefP16x_0" localSheetId="68">'313'!$P$22:$P$24</definedName>
    <definedName name="OSRRefP16x_0" localSheetId="54">'314'!$P$37:$P$52</definedName>
    <definedName name="OSRRefP16x_0" localSheetId="59">'315'!$P$37:$P$52</definedName>
    <definedName name="OSRRefP16x_0" localSheetId="65">'317'!$P$41:$P$54</definedName>
    <definedName name="OSRRefP16x_0" localSheetId="63">'320'!$P$20:$P$25</definedName>
    <definedName name="OSRRefP16x_0" localSheetId="69">'321'!$P$18:$P$20</definedName>
    <definedName name="OSRRefP16x_0" localSheetId="70">'322'!$P$18:$P$20</definedName>
    <definedName name="OSRRefP16x_0" localSheetId="57">'324'!$P$18:$P$20</definedName>
    <definedName name="OSRRefP16x_0" localSheetId="71">'325'!$P$18:$P$20</definedName>
    <definedName name="OSRRefP16x_0" localSheetId="60">'326'!$P$36:$P$51</definedName>
    <definedName name="OSRRefP16x_0" localSheetId="72">'327'!$P$17:$P$18</definedName>
    <definedName name="OSRRefP16x_0" localSheetId="52">'330'!$P$57:$P$80</definedName>
    <definedName name="OSRRefP16x_0" localSheetId="58">'331'!$P$45:$P$67</definedName>
    <definedName name="OSRRefP16x_0" localSheetId="61">'332'!$P$33:$P$38</definedName>
    <definedName name="OSRRefP16x_0" localSheetId="77">'405'!$P$18:$P$20</definedName>
    <definedName name="OSRRefP16x_0" localSheetId="78">'406'!$P$19:$P$21</definedName>
    <definedName name="OSRRefP16x_0" localSheetId="80">'412'!$P$19:$P$20</definedName>
    <definedName name="OSRRefP16x_0" localSheetId="82">'413'!$P$19:$P$21</definedName>
    <definedName name="OSRRefP16x_0" localSheetId="83">'414'!$P$19:$P$21</definedName>
    <definedName name="OSRRefP16x_0" localSheetId="84">'415'!$P$18:$P$20</definedName>
    <definedName name="OSRRefP16x_0" localSheetId="85">'418'!$P$19:$P$21</definedName>
    <definedName name="OSRRefP16x_0" localSheetId="81">'420'!$P$17</definedName>
    <definedName name="OSRRefP16x_0" localSheetId="86">'423'!$P$15</definedName>
    <definedName name="OSRRefP16x_0" localSheetId="87">'424'!$P$19:$P$21</definedName>
    <definedName name="OSRRefP16x_0" localSheetId="88">'425'!$P$21:$P$23</definedName>
    <definedName name="OSRRefP16x_0" localSheetId="92">'433'!$P$19:$P$21</definedName>
    <definedName name="OSRRefP16x_0" localSheetId="93">'435'!$P$19:$P$21</definedName>
    <definedName name="OSRRefP16x_0" localSheetId="94">'444'!$P$19:$P$21</definedName>
    <definedName name="OSRRefP16x_0" localSheetId="95">'450'!$P$19:$P$21</definedName>
    <definedName name="OSRRefP16x_0" localSheetId="76">'491'!$P$27:$P$29</definedName>
    <definedName name="OSRRefP16x_0" localSheetId="90">'492'!$P$21:$P$23</definedName>
    <definedName name="OSRRefP16x_0" localSheetId="47">'Div 3'!$P$113:$P$165</definedName>
    <definedName name="OSRRefP16x_0" localSheetId="74">'Div 4'!$P$27:$P$29</definedName>
    <definedName name="OSRRefP16x_0" localSheetId="64">'Div 6'!$P$41:$P$54</definedName>
    <definedName name="OSRRefP16x_0" localSheetId="2">Summary!$P$138:$P$197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'204'!$P$21:$P$30</definedName>
    <definedName name="OSRRefP22_0x_0" localSheetId="45">'205'!$P$20:$P$28</definedName>
    <definedName name="OSRRefP22_0x_0" localSheetId="46">'206'!$P$20:$P$28</definedName>
    <definedName name="OSRRefP22_0x_0" localSheetId="48">'300'!$P$166:$P$175</definedName>
    <definedName name="OSRRefP22_0x_0" localSheetId="49">'300 &amp; 317'!$P$191:$P$200</definedName>
    <definedName name="OSRRefP22_0x_0" localSheetId="50">'301'!$P$20:$P$28</definedName>
    <definedName name="OSRRefP22_0x_0" localSheetId="51">'306'!$P$20:$P$28</definedName>
    <definedName name="OSRRefP22_0x_0" localSheetId="53">'307'!$P$79:$P$87</definedName>
    <definedName name="OSRRefP22_0x_0" localSheetId="55">'308'!$P$65:$P$74</definedName>
    <definedName name="OSRRefP22_0x_0" localSheetId="67">'309'!$P$26:$P$34</definedName>
    <definedName name="OSRRefP22_0x_0" localSheetId="66">'310'!$P$34:$P$42</definedName>
    <definedName name="OSRRefP22_0x_0" localSheetId="75">'310 &amp; 491'!$P$41:$P$50</definedName>
    <definedName name="OSRRefP22_0x_0" localSheetId="56">'311'!$P$65:$P$74</definedName>
    <definedName name="OSRRefP22_0x_0" localSheetId="68">'313'!$P$30:$P$38</definedName>
    <definedName name="OSRRefP22_0x_0" localSheetId="54">'314'!$P$58:$P$66</definedName>
    <definedName name="OSRRefP22_0x_0" localSheetId="59">'315'!$P$58:$P$66</definedName>
    <definedName name="OSRRefP22_0x_0" localSheetId="62">'316'!$P$35:$P$43</definedName>
    <definedName name="OSRRefP22_0x_0" localSheetId="65">'317'!$P$60:$P$69</definedName>
    <definedName name="OSRRefP22_0x_0" localSheetId="63">'320'!$P$31:$P$38</definedName>
    <definedName name="OSRRefP22_0x_0" localSheetId="69">'321'!$P$26:$P$33</definedName>
    <definedName name="OSRRefP22_0x_0" localSheetId="70">'322'!$P$26:$P$34</definedName>
    <definedName name="OSRRefP22_0x_0" localSheetId="71">'325'!$P$26:$P$34</definedName>
    <definedName name="OSRRefP22_0x_0" localSheetId="60">'326'!$P$57:$P$65</definedName>
    <definedName name="OSRRefP22_0x_0" localSheetId="72">'327'!$P$24</definedName>
    <definedName name="OSRRefP22_0x_0" localSheetId="52">'330'!$P$86:$P$94</definedName>
    <definedName name="OSRRefP22_0x_0" localSheetId="58">'331'!$P$73:$P$81</definedName>
    <definedName name="OSRRefP22_0x_0" localSheetId="61">'332'!$P$44:$P$52</definedName>
    <definedName name="OSRRefP22_0x_0" localSheetId="77">'405'!$P$26:$P$34</definedName>
    <definedName name="OSRRefP22_0x_0" localSheetId="78">'406'!$P$27:$P$35</definedName>
    <definedName name="OSRRefP22_0x_0" localSheetId="79">'411'!$P$20:$P$29</definedName>
    <definedName name="OSRRefP22_0x_0" localSheetId="80">'412'!$P$26:$P$34</definedName>
    <definedName name="OSRRefP22_0x_0" localSheetId="82">'413'!$P$27:$P$35</definedName>
    <definedName name="OSRRefP22_0x_0" localSheetId="83">'414'!$P$27:$P$35</definedName>
    <definedName name="OSRRefP22_0x_0" localSheetId="84">'415'!$P$26:$P$34</definedName>
    <definedName name="OSRRefP22_0x_0" localSheetId="85">'418'!$P$27:$P$35</definedName>
    <definedName name="OSRRefP22_0x_0" localSheetId="81">'420'!$P$23:$P$30</definedName>
    <definedName name="OSRRefP22_0x_0" localSheetId="86">'423'!$P$21:$P$29</definedName>
    <definedName name="OSRRefP22_0x_0" localSheetId="87">'424'!$P$27:$P$34</definedName>
    <definedName name="OSRRefP22_0x_0" localSheetId="88">'425'!$P$29:$P$38</definedName>
    <definedName name="OSRRefP22_0x_0" localSheetId="91">'430'!$P$20:$P$28</definedName>
    <definedName name="OSRRefP22_0x_0" localSheetId="92">'433'!$P$27:$P$36</definedName>
    <definedName name="OSRRefP22_0x_0" localSheetId="93">'435'!$P$27:$P$34</definedName>
    <definedName name="OSRRefP22_0x_0" localSheetId="94">'444'!$P$27:$P$36</definedName>
    <definedName name="OSRRefP22_0x_0" localSheetId="95">'450'!$P$27:$P$36</definedName>
    <definedName name="OSRRefP22_0x_0" localSheetId="89">'455'!$P$20:$P$27</definedName>
    <definedName name="OSRRefP22_0x_0" localSheetId="76">'491'!$P$35:$P$44</definedName>
    <definedName name="OSRRefP22_0x_0" localSheetId="90">'492'!$P$29:$P$38</definedName>
    <definedName name="OSRRefP22_0x_0" localSheetId="97">'501'!$P$21:$P$29</definedName>
    <definedName name="OSRRefP22_0x_0" localSheetId="39">'Div 2'!$P$21:$P$31</definedName>
    <definedName name="OSRRefP22_0x_0" localSheetId="47">'Div 3'!$P$171:$P$180</definedName>
    <definedName name="OSRRefP22_0x_0" localSheetId="74">'Div 4'!$P$35:$P$44</definedName>
    <definedName name="OSRRefP22_0x_0" localSheetId="96">'Div 5'!$P$21:$P$29</definedName>
    <definedName name="OSRRefP22_0x_0" localSheetId="64">'Div 6'!$P$60:$P$69</definedName>
    <definedName name="OSRRefP22_0x_0" localSheetId="2">Summary!$P$203:$P$212</definedName>
    <definedName name="OSRRefP22_10x_0" localSheetId="41">'201'!$P$58:$P$60</definedName>
    <definedName name="OSRRefP22_10x_0" localSheetId="42">'202'!$P$59</definedName>
    <definedName name="OSRRefP22_10x_0" localSheetId="43">'203'!$P$59:$P$60</definedName>
    <definedName name="OSRRefP22_10x_0" localSheetId="44">'204'!$P$64:$P$65</definedName>
    <definedName name="OSRRefP22_10x_0" localSheetId="46">'206'!$P$58</definedName>
    <definedName name="OSRRefP22_10x_0" localSheetId="48">'300'!$P$210:$P$211</definedName>
    <definedName name="OSRRefP22_10x_0" localSheetId="49">'300 &amp; 317'!$P$235:$P$236</definedName>
    <definedName name="OSRRefP22_10x_0" localSheetId="50">'301'!$P$63</definedName>
    <definedName name="OSRRefP22_10x_0" localSheetId="51">'306'!$P$61</definedName>
    <definedName name="OSRRefP22_10x_0" localSheetId="53">'307'!$P$119:$P$121</definedName>
    <definedName name="OSRRefP22_10x_0" localSheetId="55">'308'!$P$107</definedName>
    <definedName name="OSRRefP22_10x_0" localSheetId="67">'309'!$P$65:$P$67</definedName>
    <definedName name="OSRRefP22_10x_0" localSheetId="66">'310'!$P$73</definedName>
    <definedName name="OSRRefP22_10x_0" localSheetId="75">'310 &amp; 491'!$P$82</definedName>
    <definedName name="OSRRefP22_10x_0" localSheetId="56">'311'!$P$107</definedName>
    <definedName name="OSRRefP22_10x_0" localSheetId="68">'313'!$P$67:$P$69</definedName>
    <definedName name="OSRRefP22_10x_0" localSheetId="54">'314'!$P$96</definedName>
    <definedName name="OSRRefP22_10x_0" localSheetId="59">'315'!$P$97:$P$99</definedName>
    <definedName name="OSRRefP22_10x_0" localSheetId="62">'316'!$P$73:$P$74</definedName>
    <definedName name="OSRRefP22_10x_0" localSheetId="65">'317'!$P$99:$P$100</definedName>
    <definedName name="OSRRefP22_10x_0" localSheetId="69">'321'!$P$64:$P$65</definedName>
    <definedName name="OSRRefP22_10x_0" localSheetId="70">'322'!$P$66:$P$68</definedName>
    <definedName name="OSRRefP22_10x_0" localSheetId="71">'325'!$P$65</definedName>
    <definedName name="OSRRefP22_10x_0" localSheetId="60">'326'!$P$95</definedName>
    <definedName name="OSRRefP22_10x_0" localSheetId="52">'330'!$P$125:$P$126</definedName>
    <definedName name="OSRRefP22_10x_0" localSheetId="58">'331'!$P$113</definedName>
    <definedName name="OSRRefP22_10x_0" localSheetId="61">'332'!$P$82:$P$83</definedName>
    <definedName name="OSRRefP22_10x_0" localSheetId="77">'405'!$P$65</definedName>
    <definedName name="OSRRefP22_10x_0" localSheetId="78">'406'!$P$67:$P$69</definedName>
    <definedName name="OSRRefP22_10x_0" localSheetId="79">'411'!$P$61:$P$63</definedName>
    <definedName name="OSRRefP22_10x_0" localSheetId="80">'412'!$P$66</definedName>
    <definedName name="OSRRefP22_10x_0" localSheetId="82">'413'!$P$67:$P$73</definedName>
    <definedName name="OSRRefP22_10x_0" localSheetId="83">'414'!$P$66</definedName>
    <definedName name="OSRRefP22_10x_0" localSheetId="84">'415'!$P$65</definedName>
    <definedName name="OSRRefP22_10x_0" localSheetId="85">'418'!$P$66:$P$67</definedName>
    <definedName name="OSRRefP22_10x_0" localSheetId="87">'424'!$P$66:$P$70</definedName>
    <definedName name="OSRRefP22_10x_0" localSheetId="88">'425'!$P$70:$P$71</definedName>
    <definedName name="OSRRefP22_10x_0" localSheetId="91">'430'!$P$59</definedName>
    <definedName name="OSRRefP22_10x_0" localSheetId="92">'433'!$P$65:$P$67</definedName>
    <definedName name="OSRRefP22_10x_0" localSheetId="94">'444'!$P$65</definedName>
    <definedName name="OSRRefP22_10x_0" localSheetId="95">'450'!$P$66</definedName>
    <definedName name="OSRRefP22_10x_0" localSheetId="76">'491'!$P$76:$P$77</definedName>
    <definedName name="OSRRefP22_10x_0" localSheetId="90">'492'!$P$69</definedName>
    <definedName name="OSRRefP22_10x_0" localSheetId="97">'501'!$P$58:$P$61</definedName>
    <definedName name="OSRRefP22_10x_0" localSheetId="39">'Div 2'!$P$62</definedName>
    <definedName name="OSRRefP22_10x_0" localSheetId="47">'Div 3'!$P$215:$P$216</definedName>
    <definedName name="OSRRefP22_10x_0" localSheetId="74">'Div 4'!$P$78</definedName>
    <definedName name="OSRRefP22_10x_0" localSheetId="96">'Div 5'!$P$58:$P$61</definedName>
    <definedName name="OSRRefP22_10x_0" localSheetId="64">'Div 6'!$P$99:$P$100</definedName>
    <definedName name="OSRRefP22_10x_0" localSheetId="2">Summary!$P$248:$P$249</definedName>
    <definedName name="OSRRefP22_11x_0" localSheetId="41">'201'!$P$62:$P$64</definedName>
    <definedName name="OSRRefP22_11x_0" localSheetId="42">'202'!$P$61:$P$63</definedName>
    <definedName name="OSRRefP22_11x_0" localSheetId="43">'203'!$P$62</definedName>
    <definedName name="OSRRefP22_11x_0" localSheetId="44">'204'!$P$67</definedName>
    <definedName name="OSRRefP22_11x_0" localSheetId="48">'300'!$P$213</definedName>
    <definedName name="OSRRefP22_11x_0" localSheetId="49">'300 &amp; 317'!$P$238</definedName>
    <definedName name="OSRRefP22_11x_0" localSheetId="50">'301'!$P$65</definedName>
    <definedName name="OSRRefP22_11x_0" localSheetId="53">'307'!$P$123</definedName>
    <definedName name="OSRRefP22_11x_0" localSheetId="55">'308'!$P$109:$P$111</definedName>
    <definedName name="OSRRefP22_11x_0" localSheetId="67">'309'!$P$69:$P$71</definedName>
    <definedName name="OSRRefP22_11x_0" localSheetId="66">'310'!$P$75</definedName>
    <definedName name="OSRRefP22_11x_0" localSheetId="75">'310 &amp; 491'!$P$84:$P$85</definedName>
    <definedName name="OSRRefP22_11x_0" localSheetId="56">'311'!$P$109:$P$111</definedName>
    <definedName name="OSRRefP22_11x_0" localSheetId="68">'313'!$P$71</definedName>
    <definedName name="OSRRefP22_11x_0" localSheetId="59">'315'!$P$101:$P$102</definedName>
    <definedName name="OSRRefP22_11x_0" localSheetId="62">'316'!$P$76:$P$80</definedName>
    <definedName name="OSRRefP22_11x_0" localSheetId="65">'317'!$P$102</definedName>
    <definedName name="OSRRefP22_11x_0" localSheetId="69">'321'!$P$67:$P$69</definedName>
    <definedName name="OSRRefP22_11x_0" localSheetId="70">'322'!$P$70:$P$75</definedName>
    <definedName name="OSRRefP22_11x_0" localSheetId="71">'325'!$P$67:$P$69</definedName>
    <definedName name="OSRRefP22_11x_0" localSheetId="60">'326'!$P$97</definedName>
    <definedName name="OSRRefP22_11x_0" localSheetId="52">'330'!$P$128</definedName>
    <definedName name="OSRRefP22_11x_0" localSheetId="58">'331'!$P$115</definedName>
    <definedName name="OSRRefP22_11x_0" localSheetId="61">'332'!$P$85:$P$86</definedName>
    <definedName name="OSRRefP22_11x_0" localSheetId="77">'405'!$P$67:$P$69</definedName>
    <definedName name="OSRRefP22_11x_0" localSheetId="78">'406'!$P$71:$P$76</definedName>
    <definedName name="OSRRefP22_11x_0" localSheetId="79">'411'!$P$65:$P$69</definedName>
    <definedName name="OSRRefP22_11x_0" localSheetId="80">'412'!$P$68:$P$70</definedName>
    <definedName name="OSRRefP22_11x_0" localSheetId="82">'413'!$P$75:$P$76</definedName>
    <definedName name="OSRRefP22_11x_0" localSheetId="83">'414'!$P$68</definedName>
    <definedName name="OSRRefP22_11x_0" localSheetId="84">'415'!$P$67:$P$70</definedName>
    <definedName name="OSRRefP22_11x_0" localSheetId="85">'418'!$P$69:$P$71</definedName>
    <definedName name="OSRRefP22_11x_0" localSheetId="87">'424'!$P$72:$P$73</definedName>
    <definedName name="OSRRefP22_11x_0" localSheetId="88">'425'!$P$73:$P$74</definedName>
    <definedName name="OSRRefP22_11x_0" localSheetId="92">'433'!$P$69:$P$72</definedName>
    <definedName name="OSRRefP22_11x_0" localSheetId="94">'444'!$P$67:$P$69</definedName>
    <definedName name="OSRRefP22_11x_0" localSheetId="95">'450'!$P$68:$P$71</definedName>
    <definedName name="OSRRefP22_11x_0" localSheetId="76">'491'!$P$79</definedName>
    <definedName name="OSRRefP22_11x_0" localSheetId="90">'492'!$P$71</definedName>
    <definedName name="OSRRefP22_11x_0" localSheetId="97">'501'!$P$63</definedName>
    <definedName name="OSRRefP22_11x_0" localSheetId="39">'Div 2'!$P$64</definedName>
    <definedName name="OSRRefP22_11x_0" localSheetId="47">'Div 3'!$P$218</definedName>
    <definedName name="OSRRefP22_11x_0" localSheetId="74">'Div 4'!$P$80:$P$81</definedName>
    <definedName name="OSRRefP22_11x_0" localSheetId="96">'Div 5'!$P$63</definedName>
    <definedName name="OSRRefP22_11x_0" localSheetId="64">'Div 6'!$P$102</definedName>
    <definedName name="OSRRefP22_11x_0" localSheetId="2">Summary!$P$251:$P$252</definedName>
    <definedName name="OSRRefP22_12x_0" localSheetId="41">'201'!$P$66</definedName>
    <definedName name="OSRRefP22_12x_0" localSheetId="42">'202'!$P$65</definedName>
    <definedName name="OSRRefP22_12x_0" localSheetId="43">'203'!$P$64:$P$66</definedName>
    <definedName name="OSRRefP22_12x_0" localSheetId="44">'204'!$P$69:$P$70</definedName>
    <definedName name="OSRRefP22_12x_0" localSheetId="48">'300'!$P$215</definedName>
    <definedName name="OSRRefP22_12x_0" localSheetId="49">'300 &amp; 317'!$P$240</definedName>
    <definedName name="OSRRefP22_12x_0" localSheetId="50">'301'!$P$67</definedName>
    <definedName name="OSRRefP22_12x_0" localSheetId="53">'307'!$P$125</definedName>
    <definedName name="OSRRefP22_12x_0" localSheetId="55">'308'!$P$113:$P$114</definedName>
    <definedName name="OSRRefP22_12x_0" localSheetId="67">'309'!$P$73</definedName>
    <definedName name="OSRRefP22_12x_0" localSheetId="66">'310'!$P$77</definedName>
    <definedName name="OSRRefP22_12x_0" localSheetId="75">'310 &amp; 491'!$P$87</definedName>
    <definedName name="OSRRefP22_12x_0" localSheetId="56">'311'!$P$113:$P$114</definedName>
    <definedName name="OSRRefP22_12x_0" localSheetId="68">'313'!$P$73:$P$77</definedName>
    <definedName name="OSRRefP22_12x_0" localSheetId="59">'315'!$P$104:$P$108</definedName>
    <definedName name="OSRRefP22_12x_0" localSheetId="62">'316'!$P$82:$P$83</definedName>
    <definedName name="OSRRefP22_12x_0" localSheetId="65">'317'!$P$104</definedName>
    <definedName name="OSRRefP22_12x_0" localSheetId="69">'321'!$P$71:$P$73</definedName>
    <definedName name="OSRRefP22_12x_0" localSheetId="70">'322'!$P$77</definedName>
    <definedName name="OSRRefP22_12x_0" localSheetId="71">'325'!$P$71:$P$74</definedName>
    <definedName name="OSRRefP22_12x_0" localSheetId="60">'326'!$P$99</definedName>
    <definedName name="OSRRefP22_12x_0" localSheetId="52">'330'!$P$130:$P$132</definedName>
    <definedName name="OSRRefP22_12x_0" localSheetId="58">'331'!$P$117</definedName>
    <definedName name="OSRRefP22_12x_0" localSheetId="61">'332'!$P$88:$P$92</definedName>
    <definedName name="OSRRefP22_12x_0" localSheetId="77">'405'!$P$71</definedName>
    <definedName name="OSRRefP22_12x_0" localSheetId="78">'406'!$P$78:$P$79</definedName>
    <definedName name="OSRRefP22_12x_0" localSheetId="79">'411'!$P$71</definedName>
    <definedName name="OSRRefP22_12x_0" localSheetId="80">'412'!$P$72:$P$77</definedName>
    <definedName name="OSRRefP22_12x_0" localSheetId="82">'413'!$P$78</definedName>
    <definedName name="OSRRefP22_12x_0" localSheetId="83">'414'!$P$70</definedName>
    <definedName name="OSRRefP22_12x_0" localSheetId="84">'415'!$P$72:$P$76</definedName>
    <definedName name="OSRRefP22_12x_0" localSheetId="85">'418'!$P$73:$P$75</definedName>
    <definedName name="OSRRefP22_12x_0" localSheetId="88">'425'!$P$76</definedName>
    <definedName name="OSRRefP22_12x_0" localSheetId="92">'433'!$P$74:$P$81</definedName>
    <definedName name="OSRRefP22_12x_0" localSheetId="94">'444'!$P$71:$P$74</definedName>
    <definedName name="OSRRefP22_12x_0" localSheetId="95">'450'!$P$73:$P$75</definedName>
    <definedName name="OSRRefP22_12x_0" localSheetId="76">'491'!$P$81</definedName>
    <definedName name="OSRRefP22_12x_0" localSheetId="90">'492'!$P$73:$P$76</definedName>
    <definedName name="OSRRefP22_12x_0" localSheetId="97">'501'!$P$65:$P$67</definedName>
    <definedName name="OSRRefP22_12x_0" localSheetId="39">'Div 2'!$P$66:$P$68</definedName>
    <definedName name="OSRRefP22_12x_0" localSheetId="47">'Div 3'!$P$220</definedName>
    <definedName name="OSRRefP22_12x_0" localSheetId="74">'Div 4'!$P$83</definedName>
    <definedName name="OSRRefP22_12x_0" localSheetId="96">'Div 5'!$P$65:$P$67</definedName>
    <definedName name="OSRRefP22_12x_0" localSheetId="64">'Div 6'!$P$104</definedName>
    <definedName name="OSRRefP22_12x_0" localSheetId="2">Summary!$P$254</definedName>
    <definedName name="OSRRefP22_13x_0" localSheetId="41">'201'!$P$68:$P$70</definedName>
    <definedName name="OSRRefP22_13x_0" localSheetId="42">'202'!$P$67</definedName>
    <definedName name="OSRRefP22_13x_0" localSheetId="43">'203'!$P$68</definedName>
    <definedName name="OSRRefP22_13x_0" localSheetId="48">'300'!$P$217</definedName>
    <definedName name="OSRRefP22_13x_0" localSheetId="49">'300 &amp; 317'!$P$242</definedName>
    <definedName name="OSRRefP22_13x_0" localSheetId="50">'301'!$P$69</definedName>
    <definedName name="OSRRefP22_13x_0" localSheetId="55">'308'!$P$116</definedName>
    <definedName name="OSRRefP22_13x_0" localSheetId="67">'309'!$P$75</definedName>
    <definedName name="OSRRefP22_13x_0" localSheetId="66">'310'!$P$79</definedName>
    <definedName name="OSRRefP22_13x_0" localSheetId="75">'310 &amp; 491'!$P$89</definedName>
    <definedName name="OSRRefP22_13x_0" localSheetId="56">'311'!$P$116</definedName>
    <definedName name="OSRRefP22_13x_0" localSheetId="68">'313'!$P$79</definedName>
    <definedName name="OSRRefP22_13x_0" localSheetId="59">'315'!$P$110</definedName>
    <definedName name="OSRRefP22_13x_0" localSheetId="62">'316'!$P$85</definedName>
    <definedName name="OSRRefP22_13x_0" localSheetId="69">'321'!$P$75</definedName>
    <definedName name="OSRRefP22_13x_0" localSheetId="70">'322'!$P$79</definedName>
    <definedName name="OSRRefP22_13x_0" localSheetId="71">'325'!$P$76</definedName>
    <definedName name="OSRRefP22_13x_0" localSheetId="60">'326'!$P$101:$P$102</definedName>
    <definedName name="OSRRefP22_13x_0" localSheetId="52">'330'!$P$134</definedName>
    <definedName name="OSRRefP22_13x_0" localSheetId="58">'331'!$P$119</definedName>
    <definedName name="OSRRefP22_13x_0" localSheetId="61">'332'!$P$94:$P$95</definedName>
    <definedName name="OSRRefP22_13x_0" localSheetId="77">'405'!$P$73:$P$75</definedName>
    <definedName name="OSRRefP22_13x_0" localSheetId="78">'406'!$P$81</definedName>
    <definedName name="OSRRefP22_13x_0" localSheetId="79">'411'!$P$73:$P$80</definedName>
    <definedName name="OSRRefP22_13x_0" localSheetId="80">'412'!$P$79</definedName>
    <definedName name="OSRRefP22_13x_0" localSheetId="83">'414'!$P$72:$P$78</definedName>
    <definedName name="OSRRefP22_13x_0" localSheetId="84">'415'!$P$78:$P$79</definedName>
    <definedName name="OSRRefP22_13x_0" localSheetId="85">'418'!$P$77:$P$78</definedName>
    <definedName name="OSRRefP22_13x_0" localSheetId="88">'425'!$P$78:$P$84</definedName>
    <definedName name="OSRRefP22_13x_0" localSheetId="92">'433'!$P$83</definedName>
    <definedName name="OSRRefP22_13x_0" localSheetId="94">'444'!$P$76:$P$83</definedName>
    <definedName name="OSRRefP22_13x_0" localSheetId="95">'450'!$P$77:$P$82</definedName>
    <definedName name="OSRRefP22_13x_0" localSheetId="76">'491'!$P$83</definedName>
    <definedName name="OSRRefP22_13x_0" localSheetId="90">'492'!$P$78:$P$81</definedName>
    <definedName name="OSRRefP22_13x_0" localSheetId="97">'501'!$P$69</definedName>
    <definedName name="OSRRefP22_13x_0" localSheetId="39">'Div 2'!$P$70:$P$73</definedName>
    <definedName name="OSRRefP22_13x_0" localSheetId="47">'Div 3'!$P$222</definedName>
    <definedName name="OSRRefP22_13x_0" localSheetId="74">'Div 4'!$P$85</definedName>
    <definedName name="OSRRefP22_13x_0" localSheetId="96">'Div 5'!$P$69</definedName>
    <definedName name="OSRRefP22_13x_0" localSheetId="2">Summary!$P$256</definedName>
    <definedName name="OSRRefP22_14x_0" localSheetId="41">'201'!$P$72</definedName>
    <definedName name="OSRRefP22_14x_0" localSheetId="42">'202'!$P$69:$P$70</definedName>
    <definedName name="OSRRefP22_14x_0" localSheetId="43">'203'!$P$70</definedName>
    <definedName name="OSRRefP22_14x_0" localSheetId="48">'300'!$P$219</definedName>
    <definedName name="OSRRefP22_14x_0" localSheetId="49">'300 &amp; 317'!$P$244</definedName>
    <definedName name="OSRRefP22_14x_0" localSheetId="50">'301'!$P$71</definedName>
    <definedName name="OSRRefP22_14x_0" localSheetId="55">'308'!$P$118:$P$119</definedName>
    <definedName name="OSRRefP22_14x_0" localSheetId="66">'310'!$P$81</definedName>
    <definedName name="OSRRefP22_14x_0" localSheetId="75">'310 &amp; 491'!$P$91</definedName>
    <definedName name="OSRRefP22_14x_0" localSheetId="56">'311'!$P$118:$P$119</definedName>
    <definedName name="OSRRefP22_14x_0" localSheetId="68">'313'!$P$81</definedName>
    <definedName name="OSRRefP22_14x_0" localSheetId="59">'315'!$P$112</definedName>
    <definedName name="OSRRefP22_14x_0" localSheetId="69">'321'!$P$77</definedName>
    <definedName name="OSRRefP22_14x_0" localSheetId="71">'325'!$P$78:$P$84</definedName>
    <definedName name="OSRRefP22_14x_0" localSheetId="60">'326'!$P$104:$P$106</definedName>
    <definedName name="OSRRefP22_14x_0" localSheetId="52">'330'!$P$136</definedName>
    <definedName name="OSRRefP22_14x_0" localSheetId="58">'331'!$P$121:$P$122</definedName>
    <definedName name="OSRRefP22_14x_0" localSheetId="61">'332'!$P$97</definedName>
    <definedName name="OSRRefP22_14x_0" localSheetId="77">'405'!$P$77:$P$78</definedName>
    <definedName name="OSRRefP22_14x_0" localSheetId="78">'406'!$P$83</definedName>
    <definedName name="OSRRefP22_14x_0" localSheetId="79">'411'!$P$82</definedName>
    <definedName name="OSRRefP22_14x_0" localSheetId="80">'412'!$P$81</definedName>
    <definedName name="OSRRefP22_14x_0" localSheetId="83">'414'!$P$80</definedName>
    <definedName name="OSRRefP22_14x_0" localSheetId="84">'415'!$P$81:$P$89</definedName>
    <definedName name="OSRRefP22_14x_0" localSheetId="85">'418'!$P$80:$P$86</definedName>
    <definedName name="OSRRefP22_14x_0" localSheetId="88">'425'!$P$86:$P$87</definedName>
    <definedName name="OSRRefP22_14x_0" localSheetId="92">'433'!$P$85</definedName>
    <definedName name="OSRRefP22_14x_0" localSheetId="94">'444'!$P$85</definedName>
    <definedName name="OSRRefP22_14x_0" localSheetId="95">'450'!$P$84</definedName>
    <definedName name="OSRRefP22_14x_0" localSheetId="76">'491'!$P$85</definedName>
    <definedName name="OSRRefP22_14x_0" localSheetId="90">'492'!$P$83:$P$91</definedName>
    <definedName name="OSRRefP22_14x_0" localSheetId="97">'501'!$P$71</definedName>
    <definedName name="OSRRefP22_14x_0" localSheetId="39">'Div 2'!$P$75:$P$78</definedName>
    <definedName name="OSRRefP22_14x_0" localSheetId="47">'Div 3'!$P$224</definedName>
    <definedName name="OSRRefP22_14x_0" localSheetId="74">'Div 4'!$P$87</definedName>
    <definedName name="OSRRefP22_14x_0" localSheetId="96">'Div 5'!$P$71</definedName>
    <definedName name="OSRRefP22_14x_0" localSheetId="2">Summary!$P$258</definedName>
    <definedName name="OSRRefP22_15x_0" localSheetId="41">'201'!$P$74</definedName>
    <definedName name="OSRRefP22_15x_0" localSheetId="42">'202'!$P$72</definedName>
    <definedName name="OSRRefP22_15x_0" localSheetId="43">'203'!$P$72</definedName>
    <definedName name="OSRRefP22_15x_0" localSheetId="48">'300'!$P$221</definedName>
    <definedName name="OSRRefP22_15x_0" localSheetId="49">'300 &amp; 317'!$P$246</definedName>
    <definedName name="OSRRefP22_15x_0" localSheetId="50">'301'!$P$73:$P$76</definedName>
    <definedName name="OSRRefP22_15x_0" localSheetId="66">'310'!$P$83:$P$85</definedName>
    <definedName name="OSRRefP22_15x_0" localSheetId="75">'310 &amp; 491'!$P$93</definedName>
    <definedName name="OSRRefP22_15x_0" localSheetId="59">'315'!$P$114:$P$115</definedName>
    <definedName name="OSRRefP22_15x_0" localSheetId="71">'325'!$P$86</definedName>
    <definedName name="OSRRefP22_15x_0" localSheetId="60">'326'!$P$108:$P$109</definedName>
    <definedName name="OSRRefP22_15x_0" localSheetId="52">'330'!$P$138</definedName>
    <definedName name="OSRRefP22_15x_0" localSheetId="58">'331'!$P$124:$P$126</definedName>
    <definedName name="OSRRefP22_15x_0" localSheetId="77">'405'!$P$80:$P$88</definedName>
    <definedName name="OSRRefP22_15x_0" localSheetId="79">'411'!$P$84</definedName>
    <definedName name="OSRRefP22_15x_0" localSheetId="80">'412'!$P$83</definedName>
    <definedName name="OSRRefP22_15x_0" localSheetId="83">'414'!$P$82</definedName>
    <definedName name="OSRRefP22_15x_0" localSheetId="84">'415'!$P$91</definedName>
    <definedName name="OSRRefP22_15x_0" localSheetId="85">'418'!$P$88</definedName>
    <definedName name="OSRRefP22_15x_0" localSheetId="88">'425'!$P$89</definedName>
    <definedName name="OSRRefP22_15x_0" localSheetId="92">'433'!$P$87:$P$88</definedName>
    <definedName name="OSRRefP22_15x_0" localSheetId="94">'444'!$P$87</definedName>
    <definedName name="OSRRefP22_15x_0" localSheetId="95">'450'!$P$86</definedName>
    <definedName name="OSRRefP22_15x_0" localSheetId="76">'491'!$P$87:$P$90</definedName>
    <definedName name="OSRRefP22_15x_0" localSheetId="90">'492'!$P$93</definedName>
    <definedName name="OSRRefP22_15x_0" localSheetId="39">'Div 2'!$P$80:$P$81</definedName>
    <definedName name="OSRRefP22_15x_0" localSheetId="47">'Div 3'!$P$226</definedName>
    <definedName name="OSRRefP22_15x_0" localSheetId="74">'Div 4'!$P$89</definedName>
    <definedName name="OSRRefP22_15x_0" localSheetId="2">Summary!$P$260</definedName>
    <definedName name="OSRRefP22_16x_0" localSheetId="41">'201'!$P$76:$P$77</definedName>
    <definedName name="OSRRefP22_16x_0" localSheetId="42">'202'!$P$74</definedName>
    <definedName name="OSRRefP22_16x_0" localSheetId="48">'300'!$P$223:$P$226</definedName>
    <definedName name="OSRRefP22_16x_0" localSheetId="49">'300 &amp; 317'!$P$248:$P$251</definedName>
    <definedName name="OSRRefP22_16x_0" localSheetId="50">'301'!$P$78:$P$80</definedName>
    <definedName name="OSRRefP22_16x_0" localSheetId="66">'310'!$P$87:$P$88</definedName>
    <definedName name="OSRRefP22_16x_0" localSheetId="75">'310 &amp; 491'!$P$95</definedName>
    <definedName name="OSRRefP22_16x_0" localSheetId="71">'325'!$P$88</definedName>
    <definedName name="OSRRefP22_16x_0" localSheetId="60">'326'!$P$111:$P$116</definedName>
    <definedName name="OSRRefP22_16x_0" localSheetId="58">'331'!$P$128:$P$130</definedName>
    <definedName name="OSRRefP22_16x_0" localSheetId="77">'405'!$P$90</definedName>
    <definedName name="OSRRefP22_16x_0" localSheetId="79">'411'!$P$86:$P$88</definedName>
    <definedName name="OSRRefP22_16x_0" localSheetId="84">'415'!$P$93</definedName>
    <definedName name="OSRRefP22_16x_0" localSheetId="85">'418'!$P$90</definedName>
    <definedName name="OSRRefP22_16x_0" localSheetId="88">'425'!$P$91</definedName>
    <definedName name="OSRRefP22_16x_0" localSheetId="94">'444'!$P$89</definedName>
    <definedName name="OSRRefP22_16x_0" localSheetId="95">'450'!$P$88:$P$89</definedName>
    <definedName name="OSRRefP22_16x_0" localSheetId="76">'491'!$P$92:$P$95</definedName>
    <definedName name="OSRRefP22_16x_0" localSheetId="90">'492'!$P$95</definedName>
    <definedName name="OSRRefP22_16x_0" localSheetId="39">'Div 2'!$P$83:$P$84</definedName>
    <definedName name="OSRRefP22_16x_0" localSheetId="47">'Div 3'!$P$228</definedName>
    <definedName name="OSRRefP22_16x_0" localSheetId="74">'Div 4'!$P$91</definedName>
    <definedName name="OSRRefP22_16x_0" localSheetId="2">Summary!$P$262</definedName>
    <definedName name="OSRRefP22_17x_0" localSheetId="48">'300'!$P$228:$P$231</definedName>
    <definedName name="OSRRefP22_17x_0" localSheetId="49">'300 &amp; 317'!$P$253:$P$256</definedName>
    <definedName name="OSRRefP22_17x_0" localSheetId="50">'301'!$P$82:$P$83</definedName>
    <definedName name="OSRRefP22_17x_0" localSheetId="66">'310'!$P$90:$P$94</definedName>
    <definedName name="OSRRefP22_17x_0" localSheetId="75">'310 &amp; 491'!$P$97:$P$100</definedName>
    <definedName name="OSRRefP22_17x_0" localSheetId="71">'325'!$P$90</definedName>
    <definedName name="OSRRefP22_17x_0" localSheetId="60">'326'!$P$118:$P$119</definedName>
    <definedName name="OSRRefP22_17x_0" localSheetId="58">'331'!$P$132:$P$133</definedName>
    <definedName name="OSRRefP22_17x_0" localSheetId="77">'405'!$P$92</definedName>
    <definedName name="OSRRefP22_17x_0" localSheetId="79">'411'!$P$90</definedName>
    <definedName name="OSRRefP22_17x_0" localSheetId="84">'415'!$P$95:$P$96</definedName>
    <definedName name="OSRRefP22_17x_0" localSheetId="85">'418'!$P$92</definedName>
    <definedName name="OSRRefP22_17x_0" localSheetId="76">'491'!$P$97:$P$101</definedName>
    <definedName name="OSRRefP22_17x_0" localSheetId="90">'492'!$P$97:$P$98</definedName>
    <definedName name="OSRRefP22_17x_0" localSheetId="39">'Div 2'!$P$86:$P$90</definedName>
    <definedName name="OSRRefP22_17x_0" localSheetId="47">'Div 3'!$P$230</definedName>
    <definedName name="OSRRefP22_17x_0" localSheetId="74">'Div 4'!$P$93:$P$96</definedName>
    <definedName name="OSRRefP22_17x_0" localSheetId="2">Summary!$P$264</definedName>
    <definedName name="OSRRefP22_18x_0" localSheetId="48">'300'!$P$233:$P$236</definedName>
    <definedName name="OSRRefP22_18x_0" localSheetId="49">'300 &amp; 317'!$P$258:$P$261</definedName>
    <definedName name="OSRRefP22_18x_0" localSheetId="50">'301'!$P$85:$P$90</definedName>
    <definedName name="OSRRefP22_18x_0" localSheetId="66">'310'!$P$96</definedName>
    <definedName name="OSRRefP22_18x_0" localSheetId="75">'310 &amp; 491'!$P$102:$P$105</definedName>
    <definedName name="OSRRefP22_18x_0" localSheetId="71">'325'!$P$92</definedName>
    <definedName name="OSRRefP22_18x_0" localSheetId="60">'326'!$P$121</definedName>
    <definedName name="OSRRefP22_18x_0" localSheetId="58">'331'!$P$135:$P$140</definedName>
    <definedName name="OSRRefP22_18x_0" localSheetId="77">'405'!$P$94</definedName>
    <definedName name="OSRRefP22_18x_0" localSheetId="84">'415'!$P$98</definedName>
    <definedName name="OSRRefP22_18x_0" localSheetId="76">'491'!$P$103:$P$104</definedName>
    <definedName name="OSRRefP22_18x_0" localSheetId="39">'Div 2'!$P$92:$P$93</definedName>
    <definedName name="OSRRefP22_18x_0" localSheetId="47">'Div 3'!$P$232:$P$235</definedName>
    <definedName name="OSRRefP22_18x_0" localSheetId="74">'Div 4'!$P$98:$P$101</definedName>
    <definedName name="OSRRefP22_18x_0" localSheetId="2">Summary!$P$266:$P$269</definedName>
    <definedName name="OSRRefP22_19x_0" localSheetId="48">'300'!$P$238:$P$239</definedName>
    <definedName name="OSRRefP22_19x_0" localSheetId="49">'300 &amp; 317'!$P$263:$P$264</definedName>
    <definedName name="OSRRefP22_19x_0" localSheetId="50">'301'!$P$92</definedName>
    <definedName name="OSRRefP22_19x_0" localSheetId="66">'310'!$P$98:$P$106</definedName>
    <definedName name="OSRRefP22_19x_0" localSheetId="75">'310 &amp; 491'!$P$107:$P$112</definedName>
    <definedName name="OSRRefP22_19x_0" localSheetId="60">'326'!$P$123</definedName>
    <definedName name="OSRRefP22_19x_0" localSheetId="58">'331'!$P$142:$P$143</definedName>
    <definedName name="OSRRefP22_19x_0" localSheetId="77">'405'!$P$96</definedName>
    <definedName name="OSRRefP22_19x_0" localSheetId="76">'491'!$P$106:$P$115</definedName>
    <definedName name="OSRRefP22_19x_0" localSheetId="39">'Div 2'!$P$95</definedName>
    <definedName name="OSRRefP22_19x_0" localSheetId="47">'Div 3'!$P$237:$P$240</definedName>
    <definedName name="OSRRefP22_19x_0" localSheetId="74">'Div 4'!$P$103:$P$107</definedName>
    <definedName name="OSRRefP22_19x_0" localSheetId="2">Summary!$P$271:$P$274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'204'!$P$32:$P$41</definedName>
    <definedName name="OSRRefP22_1x_0" localSheetId="45">'205'!$P$30:$P$39</definedName>
    <definedName name="OSRRefP22_1x_0" localSheetId="46">'206'!$P$30:$P$39</definedName>
    <definedName name="OSRRefP22_1x_0" localSheetId="48">'300'!$P$177:$P$186</definedName>
    <definedName name="OSRRefP22_1x_0" localSheetId="49">'300 &amp; 317'!$P$202:$P$211</definedName>
    <definedName name="OSRRefP22_1x_0" localSheetId="50">'301'!$P$30:$P$39</definedName>
    <definedName name="OSRRefP22_1x_0" localSheetId="51">'306'!$P$30:$P$39</definedName>
    <definedName name="OSRRefP22_1x_0" localSheetId="53">'307'!$P$89:$P$98</definedName>
    <definedName name="OSRRefP22_1x_0" localSheetId="55">'308'!$P$76:$P$85</definedName>
    <definedName name="OSRRefP22_1x_0" localSheetId="67">'309'!$P$36:$P$45</definedName>
    <definedName name="OSRRefP22_1x_0" localSheetId="66">'310'!$P$44:$P$53</definedName>
    <definedName name="OSRRefP22_1x_0" localSheetId="75">'310 &amp; 491'!$P$52:$P$61</definedName>
    <definedName name="OSRRefP22_1x_0" localSheetId="56">'311'!$P$76:$P$85</definedName>
    <definedName name="OSRRefP22_1x_0" localSheetId="68">'313'!$P$40:$P$49</definedName>
    <definedName name="OSRRefP22_1x_0" localSheetId="54">'314'!$P$68:$P$77</definedName>
    <definedName name="OSRRefP22_1x_0" localSheetId="59">'315'!$P$68:$P$77</definedName>
    <definedName name="OSRRefP22_1x_0" localSheetId="62">'316'!$P$45:$P$54</definedName>
    <definedName name="OSRRefP22_1x_0" localSheetId="65">'317'!$P$71:$P$80</definedName>
    <definedName name="OSRRefP22_1x_0" localSheetId="63">'320'!$P$40:$P$49</definedName>
    <definedName name="OSRRefP22_1x_0" localSheetId="69">'321'!$P$35:$P$44</definedName>
    <definedName name="OSRRefP22_1x_0" localSheetId="70">'322'!$P$36:$P$45</definedName>
    <definedName name="OSRRefP22_1x_0" localSheetId="71">'325'!$P$36:$P$45</definedName>
    <definedName name="OSRRefP22_1x_0" localSheetId="60">'326'!$P$67:$P$76</definedName>
    <definedName name="OSRRefP22_1x_0" localSheetId="72">'327'!$P$26</definedName>
    <definedName name="OSRRefP22_1x_0" localSheetId="52">'330'!$P$96:$P$105</definedName>
    <definedName name="OSRRefP22_1x_0" localSheetId="58">'331'!$P$83:$P$92</definedName>
    <definedName name="OSRRefP22_1x_0" localSheetId="61">'332'!$P$54:$P$63</definedName>
    <definedName name="OSRRefP22_1x_0" localSheetId="77">'405'!$P$36:$P$45</definedName>
    <definedName name="OSRRefP22_1x_0" localSheetId="78">'406'!$P$37:$P$46</definedName>
    <definedName name="OSRRefP22_1x_0" localSheetId="79">'411'!$P$31:$P$40</definedName>
    <definedName name="OSRRefP22_1x_0" localSheetId="80">'412'!$P$36:$P$45</definedName>
    <definedName name="OSRRefP22_1x_0" localSheetId="82">'413'!$P$37:$P$46</definedName>
    <definedName name="OSRRefP22_1x_0" localSheetId="83">'414'!$P$37:$P$46</definedName>
    <definedName name="OSRRefP22_1x_0" localSheetId="84">'415'!$P$36:$P$45</definedName>
    <definedName name="OSRRefP22_1x_0" localSheetId="85">'418'!$P$37:$P$46</definedName>
    <definedName name="OSRRefP22_1x_0" localSheetId="81">'420'!$P$32:$P$35</definedName>
    <definedName name="OSRRefP22_1x_0" localSheetId="86">'423'!$P$31:$P$40</definedName>
    <definedName name="OSRRefP22_1x_0" localSheetId="87">'424'!$P$36:$P$45</definedName>
    <definedName name="OSRRefP22_1x_0" localSheetId="88">'425'!$P$40:$P$49</definedName>
    <definedName name="OSRRefP22_1x_0" localSheetId="91">'430'!$P$30:$P$39</definedName>
    <definedName name="OSRRefP22_1x_0" localSheetId="92">'433'!$P$38:$P$47</definedName>
    <definedName name="OSRRefP22_1x_0" localSheetId="93">'435'!$P$36:$P$45</definedName>
    <definedName name="OSRRefP22_1x_0" localSheetId="94">'444'!$P$38:$P$47</definedName>
    <definedName name="OSRRefP22_1x_0" localSheetId="95">'450'!$P$38:$P$47</definedName>
    <definedName name="OSRRefP22_1x_0" localSheetId="89">'455'!$P$29:$P$38</definedName>
    <definedName name="OSRRefP22_1x_0" localSheetId="76">'491'!$P$46:$P$55</definedName>
    <definedName name="OSRRefP22_1x_0" localSheetId="90">'492'!$P$40:$P$49</definedName>
    <definedName name="OSRRefP22_1x_0" localSheetId="97">'501'!$P$31:$P$40</definedName>
    <definedName name="OSRRefP22_1x_0" localSheetId="39">'Div 2'!$P$33:$P$42</definedName>
    <definedName name="OSRRefP22_1x_0" localSheetId="47">'Div 3'!$P$182:$P$191</definedName>
    <definedName name="OSRRefP22_1x_0" localSheetId="74">'Div 4'!$P$46:$P$55</definedName>
    <definedName name="OSRRefP22_1x_0" localSheetId="96">'Div 5'!$P$31:$P$40</definedName>
    <definedName name="OSRRefP22_1x_0" localSheetId="64">'Div 6'!$P$71:$P$80</definedName>
    <definedName name="OSRRefP22_1x_0" localSheetId="2">Summary!$P$214:$P$223</definedName>
    <definedName name="OSRRefP22_20x_0" localSheetId="48">'300'!$P$241:$P$247</definedName>
    <definedName name="OSRRefP22_20x_0" localSheetId="49">'300 &amp; 317'!$P$266:$P$272</definedName>
    <definedName name="OSRRefP22_20x_0" localSheetId="50">'301'!$P$94</definedName>
    <definedName name="OSRRefP22_20x_0" localSheetId="66">'310'!$P$108</definedName>
    <definedName name="OSRRefP22_20x_0" localSheetId="75">'310 &amp; 491'!$P$114:$P$115</definedName>
    <definedName name="OSRRefP22_20x_0" localSheetId="60">'326'!$P$125</definedName>
    <definedName name="OSRRefP22_20x_0" localSheetId="58">'331'!$P$145</definedName>
    <definedName name="OSRRefP22_20x_0" localSheetId="76">'491'!$P$117:$P$118</definedName>
    <definedName name="OSRRefP22_20x_0" localSheetId="39">'Div 2'!$P$97:$P$98</definedName>
    <definedName name="OSRRefP22_20x_0" localSheetId="47">'Div 3'!$P$242:$P$247</definedName>
    <definedName name="OSRRefP22_20x_0" localSheetId="74">'Div 4'!$P$109:$P$110</definedName>
    <definedName name="OSRRefP22_20x_0" localSheetId="2">Summary!$P$276:$P$281</definedName>
    <definedName name="OSRRefP22_21x_0" localSheetId="48">'300'!$P$249:$P$250</definedName>
    <definedName name="OSRRefP22_21x_0" localSheetId="49">'300 &amp; 317'!$P$274:$P$275</definedName>
    <definedName name="OSRRefP22_21x_0" localSheetId="50">'301'!$P$96:$P$98</definedName>
    <definedName name="OSRRefP22_21x_0" localSheetId="66">'310'!$P$110</definedName>
    <definedName name="OSRRefP22_21x_0" localSheetId="75">'310 &amp; 491'!$P$117:$P$126</definedName>
    <definedName name="OSRRefP22_21x_0" localSheetId="58">'331'!$P$147:$P$148</definedName>
    <definedName name="OSRRefP22_21x_0" localSheetId="76">'491'!$P$120</definedName>
    <definedName name="OSRRefP22_21x_0" localSheetId="47">'Div 3'!$P$249:$P$250</definedName>
    <definedName name="OSRRefP22_21x_0" localSheetId="74">'Div 4'!$P$112:$P$121</definedName>
    <definedName name="OSRRefP22_21x_0" localSheetId="2">Summary!$P$283:$P$284</definedName>
    <definedName name="OSRRefP22_22x_0" localSheetId="48">'300'!$P$252</definedName>
    <definedName name="OSRRefP22_22x_0" localSheetId="49">'300 &amp; 317'!$P$277</definedName>
    <definedName name="OSRRefP22_22x_0" localSheetId="50">'301'!$P$100</definedName>
    <definedName name="OSRRefP22_22x_0" localSheetId="66">'310'!$P$112</definedName>
    <definedName name="OSRRefP22_22x_0" localSheetId="75">'310 &amp; 491'!$P$128:$P$129</definedName>
    <definedName name="OSRRefP22_22x_0" localSheetId="58">'331'!$P$150</definedName>
    <definedName name="OSRRefP22_22x_0" localSheetId="76">'491'!$P$122:$P$124</definedName>
    <definedName name="OSRRefP22_22x_0" localSheetId="47">'Div 3'!$P$252:$P$260</definedName>
    <definedName name="OSRRefP22_22x_0" localSheetId="74">'Div 4'!$P$123:$P$124</definedName>
    <definedName name="OSRRefP22_22x_0" localSheetId="2">Summary!$P$286:$P$295</definedName>
    <definedName name="OSRRefP22_23x_0" localSheetId="48">'300'!$P$254:$P$256</definedName>
    <definedName name="OSRRefP22_23x_0" localSheetId="49">'300 &amp; 317'!$P$279:$P$281</definedName>
    <definedName name="OSRRefP22_23x_0" localSheetId="66">'310'!$P$114</definedName>
    <definedName name="OSRRefP22_23x_0" localSheetId="75">'310 &amp; 491'!$P$131</definedName>
    <definedName name="OSRRefP22_23x_0" localSheetId="76">'491'!$P$126</definedName>
    <definedName name="OSRRefP22_23x_0" localSheetId="47">'Div 3'!$P$262:$P$263</definedName>
    <definedName name="OSRRefP22_23x_0" localSheetId="74">'Div 4'!$P$126</definedName>
    <definedName name="OSRRefP22_23x_0" localSheetId="2">Summary!$P$297:$P$298</definedName>
    <definedName name="OSRRefP22_24x_0" localSheetId="48">'300'!$P$258</definedName>
    <definedName name="OSRRefP22_24x_0" localSheetId="49">'300 &amp; 317'!$P$283</definedName>
    <definedName name="OSRRefP22_24x_0" localSheetId="75">'310 &amp; 491'!$P$133:$P$135</definedName>
    <definedName name="OSRRefP22_24x_0" localSheetId="47">'Div 3'!$P$265</definedName>
    <definedName name="OSRRefP22_24x_0" localSheetId="74">'Div 4'!$P$128:$P$130</definedName>
    <definedName name="OSRRefP22_24x_0" localSheetId="2">Summary!$P$300</definedName>
    <definedName name="OSRRefP22_25x_0" localSheetId="75">'310 &amp; 491'!$P$137</definedName>
    <definedName name="OSRRefP22_25x_0" localSheetId="47">'Div 3'!$P$267:$P$269</definedName>
    <definedName name="OSRRefP22_25x_0" localSheetId="74">'Div 4'!$P$132</definedName>
    <definedName name="OSRRefP22_25x_0" localSheetId="2">Summary!$P$302:$P$304</definedName>
    <definedName name="OSRRefP22_26x_0" localSheetId="47">'Div 3'!$P$271</definedName>
    <definedName name="OSRRefP22_26x_0" localSheetId="2">Summary!$P$306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'204'!$P$43</definedName>
    <definedName name="OSRRefP22_2x_0" localSheetId="45">'205'!$P$41</definedName>
    <definedName name="OSRRefP22_2x_0" localSheetId="46">'206'!$P$41</definedName>
    <definedName name="OSRRefP22_2x_0" localSheetId="48">'300'!$P$188</definedName>
    <definedName name="OSRRefP22_2x_0" localSheetId="49">'300 &amp; 317'!$P$213</definedName>
    <definedName name="OSRRefP22_2x_0" localSheetId="50">'301'!$P$41</definedName>
    <definedName name="OSRRefP22_2x_0" localSheetId="51">'306'!$P$41</definedName>
    <definedName name="OSRRefP22_2x_0" localSheetId="53">'307'!$P$100</definedName>
    <definedName name="OSRRefP22_2x_0" localSheetId="55">'308'!$P$87</definedName>
    <definedName name="OSRRefP22_2x_0" localSheetId="67">'309'!$P$47</definedName>
    <definedName name="OSRRefP22_2x_0" localSheetId="66">'310'!$P$55</definedName>
    <definedName name="OSRRefP22_2x_0" localSheetId="75">'310 &amp; 491'!$P$63</definedName>
    <definedName name="OSRRefP22_2x_0" localSheetId="56">'311'!$P$87</definedName>
    <definedName name="OSRRefP22_2x_0" localSheetId="68">'313'!$P$51</definedName>
    <definedName name="OSRRefP22_2x_0" localSheetId="54">'314'!$P$79</definedName>
    <definedName name="OSRRefP22_2x_0" localSheetId="59">'315'!$P$79</definedName>
    <definedName name="OSRRefP22_2x_0" localSheetId="62">'316'!$P$56</definedName>
    <definedName name="OSRRefP22_2x_0" localSheetId="65">'317'!$P$82</definedName>
    <definedName name="OSRRefP22_2x_0" localSheetId="63">'320'!$P$51</definedName>
    <definedName name="OSRRefP22_2x_0" localSheetId="69">'321'!$P$46</definedName>
    <definedName name="OSRRefP22_2x_0" localSheetId="70">'322'!$P$47</definedName>
    <definedName name="OSRRefP22_2x_0" localSheetId="71">'325'!$P$47</definedName>
    <definedName name="OSRRefP22_2x_0" localSheetId="60">'326'!$P$78</definedName>
    <definedName name="OSRRefP22_2x_0" localSheetId="72">'327'!$P$28</definedName>
    <definedName name="OSRRefP22_2x_0" localSheetId="52">'330'!$P$107</definedName>
    <definedName name="OSRRefP22_2x_0" localSheetId="58">'331'!$P$94</definedName>
    <definedName name="OSRRefP22_2x_0" localSheetId="61">'332'!$P$65</definedName>
    <definedName name="OSRRefP22_2x_0" localSheetId="77">'405'!$P$47</definedName>
    <definedName name="OSRRefP22_2x_0" localSheetId="78">'406'!$P$48</definedName>
    <definedName name="OSRRefP22_2x_0" localSheetId="79">'411'!$P$42</definedName>
    <definedName name="OSRRefP22_2x_0" localSheetId="80">'412'!$P$47</definedName>
    <definedName name="OSRRefP22_2x_0" localSheetId="82">'413'!$P$48</definedName>
    <definedName name="OSRRefP22_2x_0" localSheetId="83">'414'!$P$48</definedName>
    <definedName name="OSRRefP22_2x_0" localSheetId="84">'415'!$P$47</definedName>
    <definedName name="OSRRefP22_2x_0" localSheetId="85">'418'!$P$48</definedName>
    <definedName name="OSRRefP22_2x_0" localSheetId="81">'420'!$P$37</definedName>
    <definedName name="OSRRefP22_2x_0" localSheetId="86">'423'!$P$42</definedName>
    <definedName name="OSRRefP22_2x_0" localSheetId="87">'424'!$P$47</definedName>
    <definedName name="OSRRefP22_2x_0" localSheetId="88">'425'!$P$51</definedName>
    <definedName name="OSRRefP22_2x_0" localSheetId="91">'430'!$P$41</definedName>
    <definedName name="OSRRefP22_2x_0" localSheetId="92">'433'!$P$49</definedName>
    <definedName name="OSRRefP22_2x_0" localSheetId="93">'435'!$P$47</definedName>
    <definedName name="OSRRefP22_2x_0" localSheetId="94">'444'!$P$49</definedName>
    <definedName name="OSRRefP22_2x_0" localSheetId="95">'450'!$P$49</definedName>
    <definedName name="OSRRefP22_2x_0" localSheetId="76">'491'!$P$57</definedName>
    <definedName name="OSRRefP22_2x_0" localSheetId="90">'492'!$P$51</definedName>
    <definedName name="OSRRefP22_2x_0" localSheetId="97">'501'!$P$42</definedName>
    <definedName name="OSRRefP22_2x_0" localSheetId="39">'Div 2'!$P$44</definedName>
    <definedName name="OSRRefP22_2x_0" localSheetId="47">'Div 3'!$P$193</definedName>
    <definedName name="OSRRefP22_2x_0" localSheetId="74">'Div 4'!$P$57</definedName>
    <definedName name="OSRRefP22_2x_0" localSheetId="96">'Div 5'!$P$42</definedName>
    <definedName name="OSRRefP22_2x_0" localSheetId="64">'Div 6'!$P$82</definedName>
    <definedName name="OSRRefP22_2x_0" localSheetId="2">Summary!$P$225</definedName>
    <definedName name="OSRRefP22_3x_0" localSheetId="40">'200'!$P$26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'204'!$P$45:$P$46</definedName>
    <definedName name="OSRRefP22_3x_0" localSheetId="45">'205'!$P$43</definedName>
    <definedName name="OSRRefP22_3x_0" localSheetId="46">'206'!$P$43</definedName>
    <definedName name="OSRRefP22_3x_0" localSheetId="48">'300'!$P$190:$P$191</definedName>
    <definedName name="OSRRefP22_3x_0" localSheetId="49">'300 &amp; 317'!$P$215:$P$216</definedName>
    <definedName name="OSRRefP22_3x_0" localSheetId="50">'301'!$P$43:$P$44</definedName>
    <definedName name="OSRRefP22_3x_0" localSheetId="51">'306'!$P$43</definedName>
    <definedName name="OSRRefP22_3x_0" localSheetId="53">'307'!$P$102</definedName>
    <definedName name="OSRRefP22_3x_0" localSheetId="55">'308'!$P$89:$P$90</definedName>
    <definedName name="OSRRefP22_3x_0" localSheetId="67">'309'!$P$49</definedName>
    <definedName name="OSRRefP22_3x_0" localSheetId="66">'310'!$P$57</definedName>
    <definedName name="OSRRefP22_3x_0" localSheetId="75">'310 &amp; 491'!$P$65</definedName>
    <definedName name="OSRRefP22_3x_0" localSheetId="56">'311'!$P$89:$P$90</definedName>
    <definedName name="OSRRefP22_3x_0" localSheetId="68">'313'!$P$53</definedName>
    <definedName name="OSRRefP22_3x_0" localSheetId="54">'314'!$P$81:$P$82</definedName>
    <definedName name="OSRRefP22_3x_0" localSheetId="59">'315'!$P$81:$P$82</definedName>
    <definedName name="OSRRefP22_3x_0" localSheetId="62">'316'!$P$58</definedName>
    <definedName name="OSRRefP22_3x_0" localSheetId="65">'317'!$P$84</definedName>
    <definedName name="OSRRefP22_3x_0" localSheetId="63">'320'!$P$53</definedName>
    <definedName name="OSRRefP22_3x_0" localSheetId="69">'321'!$P$48</definedName>
    <definedName name="OSRRefP22_3x_0" localSheetId="70">'322'!$P$49</definedName>
    <definedName name="OSRRefP22_3x_0" localSheetId="71">'325'!$P$49</definedName>
    <definedName name="OSRRefP22_3x_0" localSheetId="60">'326'!$P$80:$P$81</definedName>
    <definedName name="OSRRefP22_3x_0" localSheetId="52">'330'!$P$109</definedName>
    <definedName name="OSRRefP22_3x_0" localSheetId="58">'331'!$P$96:$P$97</definedName>
    <definedName name="OSRRefP22_3x_0" localSheetId="61">'332'!$P$67</definedName>
    <definedName name="OSRRefP22_3x_0" localSheetId="77">'405'!$P$49</definedName>
    <definedName name="OSRRefP22_3x_0" localSheetId="78">'406'!$P$50</definedName>
    <definedName name="OSRRefP22_3x_0" localSheetId="79">'411'!$P$44:$P$47</definedName>
    <definedName name="OSRRefP22_3x_0" localSheetId="80">'412'!$P$49</definedName>
    <definedName name="OSRRefP22_3x_0" localSheetId="82">'413'!$P$50</definedName>
    <definedName name="OSRRefP22_3x_0" localSheetId="83">'414'!$P$50</definedName>
    <definedName name="OSRRefP22_3x_0" localSheetId="84">'415'!$P$49</definedName>
    <definedName name="OSRRefP22_3x_0" localSheetId="85">'418'!$P$50</definedName>
    <definedName name="OSRRefP22_3x_0" localSheetId="81">'420'!$P$39</definedName>
    <definedName name="OSRRefP22_3x_0" localSheetId="86">'423'!$P$44</definedName>
    <definedName name="OSRRefP22_3x_0" localSheetId="87">'424'!$P$49</definedName>
    <definedName name="OSRRefP22_3x_0" localSheetId="88">'425'!$P$53</definedName>
    <definedName name="OSRRefP22_3x_0" localSheetId="91">'430'!$P$43</definedName>
    <definedName name="OSRRefP22_3x_0" localSheetId="92">'433'!$P$51</definedName>
    <definedName name="OSRRefP22_3x_0" localSheetId="93">'435'!$P$49</definedName>
    <definedName name="OSRRefP22_3x_0" localSheetId="94">'444'!$P$51</definedName>
    <definedName name="OSRRefP22_3x_0" localSheetId="95">'450'!$P$51:$P$52</definedName>
    <definedName name="OSRRefP22_3x_0" localSheetId="76">'491'!$P$59</definedName>
    <definedName name="OSRRefP22_3x_0" localSheetId="90">'492'!$P$53:$P$54</definedName>
    <definedName name="OSRRefP22_3x_0" localSheetId="97">'501'!$P$44</definedName>
    <definedName name="OSRRefP22_3x_0" localSheetId="39">'Div 2'!$P$46</definedName>
    <definedName name="OSRRefP22_3x_0" localSheetId="47">'Div 3'!$P$195:$P$196</definedName>
    <definedName name="OSRRefP22_3x_0" localSheetId="74">'Div 4'!$P$59:$P$60</definedName>
    <definedName name="OSRRefP22_3x_0" localSheetId="96">'Div 5'!$P$44</definedName>
    <definedName name="OSRRefP22_3x_0" localSheetId="64">'Div 6'!$P$84</definedName>
    <definedName name="OSRRefP22_3x_0" localSheetId="2">Summary!$P$227:$P$228</definedName>
    <definedName name="OSRRefP22_4x_0" localSheetId="40">'200'!$P$28:$P$29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'204'!$P$48</definedName>
    <definedName name="OSRRefP22_4x_0" localSheetId="45">'205'!$P$45</definedName>
    <definedName name="OSRRefP22_4x_0" localSheetId="46">'206'!$P$45</definedName>
    <definedName name="OSRRefP22_4x_0" localSheetId="48">'300'!$P$193</definedName>
    <definedName name="OSRRefP22_4x_0" localSheetId="49">'300 &amp; 317'!$P$218</definedName>
    <definedName name="OSRRefP22_4x_0" localSheetId="50">'301'!$P$46</definedName>
    <definedName name="OSRRefP22_4x_0" localSheetId="51">'306'!$P$45</definedName>
    <definedName name="OSRRefP22_4x_0" localSheetId="53">'307'!$P$104:$P$105</definedName>
    <definedName name="OSRRefP22_4x_0" localSheetId="55">'308'!$P$92</definedName>
    <definedName name="OSRRefP22_4x_0" localSheetId="67">'309'!$P$51</definedName>
    <definedName name="OSRRefP22_4x_0" localSheetId="66">'310'!$P$59</definedName>
    <definedName name="OSRRefP22_4x_0" localSheetId="75">'310 &amp; 491'!$P$67</definedName>
    <definedName name="OSRRefP22_4x_0" localSheetId="56">'311'!$P$92</definedName>
    <definedName name="OSRRefP22_4x_0" localSheetId="68">'313'!$P$55</definedName>
    <definedName name="OSRRefP22_4x_0" localSheetId="54">'314'!$P$84</definedName>
    <definedName name="OSRRefP22_4x_0" localSheetId="59">'315'!$P$84</definedName>
    <definedName name="OSRRefP22_4x_0" localSheetId="62">'316'!$P$60</definedName>
    <definedName name="OSRRefP22_4x_0" localSheetId="65">'317'!$P$86</definedName>
    <definedName name="OSRRefP22_4x_0" localSheetId="63">'320'!$P$55:$P$56</definedName>
    <definedName name="OSRRefP22_4x_0" localSheetId="69">'321'!$P$50</definedName>
    <definedName name="OSRRefP22_4x_0" localSheetId="70">'322'!$P$51</definedName>
    <definedName name="OSRRefP22_4x_0" localSheetId="71">'325'!$P$51</definedName>
    <definedName name="OSRRefP22_4x_0" localSheetId="60">'326'!$P$83</definedName>
    <definedName name="OSRRefP22_4x_0" localSheetId="52">'330'!$P$111:$P$112</definedName>
    <definedName name="OSRRefP22_4x_0" localSheetId="58">'331'!$P$99</definedName>
    <definedName name="OSRRefP22_4x_0" localSheetId="61">'332'!$P$69</definedName>
    <definedName name="OSRRefP22_4x_0" localSheetId="77">'405'!$P$51</definedName>
    <definedName name="OSRRefP22_4x_0" localSheetId="78">'406'!$P$52</definedName>
    <definedName name="OSRRefP22_4x_0" localSheetId="79">'411'!$P$49</definedName>
    <definedName name="OSRRefP22_4x_0" localSheetId="80">'412'!$P$51</definedName>
    <definedName name="OSRRefP22_4x_0" localSheetId="82">'413'!$P$52</definedName>
    <definedName name="OSRRefP22_4x_0" localSheetId="83">'414'!$P$52</definedName>
    <definedName name="OSRRefP22_4x_0" localSheetId="84">'415'!$P$51</definedName>
    <definedName name="OSRRefP22_4x_0" localSheetId="85">'418'!$P$52</definedName>
    <definedName name="OSRRefP22_4x_0" localSheetId="81">'420'!$P$41</definedName>
    <definedName name="OSRRefP22_4x_0" localSheetId="86">'423'!$P$46</definedName>
    <definedName name="OSRRefP22_4x_0" localSheetId="87">'424'!$P$51</definedName>
    <definedName name="OSRRefP22_4x_0" localSheetId="88">'425'!$P$55</definedName>
    <definedName name="OSRRefP22_4x_0" localSheetId="91">'430'!$P$45</definedName>
    <definedName name="OSRRefP22_4x_0" localSheetId="92">'433'!$P$53</definedName>
    <definedName name="OSRRefP22_4x_0" localSheetId="93">'435'!$P$51</definedName>
    <definedName name="OSRRefP22_4x_0" localSheetId="94">'444'!$P$53</definedName>
    <definedName name="OSRRefP22_4x_0" localSheetId="95">'450'!$P$54</definedName>
    <definedName name="OSRRefP22_4x_0" localSheetId="76">'491'!$P$61</definedName>
    <definedName name="OSRRefP22_4x_0" localSheetId="90">'492'!$P$56</definedName>
    <definedName name="OSRRefP22_4x_0" localSheetId="97">'501'!$P$46</definedName>
    <definedName name="OSRRefP22_4x_0" localSheetId="39">'Div 2'!$P$48</definedName>
    <definedName name="OSRRefP22_4x_0" localSheetId="47">'Div 3'!$P$198</definedName>
    <definedName name="OSRRefP22_4x_0" localSheetId="74">'Div 4'!$P$62</definedName>
    <definedName name="OSRRefP22_4x_0" localSheetId="96">'Div 5'!$P$46</definedName>
    <definedName name="OSRRefP22_4x_0" localSheetId="64">'Div 6'!$P$86</definedName>
    <definedName name="OSRRefP22_4x_0" localSheetId="2">Summary!$P$230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'204'!$P$50</definedName>
    <definedName name="OSRRefP22_5x_0" localSheetId="45">'205'!$P$47:$P$48</definedName>
    <definedName name="OSRRefP22_5x_0" localSheetId="46">'206'!$P$47</definedName>
    <definedName name="OSRRefP22_5x_0" localSheetId="48">'300'!$P$195:$P$198</definedName>
    <definedName name="OSRRefP22_5x_0" localSheetId="49">'300 &amp; 317'!$P$220:$P$223</definedName>
    <definedName name="OSRRefP22_5x_0" localSheetId="50">'301'!$P$48:$P$51</definedName>
    <definedName name="OSRRefP22_5x_0" localSheetId="51">'306'!$P$47</definedName>
    <definedName name="OSRRefP22_5x_0" localSheetId="53">'307'!$P$107</definedName>
    <definedName name="OSRRefP22_5x_0" localSheetId="55">'308'!$P$94</definedName>
    <definedName name="OSRRefP22_5x_0" localSheetId="67">'309'!$P$53:$P$54</definedName>
    <definedName name="OSRRefP22_5x_0" localSheetId="66">'310'!$P$61:$P$63</definedName>
    <definedName name="OSRRefP22_5x_0" localSheetId="75">'310 &amp; 491'!$P$69:$P$72</definedName>
    <definedName name="OSRRefP22_5x_0" localSheetId="56">'311'!$P$94</definedName>
    <definedName name="OSRRefP22_5x_0" localSheetId="68">'313'!$P$57</definedName>
    <definedName name="OSRRefP22_5x_0" localSheetId="54">'314'!$P$86</definedName>
    <definedName name="OSRRefP22_5x_0" localSheetId="59">'315'!$P$86:$P$87</definedName>
    <definedName name="OSRRefP22_5x_0" localSheetId="62">'316'!$P$62</definedName>
    <definedName name="OSRRefP22_5x_0" localSheetId="65">'317'!$P$88</definedName>
    <definedName name="OSRRefP22_5x_0" localSheetId="63">'320'!$P$58</definedName>
    <definedName name="OSRRefP22_5x_0" localSheetId="69">'321'!$P$52</definedName>
    <definedName name="OSRRefP22_5x_0" localSheetId="70">'322'!$P$53:$P$54</definedName>
    <definedName name="OSRRefP22_5x_0" localSheetId="71">'325'!$P$53:$P$55</definedName>
    <definedName name="OSRRefP22_5x_0" localSheetId="60">'326'!$P$85</definedName>
    <definedName name="OSRRefP22_5x_0" localSheetId="52">'330'!$P$114</definedName>
    <definedName name="OSRRefP22_5x_0" localSheetId="58">'331'!$P$101:$P$102</definedName>
    <definedName name="OSRRefP22_5x_0" localSheetId="61">'332'!$P$71</definedName>
    <definedName name="OSRRefP22_5x_0" localSheetId="77">'405'!$P$53:$P$55</definedName>
    <definedName name="OSRRefP22_5x_0" localSheetId="78">'406'!$P$54:$P$55</definedName>
    <definedName name="OSRRefP22_5x_0" localSheetId="79">'411'!$P$51</definedName>
    <definedName name="OSRRefP22_5x_0" localSheetId="80">'412'!$P$53:$P$55</definedName>
    <definedName name="OSRRefP22_5x_0" localSheetId="82">'413'!$P$54</definedName>
    <definedName name="OSRRefP22_5x_0" localSheetId="83">'414'!$P$54:$P$55</definedName>
    <definedName name="OSRRefP22_5x_0" localSheetId="84">'415'!$P$53:$P$55</definedName>
    <definedName name="OSRRefP22_5x_0" localSheetId="85">'418'!$P$54:$P$56</definedName>
    <definedName name="OSRRefP22_5x_0" localSheetId="81">'420'!$P$43:$P$44</definedName>
    <definedName name="OSRRefP22_5x_0" localSheetId="86">'423'!$P$48</definedName>
    <definedName name="OSRRefP22_5x_0" localSheetId="87">'424'!$P$53</definedName>
    <definedName name="OSRRefP22_5x_0" localSheetId="88">'425'!$P$57:$P$58</definedName>
    <definedName name="OSRRefP22_5x_0" localSheetId="91">'430'!$P$47</definedName>
    <definedName name="OSRRefP22_5x_0" localSheetId="92">'433'!$P$55</definedName>
    <definedName name="OSRRefP22_5x_0" localSheetId="93">'435'!$P$53</definedName>
    <definedName name="OSRRefP22_5x_0" localSheetId="94">'444'!$P$55</definedName>
    <definedName name="OSRRefP22_5x_0" localSheetId="95">'450'!$P$56</definedName>
    <definedName name="OSRRefP22_5x_0" localSheetId="76">'491'!$P$63:$P$66</definedName>
    <definedName name="OSRRefP22_5x_0" localSheetId="90">'492'!$P$58:$P$59</definedName>
    <definedName name="OSRRefP22_5x_0" localSheetId="97">'501'!$P$48</definedName>
    <definedName name="OSRRefP22_5x_0" localSheetId="39">'Div 2'!$P$50:$P$51</definedName>
    <definedName name="OSRRefP22_5x_0" localSheetId="47">'Div 3'!$P$200:$P$203</definedName>
    <definedName name="OSRRefP22_5x_0" localSheetId="74">'Div 4'!$P$64:$P$67</definedName>
    <definedName name="OSRRefP22_5x_0" localSheetId="96">'Div 5'!$P$48</definedName>
    <definedName name="OSRRefP22_5x_0" localSheetId="64">'Div 6'!$P$88</definedName>
    <definedName name="OSRRefP22_5x_0" localSheetId="2">Summary!$P$232:$P$235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'204'!$P$52</definedName>
    <definedName name="OSRRefP22_6x_0" localSheetId="45">'205'!$P$50</definedName>
    <definedName name="OSRRefP22_6x_0" localSheetId="46">'206'!$P$49</definedName>
    <definedName name="OSRRefP22_6x_0" localSheetId="48">'300'!$P$200:$P$201</definedName>
    <definedName name="OSRRefP22_6x_0" localSheetId="49">'300 &amp; 317'!$P$225:$P$226</definedName>
    <definedName name="OSRRefP22_6x_0" localSheetId="50">'301'!$P$53:$P$54</definedName>
    <definedName name="OSRRefP22_6x_0" localSheetId="51">'306'!$P$49</definedName>
    <definedName name="OSRRefP22_6x_0" localSheetId="53">'307'!$P$109</definedName>
    <definedName name="OSRRefP22_6x_0" localSheetId="55">'308'!$P$96:$P$97</definedName>
    <definedName name="OSRRefP22_6x_0" localSheetId="67">'309'!$P$56</definedName>
    <definedName name="OSRRefP22_6x_0" localSheetId="66">'310'!$P$65</definedName>
    <definedName name="OSRRefP22_6x_0" localSheetId="75">'310 &amp; 491'!$P$74</definedName>
    <definedName name="OSRRefP22_6x_0" localSheetId="56">'311'!$P$96:$P$97</definedName>
    <definedName name="OSRRefP22_6x_0" localSheetId="68">'313'!$P$59</definedName>
    <definedName name="OSRRefP22_6x_0" localSheetId="54">'314'!$P$88</definedName>
    <definedName name="OSRRefP22_6x_0" localSheetId="59">'315'!$P$89</definedName>
    <definedName name="OSRRefP22_6x_0" localSheetId="62">'316'!$P$64</definedName>
    <definedName name="OSRRefP22_6x_0" localSheetId="65">'317'!$P$90</definedName>
    <definedName name="OSRRefP22_6x_0" localSheetId="63">'320'!$P$60</definedName>
    <definedName name="OSRRefP22_6x_0" localSheetId="69">'321'!$P$54</definedName>
    <definedName name="OSRRefP22_6x_0" localSheetId="70">'322'!$P$56</definedName>
    <definedName name="OSRRefP22_6x_0" localSheetId="71">'325'!$P$57</definedName>
    <definedName name="OSRRefP22_6x_0" localSheetId="60">'326'!$P$87</definedName>
    <definedName name="OSRRefP22_6x_0" localSheetId="52">'330'!$P$116</definedName>
    <definedName name="OSRRefP22_6x_0" localSheetId="58">'331'!$P$104</definedName>
    <definedName name="OSRRefP22_6x_0" localSheetId="61">'332'!$P$73</definedName>
    <definedName name="OSRRefP22_6x_0" localSheetId="77">'405'!$P$57</definedName>
    <definedName name="OSRRefP22_6x_0" localSheetId="78">'406'!$P$57</definedName>
    <definedName name="OSRRefP22_6x_0" localSheetId="79">'411'!$P$53</definedName>
    <definedName name="OSRRefP22_6x_0" localSheetId="80">'412'!$P$57</definedName>
    <definedName name="OSRRefP22_6x_0" localSheetId="82">'413'!$P$56</definedName>
    <definedName name="OSRRefP22_6x_0" localSheetId="83">'414'!$P$57</definedName>
    <definedName name="OSRRefP22_6x_0" localSheetId="84">'415'!$P$57</definedName>
    <definedName name="OSRRefP22_6x_0" localSheetId="85">'418'!$P$58</definedName>
    <definedName name="OSRRefP22_6x_0" localSheetId="81">'420'!$P$46</definedName>
    <definedName name="OSRRefP22_6x_0" localSheetId="87">'424'!$P$55</definedName>
    <definedName name="OSRRefP22_6x_0" localSheetId="88">'425'!$P$60</definedName>
    <definedName name="OSRRefP22_6x_0" localSheetId="91">'430'!$P$49</definedName>
    <definedName name="OSRRefP22_6x_0" localSheetId="92">'433'!$P$57</definedName>
    <definedName name="OSRRefP22_6x_0" localSheetId="93">'435'!$P$55</definedName>
    <definedName name="OSRRefP22_6x_0" localSheetId="94">'444'!$P$57</definedName>
    <definedName name="OSRRefP22_6x_0" localSheetId="95">'450'!$P$58</definedName>
    <definedName name="OSRRefP22_6x_0" localSheetId="76">'491'!$P$68</definedName>
    <definedName name="OSRRefP22_6x_0" localSheetId="90">'492'!$P$61</definedName>
    <definedName name="OSRRefP22_6x_0" localSheetId="97">'501'!$P$50</definedName>
    <definedName name="OSRRefP22_6x_0" localSheetId="39">'Div 2'!$P$53:$P$54</definedName>
    <definedName name="OSRRefP22_6x_0" localSheetId="47">'Div 3'!$P$205:$P$206</definedName>
    <definedName name="OSRRefP22_6x_0" localSheetId="74">'Div 4'!$P$69</definedName>
    <definedName name="OSRRefP22_6x_0" localSheetId="96">'Div 5'!$P$50</definedName>
    <definedName name="OSRRefP22_6x_0" localSheetId="64">'Div 6'!$P$90</definedName>
    <definedName name="OSRRefP22_6x_0" localSheetId="2">Summary!$P$237:$P$238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'204'!$P$54:$P$57</definedName>
    <definedName name="OSRRefP22_7x_0" localSheetId="45">'205'!$P$52:$P$53</definedName>
    <definedName name="OSRRefP22_7x_0" localSheetId="46">'206'!$P$51:$P$52</definedName>
    <definedName name="OSRRefP22_7x_0" localSheetId="48">'300'!$P$203:$P$204</definedName>
    <definedName name="OSRRefP22_7x_0" localSheetId="49">'300 &amp; 317'!$P$228:$P$229</definedName>
    <definedName name="OSRRefP22_7x_0" localSheetId="50">'301'!$P$56:$P$57</definedName>
    <definedName name="OSRRefP22_7x_0" localSheetId="51">'306'!$P$51:$P$52</definedName>
    <definedName name="OSRRefP22_7x_0" localSheetId="53">'307'!$P$111</definedName>
    <definedName name="OSRRefP22_7x_0" localSheetId="55">'308'!$P$99</definedName>
    <definedName name="OSRRefP22_7x_0" localSheetId="67">'309'!$P$58</definedName>
    <definedName name="OSRRefP22_7x_0" localSheetId="66">'310'!$P$67</definedName>
    <definedName name="OSRRefP22_7x_0" localSheetId="75">'310 &amp; 491'!$P$76</definedName>
    <definedName name="OSRRefP22_7x_0" localSheetId="56">'311'!$P$99</definedName>
    <definedName name="OSRRefP22_7x_0" localSheetId="68">'313'!$P$61</definedName>
    <definedName name="OSRRefP22_7x_0" localSheetId="54">'314'!$P$90</definedName>
    <definedName name="OSRRefP22_7x_0" localSheetId="59">'315'!$P$91</definedName>
    <definedName name="OSRRefP22_7x_0" localSheetId="62">'316'!$P$66</definedName>
    <definedName name="OSRRefP22_7x_0" localSheetId="65">'317'!$P$92</definedName>
    <definedName name="OSRRefP22_7x_0" localSheetId="63">'320'!$P$62:$P$63</definedName>
    <definedName name="OSRRefP22_7x_0" localSheetId="69">'321'!$P$56</definedName>
    <definedName name="OSRRefP22_7x_0" localSheetId="70">'322'!$P$58</definedName>
    <definedName name="OSRRefP22_7x_0" localSheetId="71">'325'!$P$59</definedName>
    <definedName name="OSRRefP22_7x_0" localSheetId="60">'326'!$P$89</definedName>
    <definedName name="OSRRefP22_7x_0" localSheetId="52">'330'!$P$118</definedName>
    <definedName name="OSRRefP22_7x_0" localSheetId="58">'331'!$P$106</definedName>
    <definedName name="OSRRefP22_7x_0" localSheetId="61">'332'!$P$75:$P$76</definedName>
    <definedName name="OSRRefP22_7x_0" localSheetId="77">'405'!$P$59</definedName>
    <definedName name="OSRRefP22_7x_0" localSheetId="78">'406'!$P$59</definedName>
    <definedName name="OSRRefP22_7x_0" localSheetId="79">'411'!$P$55</definedName>
    <definedName name="OSRRefP22_7x_0" localSheetId="80">'412'!$P$59</definedName>
    <definedName name="OSRRefP22_7x_0" localSheetId="82">'413'!$P$58</definedName>
    <definedName name="OSRRefP22_7x_0" localSheetId="83">'414'!$P$59</definedName>
    <definedName name="OSRRefP22_7x_0" localSheetId="84">'415'!$P$59</definedName>
    <definedName name="OSRRefP22_7x_0" localSheetId="85">'418'!$P$60</definedName>
    <definedName name="OSRRefP22_7x_0" localSheetId="87">'424'!$P$57:$P$58</definedName>
    <definedName name="OSRRefP22_7x_0" localSheetId="88">'425'!$P$62</definedName>
    <definedName name="OSRRefP22_7x_0" localSheetId="91">'430'!$P$51:$P$53</definedName>
    <definedName name="OSRRefP22_7x_0" localSheetId="92">'433'!$P$59</definedName>
    <definedName name="OSRRefP22_7x_0" localSheetId="93">'435'!$P$57:$P$59</definedName>
    <definedName name="OSRRefP22_7x_0" localSheetId="94">'444'!$P$59</definedName>
    <definedName name="OSRRefP22_7x_0" localSheetId="95">'450'!$P$60</definedName>
    <definedName name="OSRRefP22_7x_0" localSheetId="76">'491'!$P$70</definedName>
    <definedName name="OSRRefP22_7x_0" localSheetId="90">'492'!$P$63</definedName>
    <definedName name="OSRRefP22_7x_0" localSheetId="97">'501'!$P$52</definedName>
    <definedName name="OSRRefP22_7x_0" localSheetId="39">'Div 2'!$P$56</definedName>
    <definedName name="OSRRefP22_7x_0" localSheetId="47">'Div 3'!$P$208:$P$209</definedName>
    <definedName name="OSRRefP22_7x_0" localSheetId="74">'Div 4'!$P$71:$P$72</definedName>
    <definedName name="OSRRefP22_7x_0" localSheetId="96">'Div 5'!$P$52</definedName>
    <definedName name="OSRRefP22_7x_0" localSheetId="64">'Div 6'!$P$92</definedName>
    <definedName name="OSRRefP22_7x_0" localSheetId="2">Summary!$P$240:$P$242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'204'!$P$59</definedName>
    <definedName name="OSRRefP22_8x_0" localSheetId="45">'205'!$P$55</definedName>
    <definedName name="OSRRefP22_8x_0" localSheetId="46">'206'!$P$54</definedName>
    <definedName name="OSRRefP22_8x_0" localSheetId="48">'300'!$P$206</definedName>
    <definedName name="OSRRefP22_8x_0" localSheetId="49">'300 &amp; 317'!$P$231</definedName>
    <definedName name="OSRRefP22_8x_0" localSheetId="50">'301'!$P$59</definedName>
    <definedName name="OSRRefP22_8x_0" localSheetId="51">'306'!$P$54:$P$57</definedName>
    <definedName name="OSRRefP22_8x_0" localSheetId="53">'307'!$P$113:$P$114</definedName>
    <definedName name="OSRRefP22_8x_0" localSheetId="55">'308'!$P$101</definedName>
    <definedName name="OSRRefP22_8x_0" localSheetId="67">'309'!$P$60</definedName>
    <definedName name="OSRRefP22_8x_0" localSheetId="66">'310'!$P$69</definedName>
    <definedName name="OSRRefP22_8x_0" localSheetId="75">'310 &amp; 491'!$P$78</definedName>
    <definedName name="OSRRefP22_8x_0" localSheetId="56">'311'!$P$101</definedName>
    <definedName name="OSRRefP22_8x_0" localSheetId="68">'313'!$P$63</definedName>
    <definedName name="OSRRefP22_8x_0" localSheetId="54">'314'!$P$92</definedName>
    <definedName name="OSRRefP22_8x_0" localSheetId="59">'315'!$P$93</definedName>
    <definedName name="OSRRefP22_8x_0" localSheetId="62">'316'!$P$68</definedName>
    <definedName name="OSRRefP22_8x_0" localSheetId="65">'317'!$P$94</definedName>
    <definedName name="OSRRefP22_8x_0" localSheetId="63">'320'!$P$65</definedName>
    <definedName name="OSRRefP22_8x_0" localSheetId="69">'321'!$P$58</definedName>
    <definedName name="OSRRefP22_8x_0" localSheetId="70">'322'!$P$60</definedName>
    <definedName name="OSRRefP22_8x_0" localSheetId="71">'325'!$P$61</definedName>
    <definedName name="OSRRefP22_8x_0" localSheetId="60">'326'!$P$91</definedName>
    <definedName name="OSRRefP22_8x_0" localSheetId="52">'330'!$P$120</definedName>
    <definedName name="OSRRefP22_8x_0" localSheetId="58">'331'!$P$108:$P$109</definedName>
    <definedName name="OSRRefP22_8x_0" localSheetId="61">'332'!$P$78</definedName>
    <definedName name="OSRRefP22_8x_0" localSheetId="77">'405'!$P$61</definedName>
    <definedName name="OSRRefP22_8x_0" localSheetId="78">'406'!$P$61</definedName>
    <definedName name="OSRRefP22_8x_0" localSheetId="79">'411'!$P$57</definedName>
    <definedName name="OSRRefP22_8x_0" localSheetId="80">'412'!$P$61</definedName>
    <definedName name="OSRRefP22_8x_0" localSheetId="82">'413'!$P$60:$P$62</definedName>
    <definedName name="OSRRefP22_8x_0" localSheetId="83">'414'!$P$61</definedName>
    <definedName name="OSRRefP22_8x_0" localSheetId="84">'415'!$P$61</definedName>
    <definedName name="OSRRefP22_8x_0" localSheetId="85">'418'!$P$62</definedName>
    <definedName name="OSRRefP22_8x_0" localSheetId="87">'424'!$P$60:$P$62</definedName>
    <definedName name="OSRRefP22_8x_0" localSheetId="88">'425'!$P$64</definedName>
    <definedName name="OSRRefP22_8x_0" localSheetId="91">'430'!$P$55</definedName>
    <definedName name="OSRRefP22_8x_0" localSheetId="92">'433'!$P$61</definedName>
    <definedName name="OSRRefP22_8x_0" localSheetId="93">'435'!$P$61</definedName>
    <definedName name="OSRRefP22_8x_0" localSheetId="94">'444'!$P$61</definedName>
    <definedName name="OSRRefP22_8x_0" localSheetId="95">'450'!$P$62</definedName>
    <definedName name="OSRRefP22_8x_0" localSheetId="76">'491'!$P$72</definedName>
    <definedName name="OSRRefP22_8x_0" localSheetId="90">'492'!$P$65</definedName>
    <definedName name="OSRRefP22_8x_0" localSheetId="97">'501'!$P$54</definedName>
    <definedName name="OSRRefP22_8x_0" localSheetId="39">'Div 2'!$P$58</definedName>
    <definedName name="OSRRefP22_8x_0" localSheetId="47">'Div 3'!$P$211</definedName>
    <definedName name="OSRRefP22_8x_0" localSheetId="74">'Div 4'!$P$74</definedName>
    <definedName name="OSRRefP22_8x_0" localSheetId="96">'Div 5'!$P$54</definedName>
    <definedName name="OSRRefP22_8x_0" localSheetId="64">'Div 6'!$P$94</definedName>
    <definedName name="OSRRefP22_8x_0" localSheetId="2">Summary!$P$244</definedName>
    <definedName name="OSRRefP22_9x_0" localSheetId="41">'201'!$P$56</definedName>
    <definedName name="OSRRefP22_9x_0" localSheetId="42">'202'!$P$55:$P$57</definedName>
    <definedName name="OSRRefP22_9x_0" localSheetId="43">'203'!$P$56:$P$57</definedName>
    <definedName name="OSRRefP22_9x_0" localSheetId="44">'204'!$P$61:$P$62</definedName>
    <definedName name="OSRRefP22_9x_0" localSheetId="45">'205'!$P$57</definedName>
    <definedName name="OSRRefP22_9x_0" localSheetId="46">'206'!$P$56</definedName>
    <definedName name="OSRRefP22_9x_0" localSheetId="48">'300'!$P$208</definedName>
    <definedName name="OSRRefP22_9x_0" localSheetId="49">'300 &amp; 317'!$P$233</definedName>
    <definedName name="OSRRefP22_9x_0" localSheetId="50">'301'!$P$61</definedName>
    <definedName name="OSRRefP22_9x_0" localSheetId="51">'306'!$P$59</definedName>
    <definedName name="OSRRefP22_9x_0" localSheetId="53">'307'!$P$116:$P$117</definedName>
    <definedName name="OSRRefP22_9x_0" localSheetId="55">'308'!$P$103:$P$105</definedName>
    <definedName name="OSRRefP22_9x_0" localSheetId="67">'309'!$P$62:$P$63</definedName>
    <definedName name="OSRRefP22_9x_0" localSheetId="66">'310'!$P$71</definedName>
    <definedName name="OSRRefP22_9x_0" localSheetId="75">'310 &amp; 491'!$P$80</definedName>
    <definedName name="OSRRefP22_9x_0" localSheetId="56">'311'!$P$103:$P$105</definedName>
    <definedName name="OSRRefP22_9x_0" localSheetId="68">'313'!$P$65</definedName>
    <definedName name="OSRRefP22_9x_0" localSheetId="54">'314'!$P$94</definedName>
    <definedName name="OSRRefP22_9x_0" localSheetId="59">'315'!$P$95</definedName>
    <definedName name="OSRRefP22_9x_0" localSheetId="62">'316'!$P$70:$P$71</definedName>
    <definedName name="OSRRefP22_9x_0" localSheetId="65">'317'!$P$96:$P$97</definedName>
    <definedName name="OSRRefP22_9x_0" localSheetId="69">'321'!$P$60:$P$62</definedName>
    <definedName name="OSRRefP22_9x_0" localSheetId="70">'322'!$P$62:$P$64</definedName>
    <definedName name="OSRRefP22_9x_0" localSheetId="71">'325'!$P$63</definedName>
    <definedName name="OSRRefP22_9x_0" localSheetId="60">'326'!$P$93</definedName>
    <definedName name="OSRRefP22_9x_0" localSheetId="52">'330'!$P$122:$P$123</definedName>
    <definedName name="OSRRefP22_9x_0" localSheetId="58">'331'!$P$111</definedName>
    <definedName name="OSRRefP22_9x_0" localSheetId="61">'332'!$P$80</definedName>
    <definedName name="OSRRefP22_9x_0" localSheetId="77">'405'!$P$63</definedName>
    <definedName name="OSRRefP22_9x_0" localSheetId="78">'406'!$P$63:$P$65</definedName>
    <definedName name="OSRRefP22_9x_0" localSheetId="79">'411'!$P$59</definedName>
    <definedName name="OSRRefP22_9x_0" localSheetId="80">'412'!$P$63:$P$64</definedName>
    <definedName name="OSRRefP22_9x_0" localSheetId="82">'413'!$P$64:$P$65</definedName>
    <definedName name="OSRRefP22_9x_0" localSheetId="83">'414'!$P$63:$P$64</definedName>
    <definedName name="OSRRefP22_9x_0" localSheetId="84">'415'!$P$63</definedName>
    <definedName name="OSRRefP22_9x_0" localSheetId="85">'418'!$P$64</definedName>
    <definedName name="OSRRefP22_9x_0" localSheetId="87">'424'!$P$64</definedName>
    <definedName name="OSRRefP22_9x_0" localSheetId="88">'425'!$P$66:$P$68</definedName>
    <definedName name="OSRRefP22_9x_0" localSheetId="91">'430'!$P$57</definedName>
    <definedName name="OSRRefP22_9x_0" localSheetId="92">'433'!$P$63</definedName>
    <definedName name="OSRRefP22_9x_0" localSheetId="94">'444'!$P$63</definedName>
    <definedName name="OSRRefP22_9x_0" localSheetId="95">'450'!$P$64</definedName>
    <definedName name="OSRRefP22_9x_0" localSheetId="76">'491'!$P$74</definedName>
    <definedName name="OSRRefP22_9x_0" localSheetId="90">'492'!$P$67</definedName>
    <definedName name="OSRRefP22_9x_0" localSheetId="97">'501'!$P$56</definedName>
    <definedName name="OSRRefP22_9x_0" localSheetId="39">'Div 2'!$P$60</definedName>
    <definedName name="OSRRefP22_9x_0" localSheetId="47">'Div 3'!$P$213</definedName>
    <definedName name="OSRRefP22_9x_0" localSheetId="74">'Div 4'!$P$76</definedName>
    <definedName name="OSRRefP22_9x_0" localSheetId="96">'Div 5'!$P$56</definedName>
    <definedName name="OSRRefP22_9x_0" localSheetId="64">'Div 6'!$P$96:$P$97</definedName>
    <definedName name="OSRRefP22_9x_0" localSheetId="2">Summary!$P$246</definedName>
    <definedName name="OSRRefP22x_0" localSheetId="40">'200'!$P$20,'200'!$P$22,'200'!$P$24,'200'!$P$26,'200'!$P$28:$P$29</definedName>
    <definedName name="OSRRefP22x_0" localSheetId="41">'201'!$P$20:$P$28,'201'!$P$30:$P$39,'201'!$P$41,'201'!$P$43,'201'!$P$45:$P$46,'201'!$P$48,'201'!$P$50,'201'!$P$52,'201'!$P$54,'201'!$P$56,'201'!$P$58:$P$60,'201'!$P$62:$P$64,'201'!$P$66,'201'!$P$68:$P$70,'201'!$P$72,'201'!$P$74,'201'!$P$76:$P$77</definedName>
    <definedName name="OSRRefP22x_0" localSheetId="42">'202'!$P$20:$P$28,'202'!$P$30:$P$39,'202'!$P$41,'202'!$P$43,'202'!$P$45,'202'!$P$47,'202'!$P$49,'202'!$P$51,'202'!$P$53,'202'!$P$55:$P$57,'202'!$P$59,'202'!$P$61:$P$63,'202'!$P$65,'202'!$P$67,'202'!$P$69:$P$70,'202'!$P$72,'202'!$P$74</definedName>
    <definedName name="OSRRefP22x_0" localSheetId="43">'203'!$P$20:$P$29,'203'!$P$31:$P$40,'203'!$P$42,'203'!$P$44,'203'!$P$46,'203'!$P$48,'203'!$P$50,'203'!$P$52,'203'!$P$54,'203'!$P$56:$P$57,'203'!$P$59:$P$60,'203'!$P$62,'203'!$P$64:$P$66,'203'!$P$68,'203'!$P$70,'203'!$P$72</definedName>
    <definedName name="OSRRefP22x_0" localSheetId="44">'204'!$P$21:$P$30,'204'!$P$32:$P$41,'204'!$P$43,'204'!$P$45:$P$46,'204'!$P$48,'204'!$P$50,'204'!$P$52,'204'!$P$54:$P$57,'204'!$P$59,'204'!$P$61:$P$62,'204'!$P$64:$P$65,'204'!$P$67,'204'!$P$69:$P$70</definedName>
    <definedName name="OSRRefP22x_0" localSheetId="45">'205'!$P$20:$P$28,'205'!$P$30:$P$39,'205'!$P$41,'205'!$P$43,'205'!$P$45,'205'!$P$47:$P$48,'205'!$P$50,'205'!$P$52:$P$53,'205'!$P$55,'205'!$P$57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$166:$P$175,'300'!$P$177:$P$186,'300'!$P$188,'300'!$P$190:$P$191,'300'!$P$193,'300'!$P$195:$P$198,'300'!$P$200:$P$201,'300'!$P$203:$P$204,'300'!$P$206,'300'!$P$208,'300'!$P$210:$P$211,'300'!$P$213,'300'!$P$215,'300'!$P$217,'300'!$P$219,'300'!$P$221,'300'!$P$223:$P$226,'300'!$P$228:$P$231,'300'!$P$233:$P$236,'300'!$P$238:$P$239,'300'!$P$241:$P$247,'300'!$P$249:$P$250,'300'!$P$252,'300'!$P$254:$P$256,'300'!$P$258</definedName>
    <definedName name="OSRRefP22x_0" localSheetId="49">'300 &amp; 317'!$P$191:$P$200,'300 &amp; 317'!$P$202:$P$211,'300 &amp; 317'!$P$213,'300 &amp; 317'!$P$215:$P$216,'300 &amp; 317'!$P$218,'300 &amp; 317'!$P$220:$P$223,'300 &amp; 317'!$P$225:$P$226,'300 &amp; 317'!$P$228:$P$229,'300 &amp; 317'!$P$231,'300 &amp; 317'!$P$233,'300 &amp; 317'!$P$235:$P$236,'300 &amp; 317'!$P$238,'300 &amp; 317'!$P$240,'300 &amp; 317'!$P$242,'300 &amp; 317'!$P$244,'300 &amp; 317'!$P$246,'300 &amp; 317'!$P$248:$P$251,'300 &amp; 317'!$P$253:$P$256,'300 &amp; 317'!$P$258:$P$261,'300 &amp; 317'!$P$263:$P$264,'300 &amp; 317'!$P$266:$P$272,'300 &amp; 317'!$P$274:$P$275,'300 &amp; 317'!$P$277,'300 &amp; 317'!$P$279:$P$281,'300 &amp; 317'!$P$283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:$P$76,'301'!$P$78:$P$80,'301'!$P$82:$P$83,'301'!$P$85:$P$90,'301'!$P$92,'301'!$P$94,'301'!$P$96:$P$98,'301'!$P$100</definedName>
    <definedName name="OSRRefP22x_0" localSheetId="51">'306'!$P$20:$P$28,'306'!$P$30:$P$39,'306'!$P$41,'306'!$P$43,'306'!$P$45,'306'!$P$47,'306'!$P$49,'306'!$P$51:$P$52,'306'!$P$54:$P$57,'306'!$P$59,'306'!$P$61</definedName>
    <definedName name="OSRRefP22x_0" localSheetId="53">'307'!$P$79:$P$87,'307'!$P$89:$P$98,'307'!$P$100,'307'!$P$102,'307'!$P$104:$P$105,'307'!$P$107,'307'!$P$109,'307'!$P$111,'307'!$P$113:$P$114,'307'!$P$116:$P$117,'307'!$P$119:$P$121,'307'!$P$123,'307'!$P$125</definedName>
    <definedName name="OSRRefP22x_0" localSheetId="55">'308'!$P$65:$P$74,'308'!$P$76:$P$85,'308'!$P$87,'308'!$P$89:$P$90,'308'!$P$92,'308'!$P$94,'308'!$P$96:$P$97,'308'!$P$99,'308'!$P$101,'308'!$P$103:$P$105,'308'!$P$107,'308'!$P$109:$P$111,'308'!$P$113:$P$114,'308'!$P$116,'308'!$P$118:$P$119</definedName>
    <definedName name="OSRRefP22x_0" localSheetId="67">'309'!$P$26:$P$34,'309'!$P$36:$P$45,'309'!$P$47,'309'!$P$49,'309'!$P$51,'309'!$P$53:$P$54,'309'!$P$56,'309'!$P$58,'309'!$P$60,'309'!$P$62:$P$63,'309'!$P$65:$P$67,'309'!$P$69:$P$71,'309'!$P$73,'309'!$P$75</definedName>
    <definedName name="OSRRefP22x_0" localSheetId="66">'310'!$P$34:$P$42,'310'!$P$44:$P$53,'310'!$P$55,'310'!$P$57,'310'!$P$59,'310'!$P$61:$P$63,'310'!$P$65,'310'!$P$67,'310'!$P$69,'310'!$P$71,'310'!$P$73,'310'!$P$75,'310'!$P$77,'310'!$P$79,'310'!$P$81,'310'!$P$83:$P$85,'310'!$P$87:$P$88,'310'!$P$90:$P$94,'310'!$P$96,'310'!$P$98:$P$106,'310'!$P$108,'310'!$P$110,'310'!$P$112,'310'!$P$114</definedName>
    <definedName name="OSRRefP22x_0" localSheetId="75">'310 &amp; 491'!$P$41:$P$50,'310 &amp; 491'!$P$52:$P$61,'310 &amp; 491'!$P$63,'310 &amp; 491'!$P$65,'310 &amp; 491'!$P$67,'310 &amp; 491'!$P$69:$P$72,'310 &amp; 491'!$P$74,'310 &amp; 491'!$P$76,'310 &amp; 491'!$P$78,'310 &amp; 491'!$P$80,'310 &amp; 491'!$P$82,'310 &amp; 491'!$P$84:$P$85,'310 &amp; 491'!$P$87,'310 &amp; 491'!$P$89,'310 &amp; 491'!$P$91,'310 &amp; 491'!$P$93,'310 &amp; 491'!$P$95,'310 &amp; 491'!$P$97:$P$100,'310 &amp; 491'!$P$102:$P$105,'310 &amp; 491'!$P$107:$P$112,'310 &amp; 491'!$P$114:$P$115,'310 &amp; 491'!$P$117:$P$126,'310 &amp; 491'!$P$128:$P$129,'310 &amp; 491'!$P$131,'310 &amp; 491'!$P$133:$P$135,'310 &amp; 491'!$P$137</definedName>
    <definedName name="OSRRefP22x_0" localSheetId="56">'311'!$P$65:$P$74,'311'!$P$76:$P$85,'311'!$P$87,'311'!$P$89:$P$90,'311'!$P$92,'311'!$P$94,'311'!$P$96:$P$97,'311'!$P$99,'311'!$P$101,'311'!$P$103:$P$105,'311'!$P$107,'311'!$P$109:$P$111,'311'!$P$113:$P$114,'311'!$P$116,'311'!$P$118:$P$119</definedName>
    <definedName name="OSRRefP22x_0" localSheetId="68">'313'!$P$30:$P$38,'313'!$P$40:$P$49,'313'!$P$51,'313'!$P$53,'313'!$P$55,'313'!$P$57,'313'!$P$59,'313'!$P$61,'313'!$P$63,'313'!$P$65,'313'!$P$67:$P$69,'313'!$P$71,'313'!$P$73:$P$77,'313'!$P$79,'313'!$P$81</definedName>
    <definedName name="OSRRefP22x_0" localSheetId="54">'314'!$P$58:$P$66,'314'!$P$68:$P$77,'314'!$P$79,'314'!$P$81:$P$82,'314'!$P$84,'314'!$P$86,'314'!$P$88,'314'!$P$90,'314'!$P$92,'314'!$P$94,'314'!$P$96</definedName>
    <definedName name="OSRRefP22x_0" localSheetId="59">'315'!$P$58:$P$66,'315'!$P$68:$P$77,'315'!$P$79,'315'!$P$81:$P$82,'315'!$P$84,'315'!$P$86:$P$87,'315'!$P$89,'315'!$P$91,'315'!$P$93,'315'!$P$95,'315'!$P$97:$P$99,'315'!$P$101:$P$102,'315'!$P$104:$P$108,'315'!$P$110,'315'!$P$112,'315'!$P$114:$P$115</definedName>
    <definedName name="OSRRefP22x_0" localSheetId="62">'316'!$P$35:$P$43,'316'!$P$45:$P$54,'316'!$P$56,'316'!$P$58,'316'!$P$60,'316'!$P$62,'316'!$P$64,'316'!$P$66,'316'!$P$68,'316'!$P$70:$P$71,'316'!$P$73:$P$74,'316'!$P$76:$P$80,'316'!$P$82:$P$83,'316'!$P$85</definedName>
    <definedName name="OSRRefP22x_0" localSheetId="65">'317'!$P$60:$P$69,'317'!$P$71:$P$80,'317'!$P$82,'317'!$P$84,'317'!$P$86,'317'!$P$88,'317'!$P$90,'317'!$P$92,'317'!$P$94,'317'!$P$96:$P$97,'317'!$P$99:$P$100,'317'!$P$102,'317'!$P$104</definedName>
    <definedName name="OSRRefP22x_0" localSheetId="63">'320'!$P$31:$P$38,'320'!$P$40:$P$49,'320'!$P$51,'320'!$P$53,'320'!$P$55:$P$56,'320'!$P$58,'320'!$P$60,'320'!$P$62:$P$63,'320'!$P$65</definedName>
    <definedName name="OSRRefP22x_0" localSheetId="69">'321'!$P$26:$P$33,'321'!$P$35:$P$44,'321'!$P$46,'321'!$P$48,'321'!$P$50,'321'!$P$52,'321'!$P$54,'321'!$P$56,'321'!$P$58,'321'!$P$60:$P$62,'321'!$P$64:$P$65,'321'!$P$67:$P$69,'321'!$P$71:$P$73,'321'!$P$75,'321'!$P$77</definedName>
    <definedName name="OSRRefP22x_0" localSheetId="70">'322'!$P$26:$P$34,'322'!$P$36:$P$45,'322'!$P$47,'322'!$P$49,'322'!$P$51,'322'!$P$53:$P$54,'322'!$P$56,'322'!$P$58,'322'!$P$60,'322'!$P$62:$P$64,'322'!$P$66:$P$68,'322'!$P$70:$P$75,'322'!$P$77,'322'!$P$79</definedName>
    <definedName name="OSRRefP22x_0" localSheetId="71">'325'!$P$26:$P$34,'325'!$P$36:$P$45,'325'!$P$47,'325'!$P$49,'325'!$P$51,'325'!$P$53:$P$55,'325'!$P$57,'325'!$P$59,'325'!$P$61,'325'!$P$63,'325'!$P$65,'325'!$P$67:$P$69,'325'!$P$71:$P$74,'325'!$P$76,'325'!$P$78:$P$84,'325'!$P$86,'325'!$P$88,'325'!$P$90,'325'!$P$92</definedName>
    <definedName name="OSRRefP22x_0" localSheetId="60">'326'!$P$57:$P$65,'326'!$P$67:$P$76,'326'!$P$78,'326'!$P$80:$P$81,'326'!$P$83,'326'!$P$85,'326'!$P$87,'326'!$P$89,'326'!$P$91,'326'!$P$93,'326'!$P$95,'326'!$P$97,'326'!$P$99,'326'!$P$101:$P$102,'326'!$P$104:$P$106,'326'!$P$108:$P$109,'326'!$P$111:$P$116,'326'!$P$118:$P$119,'326'!$P$121,'326'!$P$123,'326'!$P$125</definedName>
    <definedName name="OSRRefP22x_0" localSheetId="72">'327'!$P$24,'327'!$P$26,'327'!$P$28</definedName>
    <definedName name="OSRRefP22x_0" localSheetId="52">'330'!$P$86:$P$94,'330'!$P$96:$P$105,'330'!$P$107,'330'!$P$109,'330'!$P$111:$P$112,'330'!$P$114,'330'!$P$116,'330'!$P$118,'330'!$P$120,'330'!$P$122:$P$123,'330'!$P$125:$P$126,'330'!$P$128,'330'!$P$130:$P$132,'330'!$P$134,'330'!$P$136,'330'!$P$138</definedName>
    <definedName name="OSRRefP22x_0" localSheetId="58">'331'!$P$73:$P$81,'331'!$P$83:$P$92,'331'!$P$94,'331'!$P$96:$P$97,'331'!$P$99,'331'!$P$101:$P$102,'331'!$P$104,'331'!$P$106,'331'!$P$108:$P$109,'331'!$P$111,'331'!$P$113,'331'!$P$115,'331'!$P$117,'331'!$P$119,'331'!$P$121:$P$122,'331'!$P$124:$P$126,'331'!$P$128:$P$130,'331'!$P$132:$P$133,'331'!$P$135:$P$140,'331'!$P$142:$P$143,'331'!$P$145,'331'!$P$147:$P$148,'331'!$P$150</definedName>
    <definedName name="OSRRefP22x_0" localSheetId="61">'332'!$P$44:$P$52,'332'!$P$54:$P$63,'332'!$P$65,'332'!$P$67,'332'!$P$69,'332'!$P$71,'332'!$P$73,'332'!$P$75:$P$76,'332'!$P$78,'332'!$P$80,'332'!$P$82:$P$83,'332'!$P$85:$P$86,'332'!$P$88:$P$92,'332'!$P$94:$P$95,'332'!$P$97</definedName>
    <definedName name="OSRRefP22x_0" localSheetId="77">'405'!$P$26:$P$34,'405'!$P$36:$P$45,'405'!$P$47,'405'!$P$49,'405'!$P$51,'405'!$P$53:$P$55,'405'!$P$57,'405'!$P$59,'405'!$P$61,'405'!$P$63,'405'!$P$65,'405'!$P$67:$P$69,'405'!$P$71,'405'!$P$73:$P$75,'405'!$P$77:$P$78,'405'!$P$80:$P$88,'405'!$P$90,'405'!$P$92,'405'!$P$94,'405'!$P$96</definedName>
    <definedName name="OSRRefP22x_0" localSheetId="78">'406'!$P$27:$P$35,'406'!$P$37:$P$46,'406'!$P$48,'406'!$P$50,'406'!$P$52,'406'!$P$54:$P$55,'406'!$P$57,'406'!$P$59,'406'!$P$61,'406'!$P$63:$P$65,'406'!$P$67:$P$69,'406'!$P$71:$P$76,'406'!$P$78:$P$79,'406'!$P$81,'406'!$P$83</definedName>
    <definedName name="OSRRefP22x_0" localSheetId="79">'411'!$P$20:$P$29,'411'!$P$31:$P$40,'411'!$P$42,'411'!$P$44:$P$47,'411'!$P$49,'411'!$P$51,'411'!$P$53,'411'!$P$55,'411'!$P$57,'411'!$P$59,'411'!$P$61:$P$63,'411'!$P$65:$P$69,'411'!$P$71,'411'!$P$73:$P$80,'411'!$P$82,'411'!$P$84,'411'!$P$86:$P$88,'411'!$P$90</definedName>
    <definedName name="OSRRefP22x_0" localSheetId="80">'412'!$P$26:$P$34,'412'!$P$36:$P$45,'412'!$P$47,'412'!$P$49,'412'!$P$51,'412'!$P$53:$P$55,'412'!$P$57,'412'!$P$59,'412'!$P$61,'412'!$P$63:$P$64,'412'!$P$66,'412'!$P$68:$P$70,'412'!$P$72:$P$77,'412'!$P$79,'412'!$P$81,'412'!$P$83</definedName>
    <definedName name="OSRRefP22x_0" localSheetId="82">'413'!$P$27:$P$35,'413'!$P$37:$P$46,'413'!$P$48,'413'!$P$50,'413'!$P$52,'413'!$P$54,'413'!$P$56,'413'!$P$58,'413'!$P$60:$P$62,'413'!$P$64:$P$65,'413'!$P$67:$P$73,'413'!$P$75:$P$76,'413'!$P$78</definedName>
    <definedName name="OSRRefP22x_0" localSheetId="83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4">'415'!$P$26:$P$34,'415'!$P$36:$P$45,'415'!$P$47,'415'!$P$49,'415'!$P$51,'415'!$P$53:$P$55,'415'!$P$57,'415'!$P$59,'415'!$P$61,'415'!$P$63,'415'!$P$65,'415'!$P$67:$P$70,'415'!$P$72:$P$76,'415'!$P$78:$P$79,'415'!$P$81:$P$89,'415'!$P$91,'415'!$P$93,'415'!$P$95:$P$96,'415'!$P$98</definedName>
    <definedName name="OSRRefP22x_0" localSheetId="85">'418'!$P$27:$P$35,'418'!$P$37:$P$46,'418'!$P$48,'418'!$P$50,'418'!$P$52,'418'!$P$54:$P$56,'418'!$P$58,'418'!$P$60,'418'!$P$62,'418'!$P$64,'418'!$P$66:$P$67,'418'!$P$69:$P$71,'418'!$P$73:$P$75,'418'!$P$77:$P$78,'418'!$P$80:$P$86,'418'!$P$88,'418'!$P$90,'418'!$P$92</definedName>
    <definedName name="OSRRefP22x_0" localSheetId="81">'420'!$P$23:$P$30,'420'!$P$32:$P$35,'420'!$P$37,'420'!$P$39,'420'!$P$41,'420'!$P$43:$P$44,'420'!$P$46</definedName>
    <definedName name="OSRRefP22x_0" localSheetId="86">'423'!$P$21:$P$29,'423'!$P$31:$P$40,'423'!$P$42,'423'!$P$44,'423'!$P$46,'423'!$P$48</definedName>
    <definedName name="OSRRefP22x_0" localSheetId="87">'424'!$P$27:$P$34,'424'!$P$36:$P$45,'424'!$P$47,'424'!$P$49,'424'!$P$51,'424'!$P$53,'424'!$P$55,'424'!$P$57:$P$58,'424'!$P$60:$P$62,'424'!$P$64,'424'!$P$66:$P$70,'424'!$P$72:$P$73</definedName>
    <definedName name="OSRRefP22x_0" localSheetId="88">'425'!$P$29:$P$38,'425'!$P$40:$P$49,'425'!$P$51,'425'!$P$53,'425'!$P$55,'425'!$P$57:$P$58,'425'!$P$60,'425'!$P$62,'425'!$P$64,'425'!$P$66:$P$68,'425'!$P$70:$P$71,'425'!$P$73:$P$74,'425'!$P$76,'425'!$P$78:$P$84,'425'!$P$86:$P$87,'425'!$P$89,'425'!$P$91</definedName>
    <definedName name="OSRRefP22x_0" localSheetId="91">'430'!$P$20:$P$28,'430'!$P$30:$P$39,'430'!$P$41,'430'!$P$43,'430'!$P$45,'430'!$P$47,'430'!$P$49,'430'!$P$51:$P$53,'430'!$P$55,'430'!$P$57,'430'!$P$59</definedName>
    <definedName name="OSRRefP22x_0" localSheetId="92">'433'!$P$27:$P$36,'433'!$P$38:$P$47,'433'!$P$49,'433'!$P$51,'433'!$P$53,'433'!$P$55,'433'!$P$57,'433'!$P$59,'433'!$P$61,'433'!$P$63,'433'!$P$65:$P$67,'433'!$P$69:$P$72,'433'!$P$74:$P$81,'433'!$P$83,'433'!$P$85,'433'!$P$87:$P$88</definedName>
    <definedName name="OSRRefP22x_0" localSheetId="93">'435'!$P$27:$P$34,'435'!$P$36:$P$45,'435'!$P$47,'435'!$P$49,'435'!$P$51,'435'!$P$53,'435'!$P$55,'435'!$P$57:$P$59,'435'!$P$61</definedName>
    <definedName name="OSRRefP22x_0" localSheetId="94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5">'450'!$P$27:$P$36,'450'!$P$38:$P$47,'450'!$P$49,'450'!$P$51:$P$52,'450'!$P$54,'450'!$P$56,'450'!$P$58,'450'!$P$60,'450'!$P$62,'450'!$P$64,'450'!$P$66,'450'!$P$68:$P$71,'450'!$P$73:$P$75,'450'!$P$77:$P$82,'450'!$P$84,'450'!$P$86,'450'!$P$88:$P$89</definedName>
    <definedName name="OSRRefP22x_0" localSheetId="89">'455'!$P$20:$P$27,'455'!$P$29:$P$38</definedName>
    <definedName name="OSRRefP22x_0" localSheetId="76">'491'!$P$35:$P$44,'491'!$P$46:$P$55,'491'!$P$57,'491'!$P$59,'491'!$P$61,'491'!$P$63:$P$66,'491'!$P$68,'491'!$P$70,'491'!$P$72,'491'!$P$74,'491'!$P$76:$P$77,'491'!$P$79,'491'!$P$81,'491'!$P$83,'491'!$P$85,'491'!$P$87:$P$90,'491'!$P$92:$P$95,'491'!$P$97:$P$101,'491'!$P$103:$P$104,'491'!$P$106:$P$115,'491'!$P$117:$P$118,'491'!$P$120,'491'!$P$122:$P$124,'491'!$P$126</definedName>
    <definedName name="OSRRefP22x_0" localSheetId="90">'492'!$P$29:$P$38,'492'!$P$40:$P$49,'492'!$P$51,'492'!$P$53:$P$54,'492'!$P$56,'492'!$P$58:$P$59,'492'!$P$61,'492'!$P$63,'492'!$P$65,'492'!$P$67,'492'!$P$69,'492'!$P$71,'492'!$P$73:$P$76,'492'!$P$78:$P$81,'492'!$P$83:$P$91,'492'!$P$93,'492'!$P$95,'492'!$P$97:$P$98</definedName>
    <definedName name="OSRRefP22x_0" localSheetId="97">'501'!$P$21:$P$29,'501'!$P$31:$P$40,'501'!$P$42,'501'!$P$44,'501'!$P$46,'501'!$P$48,'501'!$P$50,'501'!$P$52,'501'!$P$54,'501'!$P$56,'501'!$P$58:$P$61,'501'!$P$63,'501'!$P$65:$P$67,'501'!$P$69,'501'!$P$71</definedName>
    <definedName name="OSRRefP22x_0" localSheetId="39">'Div 2'!$P$21:$P$31,'Div 2'!$P$33:$P$42,'Div 2'!$P$44,'Div 2'!$P$46,'Div 2'!$P$48,'Div 2'!$P$50:$P$51,'Div 2'!$P$53:$P$54,'Div 2'!$P$56,'Div 2'!$P$58,'Div 2'!$P$60,'Div 2'!$P$62,'Div 2'!$P$64,'Div 2'!$P$66:$P$68,'Div 2'!$P$70:$P$73,'Div 2'!$P$75:$P$78,'Div 2'!$P$80:$P$81,'Div 2'!$P$83:$P$84,'Div 2'!$P$86:$P$90,'Div 2'!$P$92:$P$93,'Div 2'!$P$95,'Div 2'!$P$97:$P$98</definedName>
    <definedName name="OSRRefP22x_0" localSheetId="47">'Div 3'!$P$171:$P$180,'Div 3'!$P$182:$P$191,'Div 3'!$P$193,'Div 3'!$P$195:$P$196,'Div 3'!$P$198,'Div 3'!$P$200:$P$203,'Div 3'!$P$205:$P$206,'Div 3'!$P$208:$P$209,'Div 3'!$P$211,'Div 3'!$P$213,'Div 3'!$P$215:$P$216,'Div 3'!$P$218,'Div 3'!$P$220,'Div 3'!$P$222,'Div 3'!$P$224,'Div 3'!$P$226,'Div 3'!$P$228,'Div 3'!$P$230,'Div 3'!$P$232:$P$235,'Div 3'!$P$237:$P$240,'Div 3'!$P$242:$P$247,'Div 3'!$P$249:$P$250,'Div 3'!$P$252:$P$260,'Div 3'!$P$262:$P$263,'Div 3'!$P$265,'Div 3'!$P$267:$P$269,'Div 3'!$P$271</definedName>
    <definedName name="OSRRefP22x_0" localSheetId="74">'Div 4'!$P$35:$P$44,'Div 4'!$P$46:$P$55,'Div 4'!$P$57,'Div 4'!$P$59:$P$60,'Div 4'!$P$62,'Div 4'!$P$64:$P$67,'Div 4'!$P$69,'Div 4'!$P$71:$P$72,'Div 4'!$P$74,'Div 4'!$P$76,'Div 4'!$P$78,'Div 4'!$P$80:$P$81,'Div 4'!$P$83,'Div 4'!$P$85,'Div 4'!$P$87,'Div 4'!$P$89,'Div 4'!$P$91,'Div 4'!$P$93:$P$96,'Div 4'!$P$98:$P$101,'Div 4'!$P$103:$P$107,'Div 4'!$P$109:$P$110,'Div 4'!$P$112:$P$121,'Div 4'!$P$123:$P$124,'Div 4'!$P$126,'Div 4'!$P$128:$P$130,'Div 4'!$P$132</definedName>
    <definedName name="OSRRefP22x_0" localSheetId="96">'Div 5'!$P$21:$P$29,'Div 5'!$P$31:$P$40,'Div 5'!$P$42,'Div 5'!$P$44,'Div 5'!$P$46,'Div 5'!$P$48,'Div 5'!$P$50,'Div 5'!$P$52,'Div 5'!$P$54,'Div 5'!$P$56,'Div 5'!$P$58:$P$61,'Div 5'!$P$63,'Div 5'!$P$65:$P$67,'Div 5'!$P$69,'Div 5'!$P$71</definedName>
    <definedName name="OSRRefP22x_0" localSheetId="64">'Div 6'!$P$60:$P$69,'Div 6'!$P$71:$P$80,'Div 6'!$P$82,'Div 6'!$P$84,'Div 6'!$P$86,'Div 6'!$P$88,'Div 6'!$P$90,'Div 6'!$P$92,'Div 6'!$P$94,'Div 6'!$P$96:$P$97,'Div 6'!$P$99:$P$100,'Div 6'!$P$102,'Div 6'!$P$104</definedName>
    <definedName name="OSRRefP22x_0" localSheetId="2">Summary!$P$203:$P$212,Summary!$P$214:$P$223,Summary!$P$225,Summary!$P$227:$P$228,Summary!$P$230,Summary!$P$232:$P$235,Summary!$P$237:$P$238,Summary!$P$240:$P$242,Summary!$P$244,Summary!$P$246,Summary!$P$248:$P$249,Summary!$P$251:$P$252,Summary!$P$254,Summary!$P$256,Summary!$P$258,Summary!$P$260,Summary!$P$262,Summary!$P$264,Summary!$P$266:$P$269,Summary!$P$271:$P$274,Summary!$P$276:$P$281,Summary!$P$283:$P$284,Summary!$P$286:$P$295,Summary!$P$297:$P$298,Summary!$P$300,Summary!$P$302:$P$304,Summary!$P$306</definedName>
    <definedName name="OSRRefP25x_0" localSheetId="48">'300'!$P$261:$P$269</definedName>
    <definedName name="OSRRefP25x_0" localSheetId="49">'300 &amp; 317'!$P$286:$P$297</definedName>
    <definedName name="OSRRefP25x_0" localSheetId="50">'301'!$P$103:$P$106</definedName>
    <definedName name="OSRRefP25x_0" localSheetId="53">'307'!$P$128</definedName>
    <definedName name="OSRRefP25x_0" localSheetId="55">'308'!$P$122:$P$125</definedName>
    <definedName name="OSRRefP25x_0" localSheetId="75">'310 &amp; 491'!$P$140:$P$143</definedName>
    <definedName name="OSRRefP25x_0" localSheetId="56">'311'!$P$122:$P$125</definedName>
    <definedName name="OSRRefP25x_0" localSheetId="59">'315'!$P$118:$P$120</definedName>
    <definedName name="OSRRefP25x_0" localSheetId="62">'316'!$P$88:$P$89</definedName>
    <definedName name="OSRRefP25x_0" localSheetId="65">'317'!$P$107:$P$110</definedName>
    <definedName name="OSRRefP25x_0" localSheetId="63">'320'!$P$68:$P$72</definedName>
    <definedName name="OSRRefP25x_0" localSheetId="52">'330'!$P$141</definedName>
    <definedName name="OSRRefP25x_0" localSheetId="58">'331'!$P$153:$P$155</definedName>
    <definedName name="OSRRefP25x_0" localSheetId="61">'332'!$P$100:$P$106</definedName>
    <definedName name="OSRRefP25x_0" localSheetId="79">'411'!$P$93:$P$94</definedName>
    <definedName name="OSRRefP25x_0" localSheetId="82">'413'!$P$81</definedName>
    <definedName name="OSRRefP25x_0" localSheetId="84">'415'!$P$101</definedName>
    <definedName name="OSRRefP25x_0" localSheetId="86">'423'!$P$51</definedName>
    <definedName name="OSRRefP25x_0" localSheetId="87">'424'!$P$76</definedName>
    <definedName name="OSRRefP25x_0" localSheetId="88">'425'!$P$94</definedName>
    <definedName name="OSRRefP25x_0" localSheetId="89">'455'!$P$41:$P$44</definedName>
    <definedName name="OSRRefP25x_0" localSheetId="76">'491'!$P$129:$P$132</definedName>
    <definedName name="OSRRefP25x_0" localSheetId="97">'501'!$P$74</definedName>
    <definedName name="OSRRefP25x_0" localSheetId="47">'Div 3'!$P$274:$P$282</definedName>
    <definedName name="OSRRefP25x_0" localSheetId="74">'Div 4'!$P$135:$P$138</definedName>
    <definedName name="OSRRefP25x_0" localSheetId="96">'Div 5'!$P$74</definedName>
    <definedName name="OSRRefP25x_0" localSheetId="64">'Div 6'!$P$107:$P$110</definedName>
    <definedName name="OSRRefP25x_0" localSheetId="2">Summary!$P$309:$P$321</definedName>
    <definedName name="OSRRefT13x_0" localSheetId="44">'204'!$T$13</definedName>
    <definedName name="OSRRefT13x_0" localSheetId="48">'300'!$T$13:$T$107</definedName>
    <definedName name="OSRRefT13x_0" localSheetId="49">'300 &amp; 317'!$T$13:$T$125</definedName>
    <definedName name="OSRRefT13x_0" localSheetId="53">'307'!$T$13:$T$50</definedName>
    <definedName name="OSRRefT13x_0" localSheetId="55">'308'!$T$13:$T$40</definedName>
    <definedName name="OSRRefT13x_0" localSheetId="67">'309'!$T$13:$T$15</definedName>
    <definedName name="OSRRefT13x_0" localSheetId="66">'310'!$T$13:$T$23</definedName>
    <definedName name="OSRRefT13x_0" localSheetId="75">'310 &amp; 491'!$T$13:$T$30</definedName>
    <definedName name="OSRRefT13x_0" localSheetId="56">'311'!$T$13:$T$40</definedName>
    <definedName name="OSRRefT13x_0" localSheetId="68">'313'!$T$13:$T$19</definedName>
    <definedName name="OSRRefT13x_0" localSheetId="54">'314'!$T$13:$T$34</definedName>
    <definedName name="OSRRefT13x_0" localSheetId="59">'315'!$T$13:$T$34</definedName>
    <definedName name="OSRRefT13x_0" localSheetId="62">'316'!$T$13:$T$27</definedName>
    <definedName name="OSRRefT13x_0" localSheetId="65">'317'!$T$13:$T$38</definedName>
    <definedName name="OSRRefT13x_0" localSheetId="63">'320'!$T$13:$T$17</definedName>
    <definedName name="OSRRefT13x_0" localSheetId="69">'321'!$T$13:$T$15</definedName>
    <definedName name="OSRRefT13x_0" localSheetId="70">'322'!$T$13:$T$15</definedName>
    <definedName name="OSRRefT13x_0" localSheetId="57">'324'!$T$13:$T$15</definedName>
    <definedName name="OSRRefT13x_0" localSheetId="71">'325'!$T$13:$T$15</definedName>
    <definedName name="OSRRefT13x_0" localSheetId="60">'326'!$T$13:$T$33</definedName>
    <definedName name="OSRRefT13x_0" localSheetId="72">'327'!$T$13:$T$14</definedName>
    <definedName name="OSRRefT13x_0" localSheetId="52">'330'!$T$13:$T$54</definedName>
    <definedName name="OSRRefT13x_0" localSheetId="58">'331'!$T$13:$T$42</definedName>
    <definedName name="OSRRefT13x_0" localSheetId="61">'332'!$T$13:$T$30</definedName>
    <definedName name="OSRRefT13x_0" localSheetId="77">'405'!$T$13:$T$15</definedName>
    <definedName name="OSRRefT13x_0" localSheetId="78">'406'!$T$13:$T$16</definedName>
    <definedName name="OSRRefT13x_0" localSheetId="80">'412'!$T$13:$T$16</definedName>
    <definedName name="OSRRefT13x_0" localSheetId="82">'413'!$T$13:$T$16</definedName>
    <definedName name="OSRRefT13x_0" localSheetId="83">'414'!$T$13:$T$16</definedName>
    <definedName name="OSRRefT13x_0" localSheetId="84">'415'!$T$13:$T$15</definedName>
    <definedName name="OSRRefT13x_0" localSheetId="85">'418'!$T$13:$T$16</definedName>
    <definedName name="OSRRefT13x_0" localSheetId="81">'420'!$T$13:$T$14</definedName>
    <definedName name="OSRRefT13x_0" localSheetId="87">'424'!$T$13:$T$16</definedName>
    <definedName name="OSRRefT13x_0" localSheetId="88">'425'!$T$13:$T$18</definedName>
    <definedName name="OSRRefT13x_0" localSheetId="92">'433'!$T$13:$T$16</definedName>
    <definedName name="OSRRefT13x_0" localSheetId="93">'435'!$T$13:$T$16</definedName>
    <definedName name="OSRRefT13x_0" localSheetId="94">'444'!$T$13:$T$16</definedName>
    <definedName name="OSRRefT13x_0" localSheetId="95">'450'!$T$13:$T$16</definedName>
    <definedName name="OSRRefT13x_0" localSheetId="76">'491'!$T$13:$T$24</definedName>
    <definedName name="OSRRefT13x_0" localSheetId="90">'492'!$T$13:$T$18</definedName>
    <definedName name="OSRRefT13x_0" localSheetId="97">'501'!$T$13</definedName>
    <definedName name="OSRRefT13x_0" localSheetId="39">'Div 2'!$T$13</definedName>
    <definedName name="OSRRefT13x_0" localSheetId="47">'Div 3'!$T$13:$T$110</definedName>
    <definedName name="OSRRefT13x_0" localSheetId="74">'Div 4'!$T$13:$T$24</definedName>
    <definedName name="OSRRefT13x_0" localSheetId="96">'Div 5'!$T$13</definedName>
    <definedName name="OSRRefT13x_0" localSheetId="64">'Div 6'!$T$13:$T$38</definedName>
    <definedName name="OSRRefT13x_0" localSheetId="2">Summary!$T$13:$T$135</definedName>
    <definedName name="OSRRefT16x_0" localSheetId="48">'300'!$T$110:$T$160</definedName>
    <definedName name="OSRRefT16x_0" localSheetId="49">'300 &amp; 317'!$T$128:$T$185</definedName>
    <definedName name="OSRRefT16x_0" localSheetId="53">'307'!$T$53:$T$73</definedName>
    <definedName name="OSRRefT16x_0" localSheetId="55">'308'!$T$43:$T$59</definedName>
    <definedName name="OSRRefT16x_0" localSheetId="67">'309'!$T$18:$T$20</definedName>
    <definedName name="OSRRefT16x_0" localSheetId="66">'310'!$T$26:$T$28</definedName>
    <definedName name="OSRRefT16x_0" localSheetId="75">'310 &amp; 491'!$T$33:$T$35</definedName>
    <definedName name="OSRRefT16x_0" localSheetId="56">'311'!$T$43:$T$59</definedName>
    <definedName name="OSRRefT16x_0" localSheetId="68">'313'!$T$22:$T$24</definedName>
    <definedName name="OSRRefT16x_0" localSheetId="54">'314'!$T$37:$T$52</definedName>
    <definedName name="OSRRefT16x_0" localSheetId="59">'315'!$T$37:$T$52</definedName>
    <definedName name="OSRRefT16x_0" localSheetId="65">'317'!$T$41:$T$54</definedName>
    <definedName name="OSRRefT16x_0" localSheetId="63">'320'!$T$20:$T$25</definedName>
    <definedName name="OSRRefT16x_0" localSheetId="69">'321'!$T$18:$T$20</definedName>
    <definedName name="OSRRefT16x_0" localSheetId="70">'322'!$T$18:$T$20</definedName>
    <definedName name="OSRRefT16x_0" localSheetId="57">'324'!$T$18:$T$20</definedName>
    <definedName name="OSRRefT16x_0" localSheetId="71">'325'!$T$18:$T$20</definedName>
    <definedName name="OSRRefT16x_0" localSheetId="60">'326'!$T$36:$T$51</definedName>
    <definedName name="OSRRefT16x_0" localSheetId="72">'327'!$T$17:$T$18</definedName>
    <definedName name="OSRRefT16x_0" localSheetId="52">'330'!$T$57:$T$80</definedName>
    <definedName name="OSRRefT16x_0" localSheetId="58">'331'!$T$45:$T$67</definedName>
    <definedName name="OSRRefT16x_0" localSheetId="61">'332'!$T$33:$T$38</definedName>
    <definedName name="OSRRefT16x_0" localSheetId="77">'405'!$T$18:$T$20</definedName>
    <definedName name="OSRRefT16x_0" localSheetId="78">'406'!$T$19:$T$21</definedName>
    <definedName name="OSRRefT16x_0" localSheetId="80">'412'!$T$19:$T$20</definedName>
    <definedName name="OSRRefT16x_0" localSheetId="82">'413'!$T$19:$T$21</definedName>
    <definedName name="OSRRefT16x_0" localSheetId="83">'414'!$T$19:$T$21</definedName>
    <definedName name="OSRRefT16x_0" localSheetId="84">'415'!$T$18:$T$20</definedName>
    <definedName name="OSRRefT16x_0" localSheetId="85">'418'!$T$19:$T$21</definedName>
    <definedName name="OSRRefT16x_0" localSheetId="81">'420'!$T$17</definedName>
    <definedName name="OSRRefT16x_0" localSheetId="86">'423'!$T$15</definedName>
    <definedName name="OSRRefT16x_0" localSheetId="87">'424'!$T$19:$T$21</definedName>
    <definedName name="OSRRefT16x_0" localSheetId="88">'425'!$T$21:$T$23</definedName>
    <definedName name="OSRRefT16x_0" localSheetId="92">'433'!$T$19:$T$21</definedName>
    <definedName name="OSRRefT16x_0" localSheetId="93">'435'!$T$19:$T$21</definedName>
    <definedName name="OSRRefT16x_0" localSheetId="94">'444'!$T$19:$T$21</definedName>
    <definedName name="OSRRefT16x_0" localSheetId="95">'450'!$T$19:$T$21</definedName>
    <definedName name="OSRRefT16x_0" localSheetId="76">'491'!$T$27:$T$29</definedName>
    <definedName name="OSRRefT16x_0" localSheetId="90">'492'!$T$21:$T$23</definedName>
    <definedName name="OSRRefT16x_0" localSheetId="47">'Div 3'!$T$113:$T$165</definedName>
    <definedName name="OSRRefT16x_0" localSheetId="74">'Div 4'!$T$27:$T$29</definedName>
    <definedName name="OSRRefT16x_0" localSheetId="64">'Div 6'!$T$41:$T$54</definedName>
    <definedName name="OSRRefT16x_0" localSheetId="2">Summary!$T$138:$T$197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'204'!$T$21:$T$30</definedName>
    <definedName name="OSRRefT22_0x_0" localSheetId="45">'205'!$T$20:$T$28</definedName>
    <definedName name="OSRRefT22_0x_0" localSheetId="46">'206'!$T$20:$T$28</definedName>
    <definedName name="OSRRefT22_0x_0" localSheetId="48">'300'!$T$166:$T$175</definedName>
    <definedName name="OSRRefT22_0x_0" localSheetId="49">'300 &amp; 317'!$T$191:$T$200</definedName>
    <definedName name="OSRRefT22_0x_0" localSheetId="50">'301'!$T$20:$T$28</definedName>
    <definedName name="OSRRefT22_0x_0" localSheetId="51">'306'!$T$20:$T$28</definedName>
    <definedName name="OSRRefT22_0x_0" localSheetId="53">'307'!$T$79:$T$87</definedName>
    <definedName name="OSRRefT22_0x_0" localSheetId="55">'308'!$T$65:$T$74</definedName>
    <definedName name="OSRRefT22_0x_0" localSheetId="67">'309'!$T$26:$T$34</definedName>
    <definedName name="OSRRefT22_0x_0" localSheetId="66">'310'!$T$34:$T$42</definedName>
    <definedName name="OSRRefT22_0x_0" localSheetId="75">'310 &amp; 491'!$T$41:$T$50</definedName>
    <definedName name="OSRRefT22_0x_0" localSheetId="56">'311'!$T$65:$T$74</definedName>
    <definedName name="OSRRefT22_0x_0" localSheetId="68">'313'!$T$30:$T$38</definedName>
    <definedName name="OSRRefT22_0x_0" localSheetId="54">'314'!$T$58:$T$66</definedName>
    <definedName name="OSRRefT22_0x_0" localSheetId="59">'315'!$T$58:$T$66</definedName>
    <definedName name="OSRRefT22_0x_0" localSheetId="62">'316'!$T$35:$T$43</definedName>
    <definedName name="OSRRefT22_0x_0" localSheetId="65">'317'!$T$60:$T$69</definedName>
    <definedName name="OSRRefT22_0x_0" localSheetId="63">'320'!$T$31:$T$38</definedName>
    <definedName name="OSRRefT22_0x_0" localSheetId="69">'321'!$T$26:$T$33</definedName>
    <definedName name="OSRRefT22_0x_0" localSheetId="70">'322'!$T$26:$T$34</definedName>
    <definedName name="OSRRefT22_0x_0" localSheetId="71">'325'!$T$26:$T$34</definedName>
    <definedName name="OSRRefT22_0x_0" localSheetId="60">'326'!$T$57:$T$65</definedName>
    <definedName name="OSRRefT22_0x_0" localSheetId="72">'327'!$T$24</definedName>
    <definedName name="OSRRefT22_0x_0" localSheetId="52">'330'!$T$86:$T$94</definedName>
    <definedName name="OSRRefT22_0x_0" localSheetId="58">'331'!$T$73:$T$81</definedName>
    <definedName name="OSRRefT22_0x_0" localSheetId="61">'332'!$T$44:$T$52</definedName>
    <definedName name="OSRRefT22_0x_0" localSheetId="77">'405'!$T$26:$T$34</definedName>
    <definedName name="OSRRefT22_0x_0" localSheetId="78">'406'!$T$27:$T$35</definedName>
    <definedName name="OSRRefT22_0x_0" localSheetId="79">'411'!$T$20:$T$29</definedName>
    <definedName name="OSRRefT22_0x_0" localSheetId="80">'412'!$T$26:$T$34</definedName>
    <definedName name="OSRRefT22_0x_0" localSheetId="82">'413'!$T$27:$T$35</definedName>
    <definedName name="OSRRefT22_0x_0" localSheetId="83">'414'!$T$27:$T$35</definedName>
    <definedName name="OSRRefT22_0x_0" localSheetId="84">'415'!$T$26:$T$34</definedName>
    <definedName name="OSRRefT22_0x_0" localSheetId="85">'418'!$T$27:$T$35</definedName>
    <definedName name="OSRRefT22_0x_0" localSheetId="81">'420'!$T$23:$T$30</definedName>
    <definedName name="OSRRefT22_0x_0" localSheetId="86">'423'!$T$21:$T$29</definedName>
    <definedName name="OSRRefT22_0x_0" localSheetId="87">'424'!$T$27:$T$34</definedName>
    <definedName name="OSRRefT22_0x_0" localSheetId="88">'425'!$T$29:$T$38</definedName>
    <definedName name="OSRRefT22_0x_0" localSheetId="91">'430'!$T$20:$T$28</definedName>
    <definedName name="OSRRefT22_0x_0" localSheetId="92">'433'!$T$27:$T$36</definedName>
    <definedName name="OSRRefT22_0x_0" localSheetId="93">'435'!$T$27:$T$34</definedName>
    <definedName name="OSRRefT22_0x_0" localSheetId="94">'444'!$T$27:$T$36</definedName>
    <definedName name="OSRRefT22_0x_0" localSheetId="95">'450'!$T$27:$T$36</definedName>
    <definedName name="OSRRefT22_0x_0" localSheetId="89">'455'!$T$20:$T$27</definedName>
    <definedName name="OSRRefT22_0x_0" localSheetId="76">'491'!$T$35:$T$44</definedName>
    <definedName name="OSRRefT22_0x_0" localSheetId="90">'492'!$T$29:$T$38</definedName>
    <definedName name="OSRRefT22_0x_0" localSheetId="97">'501'!$T$21:$T$29</definedName>
    <definedName name="OSRRefT22_0x_0" localSheetId="39">'Div 2'!$T$21:$T$31</definedName>
    <definedName name="OSRRefT22_0x_0" localSheetId="47">'Div 3'!$T$171:$T$180</definedName>
    <definedName name="OSRRefT22_0x_0" localSheetId="74">'Div 4'!$T$35:$T$44</definedName>
    <definedName name="OSRRefT22_0x_0" localSheetId="96">'Div 5'!$T$21:$T$29</definedName>
    <definedName name="OSRRefT22_0x_0" localSheetId="64">'Div 6'!$T$60:$T$69</definedName>
    <definedName name="OSRRefT22_0x_0" localSheetId="2">Summary!$T$203:$T$212</definedName>
    <definedName name="OSRRefT22_10x_0" localSheetId="41">'201'!$T$58:$T$60</definedName>
    <definedName name="OSRRefT22_10x_0" localSheetId="42">'202'!$T$59</definedName>
    <definedName name="OSRRefT22_10x_0" localSheetId="43">'203'!$T$59:$T$60</definedName>
    <definedName name="OSRRefT22_10x_0" localSheetId="44">'204'!$T$64:$T$65</definedName>
    <definedName name="OSRRefT22_10x_0" localSheetId="46">'206'!$T$58</definedName>
    <definedName name="OSRRefT22_10x_0" localSheetId="48">'300'!$T$210:$T$211</definedName>
    <definedName name="OSRRefT22_10x_0" localSheetId="49">'300 &amp; 317'!$T$235:$T$236</definedName>
    <definedName name="OSRRefT22_10x_0" localSheetId="50">'301'!$T$63</definedName>
    <definedName name="OSRRefT22_10x_0" localSheetId="51">'306'!$T$61</definedName>
    <definedName name="OSRRefT22_10x_0" localSheetId="53">'307'!$T$119:$T$121</definedName>
    <definedName name="OSRRefT22_10x_0" localSheetId="55">'308'!$T$107</definedName>
    <definedName name="OSRRefT22_10x_0" localSheetId="67">'309'!$T$65:$T$67</definedName>
    <definedName name="OSRRefT22_10x_0" localSheetId="66">'310'!$T$73</definedName>
    <definedName name="OSRRefT22_10x_0" localSheetId="75">'310 &amp; 491'!$T$82</definedName>
    <definedName name="OSRRefT22_10x_0" localSheetId="56">'311'!$T$107</definedName>
    <definedName name="OSRRefT22_10x_0" localSheetId="68">'313'!$T$67:$T$69</definedName>
    <definedName name="OSRRefT22_10x_0" localSheetId="54">'314'!$T$96</definedName>
    <definedName name="OSRRefT22_10x_0" localSheetId="59">'315'!$T$97:$T$99</definedName>
    <definedName name="OSRRefT22_10x_0" localSheetId="62">'316'!$T$73:$T$74</definedName>
    <definedName name="OSRRefT22_10x_0" localSheetId="65">'317'!$T$99:$T$100</definedName>
    <definedName name="OSRRefT22_10x_0" localSheetId="69">'321'!$T$64:$T$65</definedName>
    <definedName name="OSRRefT22_10x_0" localSheetId="70">'322'!$T$66:$T$68</definedName>
    <definedName name="OSRRefT22_10x_0" localSheetId="71">'325'!$T$65</definedName>
    <definedName name="OSRRefT22_10x_0" localSheetId="60">'326'!$T$95</definedName>
    <definedName name="OSRRefT22_10x_0" localSheetId="52">'330'!$T$125:$T$126</definedName>
    <definedName name="OSRRefT22_10x_0" localSheetId="58">'331'!$T$113</definedName>
    <definedName name="OSRRefT22_10x_0" localSheetId="61">'332'!$T$82:$T$83</definedName>
    <definedName name="OSRRefT22_10x_0" localSheetId="77">'405'!$T$65</definedName>
    <definedName name="OSRRefT22_10x_0" localSheetId="78">'406'!$T$67:$T$69</definedName>
    <definedName name="OSRRefT22_10x_0" localSheetId="79">'411'!$T$61:$T$63</definedName>
    <definedName name="OSRRefT22_10x_0" localSheetId="80">'412'!$T$66</definedName>
    <definedName name="OSRRefT22_10x_0" localSheetId="82">'413'!$T$67:$T$73</definedName>
    <definedName name="OSRRefT22_10x_0" localSheetId="83">'414'!$T$66</definedName>
    <definedName name="OSRRefT22_10x_0" localSheetId="84">'415'!$T$65</definedName>
    <definedName name="OSRRefT22_10x_0" localSheetId="85">'418'!$T$66:$T$67</definedName>
    <definedName name="OSRRefT22_10x_0" localSheetId="87">'424'!$T$66:$T$70</definedName>
    <definedName name="OSRRefT22_10x_0" localSheetId="88">'425'!$T$70:$T$71</definedName>
    <definedName name="OSRRefT22_10x_0" localSheetId="91">'430'!$T$59</definedName>
    <definedName name="OSRRefT22_10x_0" localSheetId="92">'433'!$T$65:$T$67</definedName>
    <definedName name="OSRRefT22_10x_0" localSheetId="94">'444'!$T$65</definedName>
    <definedName name="OSRRefT22_10x_0" localSheetId="95">'450'!$T$66</definedName>
    <definedName name="OSRRefT22_10x_0" localSheetId="76">'491'!$T$76:$T$77</definedName>
    <definedName name="OSRRefT22_10x_0" localSheetId="90">'492'!$T$69</definedName>
    <definedName name="OSRRefT22_10x_0" localSheetId="97">'501'!$T$58:$T$61</definedName>
    <definedName name="OSRRefT22_10x_0" localSheetId="39">'Div 2'!$T$62</definedName>
    <definedName name="OSRRefT22_10x_0" localSheetId="47">'Div 3'!$T$215:$T$216</definedName>
    <definedName name="OSRRefT22_10x_0" localSheetId="74">'Div 4'!$T$78</definedName>
    <definedName name="OSRRefT22_10x_0" localSheetId="96">'Div 5'!$T$58:$T$61</definedName>
    <definedName name="OSRRefT22_10x_0" localSheetId="64">'Div 6'!$T$99:$T$100</definedName>
    <definedName name="OSRRefT22_10x_0" localSheetId="2">Summary!$T$248:$T$249</definedName>
    <definedName name="OSRRefT22_11x_0" localSheetId="41">'201'!$T$62:$T$64</definedName>
    <definedName name="OSRRefT22_11x_0" localSheetId="42">'202'!$T$61:$T$63</definedName>
    <definedName name="OSRRefT22_11x_0" localSheetId="43">'203'!$T$62</definedName>
    <definedName name="OSRRefT22_11x_0" localSheetId="44">'204'!$T$67</definedName>
    <definedName name="OSRRefT22_11x_0" localSheetId="48">'300'!$T$213</definedName>
    <definedName name="OSRRefT22_11x_0" localSheetId="49">'300 &amp; 317'!$T$238</definedName>
    <definedName name="OSRRefT22_11x_0" localSheetId="50">'301'!$T$65</definedName>
    <definedName name="OSRRefT22_11x_0" localSheetId="53">'307'!$T$123</definedName>
    <definedName name="OSRRefT22_11x_0" localSheetId="55">'308'!$T$109:$T$111</definedName>
    <definedName name="OSRRefT22_11x_0" localSheetId="67">'309'!$T$69:$T$71</definedName>
    <definedName name="OSRRefT22_11x_0" localSheetId="66">'310'!$T$75</definedName>
    <definedName name="OSRRefT22_11x_0" localSheetId="75">'310 &amp; 491'!$T$84:$T$85</definedName>
    <definedName name="OSRRefT22_11x_0" localSheetId="56">'311'!$T$109:$T$111</definedName>
    <definedName name="OSRRefT22_11x_0" localSheetId="68">'313'!$T$71</definedName>
    <definedName name="OSRRefT22_11x_0" localSheetId="59">'315'!$T$101:$T$102</definedName>
    <definedName name="OSRRefT22_11x_0" localSheetId="62">'316'!$T$76:$T$80</definedName>
    <definedName name="OSRRefT22_11x_0" localSheetId="65">'317'!$T$102</definedName>
    <definedName name="OSRRefT22_11x_0" localSheetId="69">'321'!$T$67:$T$69</definedName>
    <definedName name="OSRRefT22_11x_0" localSheetId="70">'322'!$T$70:$T$75</definedName>
    <definedName name="OSRRefT22_11x_0" localSheetId="71">'325'!$T$67:$T$69</definedName>
    <definedName name="OSRRefT22_11x_0" localSheetId="60">'326'!$T$97</definedName>
    <definedName name="OSRRefT22_11x_0" localSheetId="52">'330'!$T$128</definedName>
    <definedName name="OSRRefT22_11x_0" localSheetId="58">'331'!$T$115</definedName>
    <definedName name="OSRRefT22_11x_0" localSheetId="61">'332'!$T$85:$T$86</definedName>
    <definedName name="OSRRefT22_11x_0" localSheetId="77">'405'!$T$67:$T$69</definedName>
    <definedName name="OSRRefT22_11x_0" localSheetId="78">'406'!$T$71:$T$76</definedName>
    <definedName name="OSRRefT22_11x_0" localSheetId="79">'411'!$T$65:$T$69</definedName>
    <definedName name="OSRRefT22_11x_0" localSheetId="80">'412'!$T$68:$T$70</definedName>
    <definedName name="OSRRefT22_11x_0" localSheetId="82">'413'!$T$75:$T$76</definedName>
    <definedName name="OSRRefT22_11x_0" localSheetId="83">'414'!$T$68</definedName>
    <definedName name="OSRRefT22_11x_0" localSheetId="84">'415'!$T$67:$T$70</definedName>
    <definedName name="OSRRefT22_11x_0" localSheetId="85">'418'!$T$69:$T$71</definedName>
    <definedName name="OSRRefT22_11x_0" localSheetId="87">'424'!$T$72:$T$73</definedName>
    <definedName name="OSRRefT22_11x_0" localSheetId="88">'425'!$T$73:$T$74</definedName>
    <definedName name="OSRRefT22_11x_0" localSheetId="92">'433'!$T$69:$T$72</definedName>
    <definedName name="OSRRefT22_11x_0" localSheetId="94">'444'!$T$67:$T$69</definedName>
    <definedName name="OSRRefT22_11x_0" localSheetId="95">'450'!$T$68:$T$71</definedName>
    <definedName name="OSRRefT22_11x_0" localSheetId="76">'491'!$T$79</definedName>
    <definedName name="OSRRefT22_11x_0" localSheetId="90">'492'!$T$71</definedName>
    <definedName name="OSRRefT22_11x_0" localSheetId="97">'501'!$T$63</definedName>
    <definedName name="OSRRefT22_11x_0" localSheetId="39">'Div 2'!$T$64</definedName>
    <definedName name="OSRRefT22_11x_0" localSheetId="47">'Div 3'!$T$218</definedName>
    <definedName name="OSRRefT22_11x_0" localSheetId="74">'Div 4'!$T$80:$T$81</definedName>
    <definedName name="OSRRefT22_11x_0" localSheetId="96">'Div 5'!$T$63</definedName>
    <definedName name="OSRRefT22_11x_0" localSheetId="64">'Div 6'!$T$102</definedName>
    <definedName name="OSRRefT22_11x_0" localSheetId="2">Summary!$T$251:$T$252</definedName>
    <definedName name="OSRRefT22_12x_0" localSheetId="41">'201'!$T$66</definedName>
    <definedName name="OSRRefT22_12x_0" localSheetId="42">'202'!$T$65</definedName>
    <definedName name="OSRRefT22_12x_0" localSheetId="43">'203'!$T$64:$T$66</definedName>
    <definedName name="OSRRefT22_12x_0" localSheetId="44">'204'!$T$69:$T$70</definedName>
    <definedName name="OSRRefT22_12x_0" localSheetId="48">'300'!$T$215</definedName>
    <definedName name="OSRRefT22_12x_0" localSheetId="49">'300 &amp; 317'!$T$240</definedName>
    <definedName name="OSRRefT22_12x_0" localSheetId="50">'301'!$T$67</definedName>
    <definedName name="OSRRefT22_12x_0" localSheetId="53">'307'!$T$125</definedName>
    <definedName name="OSRRefT22_12x_0" localSheetId="55">'308'!$T$113:$T$114</definedName>
    <definedName name="OSRRefT22_12x_0" localSheetId="67">'309'!$T$73</definedName>
    <definedName name="OSRRefT22_12x_0" localSheetId="66">'310'!$T$77</definedName>
    <definedName name="OSRRefT22_12x_0" localSheetId="75">'310 &amp; 491'!$T$87</definedName>
    <definedName name="OSRRefT22_12x_0" localSheetId="56">'311'!$T$113:$T$114</definedName>
    <definedName name="OSRRefT22_12x_0" localSheetId="68">'313'!$T$73:$T$77</definedName>
    <definedName name="OSRRefT22_12x_0" localSheetId="59">'315'!$T$104:$T$108</definedName>
    <definedName name="OSRRefT22_12x_0" localSheetId="62">'316'!$T$82:$T$83</definedName>
    <definedName name="OSRRefT22_12x_0" localSheetId="65">'317'!$T$104</definedName>
    <definedName name="OSRRefT22_12x_0" localSheetId="69">'321'!$T$71:$T$73</definedName>
    <definedName name="OSRRefT22_12x_0" localSheetId="70">'322'!$T$77</definedName>
    <definedName name="OSRRefT22_12x_0" localSheetId="71">'325'!$T$71:$T$74</definedName>
    <definedName name="OSRRefT22_12x_0" localSheetId="60">'326'!$T$99</definedName>
    <definedName name="OSRRefT22_12x_0" localSheetId="52">'330'!$T$130:$T$132</definedName>
    <definedName name="OSRRefT22_12x_0" localSheetId="58">'331'!$T$117</definedName>
    <definedName name="OSRRefT22_12x_0" localSheetId="61">'332'!$T$88:$T$92</definedName>
    <definedName name="OSRRefT22_12x_0" localSheetId="77">'405'!$T$71</definedName>
    <definedName name="OSRRefT22_12x_0" localSheetId="78">'406'!$T$78:$T$79</definedName>
    <definedName name="OSRRefT22_12x_0" localSheetId="79">'411'!$T$71</definedName>
    <definedName name="OSRRefT22_12x_0" localSheetId="80">'412'!$T$72:$T$77</definedName>
    <definedName name="OSRRefT22_12x_0" localSheetId="82">'413'!$T$78</definedName>
    <definedName name="OSRRefT22_12x_0" localSheetId="83">'414'!$T$70</definedName>
    <definedName name="OSRRefT22_12x_0" localSheetId="84">'415'!$T$72:$T$76</definedName>
    <definedName name="OSRRefT22_12x_0" localSheetId="85">'418'!$T$73:$T$75</definedName>
    <definedName name="OSRRefT22_12x_0" localSheetId="88">'425'!$T$76</definedName>
    <definedName name="OSRRefT22_12x_0" localSheetId="92">'433'!$T$74:$T$81</definedName>
    <definedName name="OSRRefT22_12x_0" localSheetId="94">'444'!$T$71:$T$74</definedName>
    <definedName name="OSRRefT22_12x_0" localSheetId="95">'450'!$T$73:$T$75</definedName>
    <definedName name="OSRRefT22_12x_0" localSheetId="76">'491'!$T$81</definedName>
    <definedName name="OSRRefT22_12x_0" localSheetId="90">'492'!$T$73:$T$76</definedName>
    <definedName name="OSRRefT22_12x_0" localSheetId="97">'501'!$T$65:$T$67</definedName>
    <definedName name="OSRRefT22_12x_0" localSheetId="39">'Div 2'!$T$66:$T$68</definedName>
    <definedName name="OSRRefT22_12x_0" localSheetId="47">'Div 3'!$T$220</definedName>
    <definedName name="OSRRefT22_12x_0" localSheetId="74">'Div 4'!$T$83</definedName>
    <definedName name="OSRRefT22_12x_0" localSheetId="96">'Div 5'!$T$65:$T$67</definedName>
    <definedName name="OSRRefT22_12x_0" localSheetId="64">'Div 6'!$T$104</definedName>
    <definedName name="OSRRefT22_12x_0" localSheetId="2">Summary!$T$254</definedName>
    <definedName name="OSRRefT22_13x_0" localSheetId="41">'201'!$T$68:$T$70</definedName>
    <definedName name="OSRRefT22_13x_0" localSheetId="42">'202'!$T$67</definedName>
    <definedName name="OSRRefT22_13x_0" localSheetId="43">'203'!$T$68</definedName>
    <definedName name="OSRRefT22_13x_0" localSheetId="48">'300'!$T$217</definedName>
    <definedName name="OSRRefT22_13x_0" localSheetId="49">'300 &amp; 317'!$T$242</definedName>
    <definedName name="OSRRefT22_13x_0" localSheetId="50">'301'!$T$69</definedName>
    <definedName name="OSRRefT22_13x_0" localSheetId="55">'308'!$T$116</definedName>
    <definedName name="OSRRefT22_13x_0" localSheetId="67">'309'!$T$75</definedName>
    <definedName name="OSRRefT22_13x_0" localSheetId="66">'310'!$T$79</definedName>
    <definedName name="OSRRefT22_13x_0" localSheetId="75">'310 &amp; 491'!$T$89</definedName>
    <definedName name="OSRRefT22_13x_0" localSheetId="56">'311'!$T$116</definedName>
    <definedName name="OSRRefT22_13x_0" localSheetId="68">'313'!$T$79</definedName>
    <definedName name="OSRRefT22_13x_0" localSheetId="59">'315'!$T$110</definedName>
    <definedName name="OSRRefT22_13x_0" localSheetId="62">'316'!$T$85</definedName>
    <definedName name="OSRRefT22_13x_0" localSheetId="69">'321'!$T$75</definedName>
    <definedName name="OSRRefT22_13x_0" localSheetId="70">'322'!$T$79</definedName>
    <definedName name="OSRRefT22_13x_0" localSheetId="71">'325'!$T$76</definedName>
    <definedName name="OSRRefT22_13x_0" localSheetId="60">'326'!$T$101:$T$102</definedName>
    <definedName name="OSRRefT22_13x_0" localSheetId="52">'330'!$T$134</definedName>
    <definedName name="OSRRefT22_13x_0" localSheetId="58">'331'!$T$119</definedName>
    <definedName name="OSRRefT22_13x_0" localSheetId="61">'332'!$T$94:$T$95</definedName>
    <definedName name="OSRRefT22_13x_0" localSheetId="77">'405'!$T$73:$T$75</definedName>
    <definedName name="OSRRefT22_13x_0" localSheetId="78">'406'!$T$81</definedName>
    <definedName name="OSRRefT22_13x_0" localSheetId="79">'411'!$T$73:$T$80</definedName>
    <definedName name="OSRRefT22_13x_0" localSheetId="80">'412'!$T$79</definedName>
    <definedName name="OSRRefT22_13x_0" localSheetId="83">'414'!$T$72:$T$78</definedName>
    <definedName name="OSRRefT22_13x_0" localSheetId="84">'415'!$T$78:$T$79</definedName>
    <definedName name="OSRRefT22_13x_0" localSheetId="85">'418'!$T$77:$T$78</definedName>
    <definedName name="OSRRefT22_13x_0" localSheetId="88">'425'!$T$78:$T$84</definedName>
    <definedName name="OSRRefT22_13x_0" localSheetId="92">'433'!$T$83</definedName>
    <definedName name="OSRRefT22_13x_0" localSheetId="94">'444'!$T$76:$T$83</definedName>
    <definedName name="OSRRefT22_13x_0" localSheetId="95">'450'!$T$77:$T$82</definedName>
    <definedName name="OSRRefT22_13x_0" localSheetId="76">'491'!$T$83</definedName>
    <definedName name="OSRRefT22_13x_0" localSheetId="90">'492'!$T$78:$T$81</definedName>
    <definedName name="OSRRefT22_13x_0" localSheetId="97">'501'!$T$69</definedName>
    <definedName name="OSRRefT22_13x_0" localSheetId="39">'Div 2'!$T$70:$T$73</definedName>
    <definedName name="OSRRefT22_13x_0" localSheetId="47">'Div 3'!$T$222</definedName>
    <definedName name="OSRRefT22_13x_0" localSheetId="74">'Div 4'!$T$85</definedName>
    <definedName name="OSRRefT22_13x_0" localSheetId="96">'Div 5'!$T$69</definedName>
    <definedName name="OSRRefT22_13x_0" localSheetId="2">Summary!$T$256</definedName>
    <definedName name="OSRRefT22_14x_0" localSheetId="41">'201'!$T$72</definedName>
    <definedName name="OSRRefT22_14x_0" localSheetId="42">'202'!$T$69:$T$70</definedName>
    <definedName name="OSRRefT22_14x_0" localSheetId="43">'203'!$T$70</definedName>
    <definedName name="OSRRefT22_14x_0" localSheetId="48">'300'!$T$219</definedName>
    <definedName name="OSRRefT22_14x_0" localSheetId="49">'300 &amp; 317'!$T$244</definedName>
    <definedName name="OSRRefT22_14x_0" localSheetId="50">'301'!$T$71</definedName>
    <definedName name="OSRRefT22_14x_0" localSheetId="55">'308'!$T$118:$T$119</definedName>
    <definedName name="OSRRefT22_14x_0" localSheetId="66">'310'!$T$81</definedName>
    <definedName name="OSRRefT22_14x_0" localSheetId="75">'310 &amp; 491'!$T$91</definedName>
    <definedName name="OSRRefT22_14x_0" localSheetId="56">'311'!$T$118:$T$119</definedName>
    <definedName name="OSRRefT22_14x_0" localSheetId="68">'313'!$T$81</definedName>
    <definedName name="OSRRefT22_14x_0" localSheetId="59">'315'!$T$112</definedName>
    <definedName name="OSRRefT22_14x_0" localSheetId="69">'321'!$T$77</definedName>
    <definedName name="OSRRefT22_14x_0" localSheetId="71">'325'!$T$78:$T$84</definedName>
    <definedName name="OSRRefT22_14x_0" localSheetId="60">'326'!$T$104:$T$106</definedName>
    <definedName name="OSRRefT22_14x_0" localSheetId="52">'330'!$T$136</definedName>
    <definedName name="OSRRefT22_14x_0" localSheetId="58">'331'!$T$121:$T$122</definedName>
    <definedName name="OSRRefT22_14x_0" localSheetId="61">'332'!$T$97</definedName>
    <definedName name="OSRRefT22_14x_0" localSheetId="77">'405'!$T$77:$T$78</definedName>
    <definedName name="OSRRefT22_14x_0" localSheetId="78">'406'!$T$83</definedName>
    <definedName name="OSRRefT22_14x_0" localSheetId="79">'411'!$T$82</definedName>
    <definedName name="OSRRefT22_14x_0" localSheetId="80">'412'!$T$81</definedName>
    <definedName name="OSRRefT22_14x_0" localSheetId="83">'414'!$T$80</definedName>
    <definedName name="OSRRefT22_14x_0" localSheetId="84">'415'!$T$81:$T$89</definedName>
    <definedName name="OSRRefT22_14x_0" localSheetId="85">'418'!$T$80:$T$86</definedName>
    <definedName name="OSRRefT22_14x_0" localSheetId="88">'425'!$T$86:$T$87</definedName>
    <definedName name="OSRRefT22_14x_0" localSheetId="92">'433'!$T$85</definedName>
    <definedName name="OSRRefT22_14x_0" localSheetId="94">'444'!$T$85</definedName>
    <definedName name="OSRRefT22_14x_0" localSheetId="95">'450'!$T$84</definedName>
    <definedName name="OSRRefT22_14x_0" localSheetId="76">'491'!$T$85</definedName>
    <definedName name="OSRRefT22_14x_0" localSheetId="90">'492'!$T$83:$T$91</definedName>
    <definedName name="OSRRefT22_14x_0" localSheetId="97">'501'!$T$71</definedName>
    <definedName name="OSRRefT22_14x_0" localSheetId="39">'Div 2'!$T$75:$T$78</definedName>
    <definedName name="OSRRefT22_14x_0" localSheetId="47">'Div 3'!$T$224</definedName>
    <definedName name="OSRRefT22_14x_0" localSheetId="74">'Div 4'!$T$87</definedName>
    <definedName name="OSRRefT22_14x_0" localSheetId="96">'Div 5'!$T$71</definedName>
    <definedName name="OSRRefT22_14x_0" localSheetId="2">Summary!$T$258</definedName>
    <definedName name="OSRRefT22_15x_0" localSheetId="41">'201'!$T$74</definedName>
    <definedName name="OSRRefT22_15x_0" localSheetId="42">'202'!$T$72</definedName>
    <definedName name="OSRRefT22_15x_0" localSheetId="43">'203'!$T$72</definedName>
    <definedName name="OSRRefT22_15x_0" localSheetId="48">'300'!$T$221</definedName>
    <definedName name="OSRRefT22_15x_0" localSheetId="49">'300 &amp; 317'!$T$246</definedName>
    <definedName name="OSRRefT22_15x_0" localSheetId="50">'301'!$T$73:$T$76</definedName>
    <definedName name="OSRRefT22_15x_0" localSheetId="66">'310'!$T$83:$T$85</definedName>
    <definedName name="OSRRefT22_15x_0" localSheetId="75">'310 &amp; 491'!$T$93</definedName>
    <definedName name="OSRRefT22_15x_0" localSheetId="59">'315'!$T$114:$T$115</definedName>
    <definedName name="OSRRefT22_15x_0" localSheetId="71">'325'!$T$86</definedName>
    <definedName name="OSRRefT22_15x_0" localSheetId="60">'326'!$T$108:$T$109</definedName>
    <definedName name="OSRRefT22_15x_0" localSheetId="52">'330'!$T$138</definedName>
    <definedName name="OSRRefT22_15x_0" localSheetId="58">'331'!$T$124:$T$126</definedName>
    <definedName name="OSRRefT22_15x_0" localSheetId="77">'405'!$T$80:$T$88</definedName>
    <definedName name="OSRRefT22_15x_0" localSheetId="79">'411'!$T$84</definedName>
    <definedName name="OSRRefT22_15x_0" localSheetId="80">'412'!$T$83</definedName>
    <definedName name="OSRRefT22_15x_0" localSheetId="83">'414'!$T$82</definedName>
    <definedName name="OSRRefT22_15x_0" localSheetId="84">'415'!$T$91</definedName>
    <definedName name="OSRRefT22_15x_0" localSheetId="85">'418'!$T$88</definedName>
    <definedName name="OSRRefT22_15x_0" localSheetId="88">'425'!$T$89</definedName>
    <definedName name="OSRRefT22_15x_0" localSheetId="92">'433'!$T$87:$T$88</definedName>
    <definedName name="OSRRefT22_15x_0" localSheetId="94">'444'!$T$87</definedName>
    <definedName name="OSRRefT22_15x_0" localSheetId="95">'450'!$T$86</definedName>
    <definedName name="OSRRefT22_15x_0" localSheetId="76">'491'!$T$87:$T$90</definedName>
    <definedName name="OSRRefT22_15x_0" localSheetId="90">'492'!$T$93</definedName>
    <definedName name="OSRRefT22_15x_0" localSheetId="39">'Div 2'!$T$80:$T$81</definedName>
    <definedName name="OSRRefT22_15x_0" localSheetId="47">'Div 3'!$T$226</definedName>
    <definedName name="OSRRefT22_15x_0" localSheetId="74">'Div 4'!$T$89</definedName>
    <definedName name="OSRRefT22_15x_0" localSheetId="2">Summary!$T$260</definedName>
    <definedName name="OSRRefT22_16x_0" localSheetId="41">'201'!$T$76:$T$77</definedName>
    <definedName name="OSRRefT22_16x_0" localSheetId="42">'202'!$T$74</definedName>
    <definedName name="OSRRefT22_16x_0" localSheetId="48">'300'!$T$223:$T$226</definedName>
    <definedName name="OSRRefT22_16x_0" localSheetId="49">'300 &amp; 317'!$T$248:$T$251</definedName>
    <definedName name="OSRRefT22_16x_0" localSheetId="50">'301'!$T$78:$T$80</definedName>
    <definedName name="OSRRefT22_16x_0" localSheetId="66">'310'!$T$87:$T$88</definedName>
    <definedName name="OSRRefT22_16x_0" localSheetId="75">'310 &amp; 491'!$T$95</definedName>
    <definedName name="OSRRefT22_16x_0" localSheetId="71">'325'!$T$88</definedName>
    <definedName name="OSRRefT22_16x_0" localSheetId="60">'326'!$T$111:$T$116</definedName>
    <definedName name="OSRRefT22_16x_0" localSheetId="58">'331'!$T$128:$T$130</definedName>
    <definedName name="OSRRefT22_16x_0" localSheetId="77">'405'!$T$90</definedName>
    <definedName name="OSRRefT22_16x_0" localSheetId="79">'411'!$T$86:$T$88</definedName>
    <definedName name="OSRRefT22_16x_0" localSheetId="84">'415'!$T$93</definedName>
    <definedName name="OSRRefT22_16x_0" localSheetId="85">'418'!$T$90</definedName>
    <definedName name="OSRRefT22_16x_0" localSheetId="88">'425'!$T$91</definedName>
    <definedName name="OSRRefT22_16x_0" localSheetId="94">'444'!$T$89</definedName>
    <definedName name="OSRRefT22_16x_0" localSheetId="95">'450'!$T$88:$T$89</definedName>
    <definedName name="OSRRefT22_16x_0" localSheetId="76">'491'!$T$92:$T$95</definedName>
    <definedName name="OSRRefT22_16x_0" localSheetId="90">'492'!$T$95</definedName>
    <definedName name="OSRRefT22_16x_0" localSheetId="39">'Div 2'!$T$83:$T$84</definedName>
    <definedName name="OSRRefT22_16x_0" localSheetId="47">'Div 3'!$T$228</definedName>
    <definedName name="OSRRefT22_16x_0" localSheetId="74">'Div 4'!$T$91</definedName>
    <definedName name="OSRRefT22_16x_0" localSheetId="2">Summary!$T$262</definedName>
    <definedName name="OSRRefT22_17x_0" localSheetId="48">'300'!$T$228:$T$231</definedName>
    <definedName name="OSRRefT22_17x_0" localSheetId="49">'300 &amp; 317'!$T$253:$T$256</definedName>
    <definedName name="OSRRefT22_17x_0" localSheetId="50">'301'!$T$82:$T$83</definedName>
    <definedName name="OSRRefT22_17x_0" localSheetId="66">'310'!$T$90:$T$94</definedName>
    <definedName name="OSRRefT22_17x_0" localSheetId="75">'310 &amp; 491'!$T$97:$T$100</definedName>
    <definedName name="OSRRefT22_17x_0" localSheetId="71">'325'!$T$90</definedName>
    <definedName name="OSRRefT22_17x_0" localSheetId="60">'326'!$T$118:$T$119</definedName>
    <definedName name="OSRRefT22_17x_0" localSheetId="58">'331'!$T$132:$T$133</definedName>
    <definedName name="OSRRefT22_17x_0" localSheetId="77">'405'!$T$92</definedName>
    <definedName name="OSRRefT22_17x_0" localSheetId="79">'411'!$T$90</definedName>
    <definedName name="OSRRefT22_17x_0" localSheetId="84">'415'!$T$95:$T$96</definedName>
    <definedName name="OSRRefT22_17x_0" localSheetId="85">'418'!$T$92</definedName>
    <definedName name="OSRRefT22_17x_0" localSheetId="76">'491'!$T$97:$T$101</definedName>
    <definedName name="OSRRefT22_17x_0" localSheetId="90">'492'!$T$97:$T$98</definedName>
    <definedName name="OSRRefT22_17x_0" localSheetId="39">'Div 2'!$T$86:$T$90</definedName>
    <definedName name="OSRRefT22_17x_0" localSheetId="47">'Div 3'!$T$230</definedName>
    <definedName name="OSRRefT22_17x_0" localSheetId="74">'Div 4'!$T$93:$T$96</definedName>
    <definedName name="OSRRefT22_17x_0" localSheetId="2">Summary!$T$264</definedName>
    <definedName name="OSRRefT22_18x_0" localSheetId="48">'300'!$T$233:$T$236</definedName>
    <definedName name="OSRRefT22_18x_0" localSheetId="49">'300 &amp; 317'!$T$258:$T$261</definedName>
    <definedName name="OSRRefT22_18x_0" localSheetId="50">'301'!$T$85:$T$90</definedName>
    <definedName name="OSRRefT22_18x_0" localSheetId="66">'310'!$T$96</definedName>
    <definedName name="OSRRefT22_18x_0" localSheetId="75">'310 &amp; 491'!$T$102:$T$105</definedName>
    <definedName name="OSRRefT22_18x_0" localSheetId="71">'325'!$T$92</definedName>
    <definedName name="OSRRefT22_18x_0" localSheetId="60">'326'!$T$121</definedName>
    <definedName name="OSRRefT22_18x_0" localSheetId="58">'331'!$T$135:$T$140</definedName>
    <definedName name="OSRRefT22_18x_0" localSheetId="77">'405'!$T$94</definedName>
    <definedName name="OSRRefT22_18x_0" localSheetId="84">'415'!$T$98</definedName>
    <definedName name="OSRRefT22_18x_0" localSheetId="76">'491'!$T$103:$T$104</definedName>
    <definedName name="OSRRefT22_18x_0" localSheetId="39">'Div 2'!$T$92:$T$93</definedName>
    <definedName name="OSRRefT22_18x_0" localSheetId="47">'Div 3'!$T$232:$T$235</definedName>
    <definedName name="OSRRefT22_18x_0" localSheetId="74">'Div 4'!$T$98:$T$101</definedName>
    <definedName name="OSRRefT22_18x_0" localSheetId="2">Summary!$T$266:$T$269</definedName>
    <definedName name="OSRRefT22_19x_0" localSheetId="48">'300'!$T$238:$T$239</definedName>
    <definedName name="OSRRefT22_19x_0" localSheetId="49">'300 &amp; 317'!$T$263:$T$264</definedName>
    <definedName name="OSRRefT22_19x_0" localSheetId="50">'301'!$T$92</definedName>
    <definedName name="OSRRefT22_19x_0" localSheetId="66">'310'!$T$98:$T$106</definedName>
    <definedName name="OSRRefT22_19x_0" localSheetId="75">'310 &amp; 491'!$T$107:$T$112</definedName>
    <definedName name="OSRRefT22_19x_0" localSheetId="60">'326'!$T$123</definedName>
    <definedName name="OSRRefT22_19x_0" localSheetId="58">'331'!$T$142:$T$143</definedName>
    <definedName name="OSRRefT22_19x_0" localSheetId="77">'405'!$T$96</definedName>
    <definedName name="OSRRefT22_19x_0" localSheetId="76">'491'!$T$106:$T$115</definedName>
    <definedName name="OSRRefT22_19x_0" localSheetId="39">'Div 2'!$T$95</definedName>
    <definedName name="OSRRefT22_19x_0" localSheetId="47">'Div 3'!$T$237:$T$240</definedName>
    <definedName name="OSRRefT22_19x_0" localSheetId="74">'Div 4'!$T$103:$T$107</definedName>
    <definedName name="OSRRefT22_19x_0" localSheetId="2">Summary!$T$271:$T$274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'204'!$T$32:$T$41</definedName>
    <definedName name="OSRRefT22_1x_0" localSheetId="45">'205'!$T$30:$T$39</definedName>
    <definedName name="OSRRefT22_1x_0" localSheetId="46">'206'!$T$30:$T$39</definedName>
    <definedName name="OSRRefT22_1x_0" localSheetId="48">'300'!$T$177:$T$186</definedName>
    <definedName name="OSRRefT22_1x_0" localSheetId="49">'300 &amp; 317'!$T$202:$T$211</definedName>
    <definedName name="OSRRefT22_1x_0" localSheetId="50">'301'!$T$30:$T$39</definedName>
    <definedName name="OSRRefT22_1x_0" localSheetId="51">'306'!$T$30:$T$39</definedName>
    <definedName name="OSRRefT22_1x_0" localSheetId="53">'307'!$T$89:$T$98</definedName>
    <definedName name="OSRRefT22_1x_0" localSheetId="55">'308'!$T$76:$T$85</definedName>
    <definedName name="OSRRefT22_1x_0" localSheetId="67">'309'!$T$36:$T$45</definedName>
    <definedName name="OSRRefT22_1x_0" localSheetId="66">'310'!$T$44:$T$53</definedName>
    <definedName name="OSRRefT22_1x_0" localSheetId="75">'310 &amp; 491'!$T$52:$T$61</definedName>
    <definedName name="OSRRefT22_1x_0" localSheetId="56">'311'!$T$76:$T$85</definedName>
    <definedName name="OSRRefT22_1x_0" localSheetId="68">'313'!$T$40:$T$49</definedName>
    <definedName name="OSRRefT22_1x_0" localSheetId="54">'314'!$T$68:$T$77</definedName>
    <definedName name="OSRRefT22_1x_0" localSheetId="59">'315'!$T$68:$T$77</definedName>
    <definedName name="OSRRefT22_1x_0" localSheetId="62">'316'!$T$45:$T$54</definedName>
    <definedName name="OSRRefT22_1x_0" localSheetId="65">'317'!$T$71:$T$80</definedName>
    <definedName name="OSRRefT22_1x_0" localSheetId="63">'320'!$T$40:$T$49</definedName>
    <definedName name="OSRRefT22_1x_0" localSheetId="69">'321'!$T$35:$T$44</definedName>
    <definedName name="OSRRefT22_1x_0" localSheetId="70">'322'!$T$36:$T$45</definedName>
    <definedName name="OSRRefT22_1x_0" localSheetId="71">'325'!$T$36:$T$45</definedName>
    <definedName name="OSRRefT22_1x_0" localSheetId="60">'326'!$T$67:$T$76</definedName>
    <definedName name="OSRRefT22_1x_0" localSheetId="72">'327'!$T$26</definedName>
    <definedName name="OSRRefT22_1x_0" localSheetId="52">'330'!$T$96:$T$105</definedName>
    <definedName name="OSRRefT22_1x_0" localSheetId="58">'331'!$T$83:$T$92</definedName>
    <definedName name="OSRRefT22_1x_0" localSheetId="61">'332'!$T$54:$T$63</definedName>
    <definedName name="OSRRefT22_1x_0" localSheetId="77">'405'!$T$36:$T$45</definedName>
    <definedName name="OSRRefT22_1x_0" localSheetId="78">'406'!$T$37:$T$46</definedName>
    <definedName name="OSRRefT22_1x_0" localSheetId="79">'411'!$T$31:$T$40</definedName>
    <definedName name="OSRRefT22_1x_0" localSheetId="80">'412'!$T$36:$T$45</definedName>
    <definedName name="OSRRefT22_1x_0" localSheetId="82">'413'!$T$37:$T$46</definedName>
    <definedName name="OSRRefT22_1x_0" localSheetId="83">'414'!$T$37:$T$46</definedName>
    <definedName name="OSRRefT22_1x_0" localSheetId="84">'415'!$T$36:$T$45</definedName>
    <definedName name="OSRRefT22_1x_0" localSheetId="85">'418'!$T$37:$T$46</definedName>
    <definedName name="OSRRefT22_1x_0" localSheetId="81">'420'!$T$32:$T$35</definedName>
    <definedName name="OSRRefT22_1x_0" localSheetId="86">'423'!$T$31:$T$40</definedName>
    <definedName name="OSRRefT22_1x_0" localSheetId="87">'424'!$T$36:$T$45</definedName>
    <definedName name="OSRRefT22_1x_0" localSheetId="88">'425'!$T$40:$T$49</definedName>
    <definedName name="OSRRefT22_1x_0" localSheetId="91">'430'!$T$30:$T$39</definedName>
    <definedName name="OSRRefT22_1x_0" localSheetId="92">'433'!$T$38:$T$47</definedName>
    <definedName name="OSRRefT22_1x_0" localSheetId="93">'435'!$T$36:$T$45</definedName>
    <definedName name="OSRRefT22_1x_0" localSheetId="94">'444'!$T$38:$T$47</definedName>
    <definedName name="OSRRefT22_1x_0" localSheetId="95">'450'!$T$38:$T$47</definedName>
    <definedName name="OSRRefT22_1x_0" localSheetId="89">'455'!$T$29:$T$38</definedName>
    <definedName name="OSRRefT22_1x_0" localSheetId="76">'491'!$T$46:$T$55</definedName>
    <definedName name="OSRRefT22_1x_0" localSheetId="90">'492'!$T$40:$T$49</definedName>
    <definedName name="OSRRefT22_1x_0" localSheetId="97">'501'!$T$31:$T$40</definedName>
    <definedName name="OSRRefT22_1x_0" localSheetId="39">'Div 2'!$T$33:$T$42</definedName>
    <definedName name="OSRRefT22_1x_0" localSheetId="47">'Div 3'!$T$182:$T$191</definedName>
    <definedName name="OSRRefT22_1x_0" localSheetId="74">'Div 4'!$T$46:$T$55</definedName>
    <definedName name="OSRRefT22_1x_0" localSheetId="96">'Div 5'!$T$31:$T$40</definedName>
    <definedName name="OSRRefT22_1x_0" localSheetId="64">'Div 6'!$T$71:$T$80</definedName>
    <definedName name="OSRRefT22_1x_0" localSheetId="2">Summary!$T$214:$T$223</definedName>
    <definedName name="OSRRefT22_20x_0" localSheetId="48">'300'!$T$241:$T$247</definedName>
    <definedName name="OSRRefT22_20x_0" localSheetId="49">'300 &amp; 317'!$T$266:$T$272</definedName>
    <definedName name="OSRRefT22_20x_0" localSheetId="50">'301'!$T$94</definedName>
    <definedName name="OSRRefT22_20x_0" localSheetId="66">'310'!$T$108</definedName>
    <definedName name="OSRRefT22_20x_0" localSheetId="75">'310 &amp; 491'!$T$114:$T$115</definedName>
    <definedName name="OSRRefT22_20x_0" localSheetId="60">'326'!$T$125</definedName>
    <definedName name="OSRRefT22_20x_0" localSheetId="58">'331'!$T$145</definedName>
    <definedName name="OSRRefT22_20x_0" localSheetId="76">'491'!$T$117:$T$118</definedName>
    <definedName name="OSRRefT22_20x_0" localSheetId="39">'Div 2'!$T$97:$T$98</definedName>
    <definedName name="OSRRefT22_20x_0" localSheetId="47">'Div 3'!$T$242:$T$247</definedName>
    <definedName name="OSRRefT22_20x_0" localSheetId="74">'Div 4'!$T$109:$T$110</definedName>
    <definedName name="OSRRefT22_20x_0" localSheetId="2">Summary!$T$276:$T$281</definedName>
    <definedName name="OSRRefT22_21x_0" localSheetId="48">'300'!$T$249:$T$250</definedName>
    <definedName name="OSRRefT22_21x_0" localSheetId="49">'300 &amp; 317'!$T$274:$T$275</definedName>
    <definedName name="OSRRefT22_21x_0" localSheetId="50">'301'!$T$96:$T$98</definedName>
    <definedName name="OSRRefT22_21x_0" localSheetId="66">'310'!$T$110</definedName>
    <definedName name="OSRRefT22_21x_0" localSheetId="75">'310 &amp; 491'!$T$117:$T$126</definedName>
    <definedName name="OSRRefT22_21x_0" localSheetId="58">'331'!$T$147:$T$148</definedName>
    <definedName name="OSRRefT22_21x_0" localSheetId="76">'491'!$T$120</definedName>
    <definedName name="OSRRefT22_21x_0" localSheetId="47">'Div 3'!$T$249:$T$250</definedName>
    <definedName name="OSRRefT22_21x_0" localSheetId="74">'Div 4'!$T$112:$T$121</definedName>
    <definedName name="OSRRefT22_21x_0" localSheetId="2">Summary!$T$283:$T$284</definedName>
    <definedName name="OSRRefT22_22x_0" localSheetId="48">'300'!$T$252</definedName>
    <definedName name="OSRRefT22_22x_0" localSheetId="49">'300 &amp; 317'!$T$277</definedName>
    <definedName name="OSRRefT22_22x_0" localSheetId="50">'301'!$T$100</definedName>
    <definedName name="OSRRefT22_22x_0" localSheetId="66">'310'!$T$112</definedName>
    <definedName name="OSRRefT22_22x_0" localSheetId="75">'310 &amp; 491'!$T$128:$T$129</definedName>
    <definedName name="OSRRefT22_22x_0" localSheetId="58">'331'!$T$150</definedName>
    <definedName name="OSRRefT22_22x_0" localSheetId="76">'491'!$T$122:$T$124</definedName>
    <definedName name="OSRRefT22_22x_0" localSheetId="47">'Div 3'!$T$252:$T$260</definedName>
    <definedName name="OSRRefT22_22x_0" localSheetId="74">'Div 4'!$T$123:$T$124</definedName>
    <definedName name="OSRRefT22_22x_0" localSheetId="2">Summary!$T$286:$T$295</definedName>
    <definedName name="OSRRefT22_23x_0" localSheetId="48">'300'!$T$254:$T$256</definedName>
    <definedName name="OSRRefT22_23x_0" localSheetId="49">'300 &amp; 317'!$T$279:$T$281</definedName>
    <definedName name="OSRRefT22_23x_0" localSheetId="66">'310'!$T$114</definedName>
    <definedName name="OSRRefT22_23x_0" localSheetId="75">'310 &amp; 491'!$T$131</definedName>
    <definedName name="OSRRefT22_23x_0" localSheetId="76">'491'!$T$126</definedName>
    <definedName name="OSRRefT22_23x_0" localSheetId="47">'Div 3'!$T$262:$T$263</definedName>
    <definedName name="OSRRefT22_23x_0" localSheetId="74">'Div 4'!$T$126</definedName>
    <definedName name="OSRRefT22_23x_0" localSheetId="2">Summary!$T$297:$T$298</definedName>
    <definedName name="OSRRefT22_24x_0" localSheetId="48">'300'!$T$258</definedName>
    <definedName name="OSRRefT22_24x_0" localSheetId="49">'300 &amp; 317'!$T$283</definedName>
    <definedName name="OSRRefT22_24x_0" localSheetId="75">'310 &amp; 491'!$T$133:$T$135</definedName>
    <definedName name="OSRRefT22_24x_0" localSheetId="47">'Div 3'!$T$265</definedName>
    <definedName name="OSRRefT22_24x_0" localSheetId="74">'Div 4'!$T$128:$T$130</definedName>
    <definedName name="OSRRefT22_24x_0" localSheetId="2">Summary!$T$300</definedName>
    <definedName name="OSRRefT22_25x_0" localSheetId="75">'310 &amp; 491'!$T$137</definedName>
    <definedName name="OSRRefT22_25x_0" localSheetId="47">'Div 3'!$T$267:$T$269</definedName>
    <definedName name="OSRRefT22_25x_0" localSheetId="74">'Div 4'!$T$132</definedName>
    <definedName name="OSRRefT22_25x_0" localSheetId="2">Summary!$T$302:$T$304</definedName>
    <definedName name="OSRRefT22_26x_0" localSheetId="47">'Div 3'!$T$271</definedName>
    <definedName name="OSRRefT22_26x_0" localSheetId="2">Summary!$T$306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'204'!$T$43</definedName>
    <definedName name="OSRRefT22_2x_0" localSheetId="45">'205'!$T$41</definedName>
    <definedName name="OSRRefT22_2x_0" localSheetId="46">'206'!$T$41</definedName>
    <definedName name="OSRRefT22_2x_0" localSheetId="48">'300'!$T$188</definedName>
    <definedName name="OSRRefT22_2x_0" localSheetId="49">'300 &amp; 317'!$T$213</definedName>
    <definedName name="OSRRefT22_2x_0" localSheetId="50">'301'!$T$41</definedName>
    <definedName name="OSRRefT22_2x_0" localSheetId="51">'306'!$T$41</definedName>
    <definedName name="OSRRefT22_2x_0" localSheetId="53">'307'!$T$100</definedName>
    <definedName name="OSRRefT22_2x_0" localSheetId="55">'308'!$T$87</definedName>
    <definedName name="OSRRefT22_2x_0" localSheetId="67">'309'!$T$47</definedName>
    <definedName name="OSRRefT22_2x_0" localSheetId="66">'310'!$T$55</definedName>
    <definedName name="OSRRefT22_2x_0" localSheetId="75">'310 &amp; 491'!$T$63</definedName>
    <definedName name="OSRRefT22_2x_0" localSheetId="56">'311'!$T$87</definedName>
    <definedName name="OSRRefT22_2x_0" localSheetId="68">'313'!$T$51</definedName>
    <definedName name="OSRRefT22_2x_0" localSheetId="54">'314'!$T$79</definedName>
    <definedName name="OSRRefT22_2x_0" localSheetId="59">'315'!$T$79</definedName>
    <definedName name="OSRRefT22_2x_0" localSheetId="62">'316'!$T$56</definedName>
    <definedName name="OSRRefT22_2x_0" localSheetId="65">'317'!$T$82</definedName>
    <definedName name="OSRRefT22_2x_0" localSheetId="63">'320'!$T$51</definedName>
    <definedName name="OSRRefT22_2x_0" localSheetId="69">'321'!$T$46</definedName>
    <definedName name="OSRRefT22_2x_0" localSheetId="70">'322'!$T$47</definedName>
    <definedName name="OSRRefT22_2x_0" localSheetId="71">'325'!$T$47</definedName>
    <definedName name="OSRRefT22_2x_0" localSheetId="60">'326'!$T$78</definedName>
    <definedName name="OSRRefT22_2x_0" localSheetId="72">'327'!$T$28</definedName>
    <definedName name="OSRRefT22_2x_0" localSheetId="52">'330'!$T$107</definedName>
    <definedName name="OSRRefT22_2x_0" localSheetId="58">'331'!$T$94</definedName>
    <definedName name="OSRRefT22_2x_0" localSheetId="61">'332'!$T$65</definedName>
    <definedName name="OSRRefT22_2x_0" localSheetId="77">'405'!$T$47</definedName>
    <definedName name="OSRRefT22_2x_0" localSheetId="78">'406'!$T$48</definedName>
    <definedName name="OSRRefT22_2x_0" localSheetId="79">'411'!$T$42</definedName>
    <definedName name="OSRRefT22_2x_0" localSheetId="80">'412'!$T$47</definedName>
    <definedName name="OSRRefT22_2x_0" localSheetId="82">'413'!$T$48</definedName>
    <definedName name="OSRRefT22_2x_0" localSheetId="83">'414'!$T$48</definedName>
    <definedName name="OSRRefT22_2x_0" localSheetId="84">'415'!$T$47</definedName>
    <definedName name="OSRRefT22_2x_0" localSheetId="85">'418'!$T$48</definedName>
    <definedName name="OSRRefT22_2x_0" localSheetId="81">'420'!$T$37</definedName>
    <definedName name="OSRRefT22_2x_0" localSheetId="86">'423'!$T$42</definedName>
    <definedName name="OSRRefT22_2x_0" localSheetId="87">'424'!$T$47</definedName>
    <definedName name="OSRRefT22_2x_0" localSheetId="88">'425'!$T$51</definedName>
    <definedName name="OSRRefT22_2x_0" localSheetId="91">'430'!$T$41</definedName>
    <definedName name="OSRRefT22_2x_0" localSheetId="92">'433'!$T$49</definedName>
    <definedName name="OSRRefT22_2x_0" localSheetId="93">'435'!$T$47</definedName>
    <definedName name="OSRRefT22_2x_0" localSheetId="94">'444'!$T$49</definedName>
    <definedName name="OSRRefT22_2x_0" localSheetId="95">'450'!$T$49</definedName>
    <definedName name="OSRRefT22_2x_0" localSheetId="76">'491'!$T$57</definedName>
    <definedName name="OSRRefT22_2x_0" localSheetId="90">'492'!$T$51</definedName>
    <definedName name="OSRRefT22_2x_0" localSheetId="97">'501'!$T$42</definedName>
    <definedName name="OSRRefT22_2x_0" localSheetId="39">'Div 2'!$T$44</definedName>
    <definedName name="OSRRefT22_2x_0" localSheetId="47">'Div 3'!$T$193</definedName>
    <definedName name="OSRRefT22_2x_0" localSheetId="74">'Div 4'!$T$57</definedName>
    <definedName name="OSRRefT22_2x_0" localSheetId="96">'Div 5'!$T$42</definedName>
    <definedName name="OSRRefT22_2x_0" localSheetId="64">'Div 6'!$T$82</definedName>
    <definedName name="OSRRefT22_2x_0" localSheetId="2">Summary!$T$225</definedName>
    <definedName name="OSRRefT22_3x_0" localSheetId="40">'200'!$T$26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'204'!$T$45:$T$46</definedName>
    <definedName name="OSRRefT22_3x_0" localSheetId="45">'205'!$T$43</definedName>
    <definedName name="OSRRefT22_3x_0" localSheetId="46">'206'!$T$43</definedName>
    <definedName name="OSRRefT22_3x_0" localSheetId="48">'300'!$T$190:$T$191</definedName>
    <definedName name="OSRRefT22_3x_0" localSheetId="49">'300 &amp; 317'!$T$215:$T$216</definedName>
    <definedName name="OSRRefT22_3x_0" localSheetId="50">'301'!$T$43:$T$44</definedName>
    <definedName name="OSRRefT22_3x_0" localSheetId="51">'306'!$T$43</definedName>
    <definedName name="OSRRefT22_3x_0" localSheetId="53">'307'!$T$102</definedName>
    <definedName name="OSRRefT22_3x_0" localSheetId="55">'308'!$T$89:$T$90</definedName>
    <definedName name="OSRRefT22_3x_0" localSheetId="67">'309'!$T$49</definedName>
    <definedName name="OSRRefT22_3x_0" localSheetId="66">'310'!$T$57</definedName>
    <definedName name="OSRRefT22_3x_0" localSheetId="75">'310 &amp; 491'!$T$65</definedName>
    <definedName name="OSRRefT22_3x_0" localSheetId="56">'311'!$T$89:$T$90</definedName>
    <definedName name="OSRRefT22_3x_0" localSheetId="68">'313'!$T$53</definedName>
    <definedName name="OSRRefT22_3x_0" localSheetId="54">'314'!$T$81:$T$82</definedName>
    <definedName name="OSRRefT22_3x_0" localSheetId="59">'315'!$T$81:$T$82</definedName>
    <definedName name="OSRRefT22_3x_0" localSheetId="62">'316'!$T$58</definedName>
    <definedName name="OSRRefT22_3x_0" localSheetId="65">'317'!$T$84</definedName>
    <definedName name="OSRRefT22_3x_0" localSheetId="63">'320'!$T$53</definedName>
    <definedName name="OSRRefT22_3x_0" localSheetId="69">'321'!$T$48</definedName>
    <definedName name="OSRRefT22_3x_0" localSheetId="70">'322'!$T$49</definedName>
    <definedName name="OSRRefT22_3x_0" localSheetId="71">'325'!$T$49</definedName>
    <definedName name="OSRRefT22_3x_0" localSheetId="60">'326'!$T$80:$T$81</definedName>
    <definedName name="OSRRefT22_3x_0" localSheetId="52">'330'!$T$109</definedName>
    <definedName name="OSRRefT22_3x_0" localSheetId="58">'331'!$T$96:$T$97</definedName>
    <definedName name="OSRRefT22_3x_0" localSheetId="61">'332'!$T$67</definedName>
    <definedName name="OSRRefT22_3x_0" localSheetId="77">'405'!$T$49</definedName>
    <definedName name="OSRRefT22_3x_0" localSheetId="78">'406'!$T$50</definedName>
    <definedName name="OSRRefT22_3x_0" localSheetId="79">'411'!$T$44:$T$47</definedName>
    <definedName name="OSRRefT22_3x_0" localSheetId="80">'412'!$T$49</definedName>
    <definedName name="OSRRefT22_3x_0" localSheetId="82">'413'!$T$50</definedName>
    <definedName name="OSRRefT22_3x_0" localSheetId="83">'414'!$T$50</definedName>
    <definedName name="OSRRefT22_3x_0" localSheetId="84">'415'!$T$49</definedName>
    <definedName name="OSRRefT22_3x_0" localSheetId="85">'418'!$T$50</definedName>
    <definedName name="OSRRefT22_3x_0" localSheetId="81">'420'!$T$39</definedName>
    <definedName name="OSRRefT22_3x_0" localSheetId="86">'423'!$T$44</definedName>
    <definedName name="OSRRefT22_3x_0" localSheetId="87">'424'!$T$49</definedName>
    <definedName name="OSRRefT22_3x_0" localSheetId="88">'425'!$T$53</definedName>
    <definedName name="OSRRefT22_3x_0" localSheetId="91">'430'!$T$43</definedName>
    <definedName name="OSRRefT22_3x_0" localSheetId="92">'433'!$T$51</definedName>
    <definedName name="OSRRefT22_3x_0" localSheetId="93">'435'!$T$49</definedName>
    <definedName name="OSRRefT22_3x_0" localSheetId="94">'444'!$T$51</definedName>
    <definedName name="OSRRefT22_3x_0" localSheetId="95">'450'!$T$51:$T$52</definedName>
    <definedName name="OSRRefT22_3x_0" localSheetId="76">'491'!$T$59</definedName>
    <definedName name="OSRRefT22_3x_0" localSheetId="90">'492'!$T$53:$T$54</definedName>
    <definedName name="OSRRefT22_3x_0" localSheetId="97">'501'!$T$44</definedName>
    <definedName name="OSRRefT22_3x_0" localSheetId="39">'Div 2'!$T$46</definedName>
    <definedName name="OSRRefT22_3x_0" localSheetId="47">'Div 3'!$T$195:$T$196</definedName>
    <definedName name="OSRRefT22_3x_0" localSheetId="74">'Div 4'!$T$59:$T$60</definedName>
    <definedName name="OSRRefT22_3x_0" localSheetId="96">'Div 5'!$T$44</definedName>
    <definedName name="OSRRefT22_3x_0" localSheetId="64">'Div 6'!$T$84</definedName>
    <definedName name="OSRRefT22_3x_0" localSheetId="2">Summary!$T$227:$T$228</definedName>
    <definedName name="OSRRefT22_4x_0" localSheetId="40">'200'!$T$28:$T$29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'204'!$T$48</definedName>
    <definedName name="OSRRefT22_4x_0" localSheetId="45">'205'!$T$45</definedName>
    <definedName name="OSRRefT22_4x_0" localSheetId="46">'206'!$T$45</definedName>
    <definedName name="OSRRefT22_4x_0" localSheetId="48">'300'!$T$193</definedName>
    <definedName name="OSRRefT22_4x_0" localSheetId="49">'300 &amp; 317'!$T$218</definedName>
    <definedName name="OSRRefT22_4x_0" localSheetId="50">'301'!$T$46</definedName>
    <definedName name="OSRRefT22_4x_0" localSheetId="51">'306'!$T$45</definedName>
    <definedName name="OSRRefT22_4x_0" localSheetId="53">'307'!$T$104:$T$105</definedName>
    <definedName name="OSRRefT22_4x_0" localSheetId="55">'308'!$T$92</definedName>
    <definedName name="OSRRefT22_4x_0" localSheetId="67">'309'!$T$51</definedName>
    <definedName name="OSRRefT22_4x_0" localSheetId="66">'310'!$T$59</definedName>
    <definedName name="OSRRefT22_4x_0" localSheetId="75">'310 &amp; 491'!$T$67</definedName>
    <definedName name="OSRRefT22_4x_0" localSheetId="56">'311'!$T$92</definedName>
    <definedName name="OSRRefT22_4x_0" localSheetId="68">'313'!$T$55</definedName>
    <definedName name="OSRRefT22_4x_0" localSheetId="54">'314'!$T$84</definedName>
    <definedName name="OSRRefT22_4x_0" localSheetId="59">'315'!$T$84</definedName>
    <definedName name="OSRRefT22_4x_0" localSheetId="62">'316'!$T$60</definedName>
    <definedName name="OSRRefT22_4x_0" localSheetId="65">'317'!$T$86</definedName>
    <definedName name="OSRRefT22_4x_0" localSheetId="63">'320'!$T$55:$T$56</definedName>
    <definedName name="OSRRefT22_4x_0" localSheetId="69">'321'!$T$50</definedName>
    <definedName name="OSRRefT22_4x_0" localSheetId="70">'322'!$T$51</definedName>
    <definedName name="OSRRefT22_4x_0" localSheetId="71">'325'!$T$51</definedName>
    <definedName name="OSRRefT22_4x_0" localSheetId="60">'326'!$T$83</definedName>
    <definedName name="OSRRefT22_4x_0" localSheetId="52">'330'!$T$111:$T$112</definedName>
    <definedName name="OSRRefT22_4x_0" localSheetId="58">'331'!$T$99</definedName>
    <definedName name="OSRRefT22_4x_0" localSheetId="61">'332'!$T$69</definedName>
    <definedName name="OSRRefT22_4x_0" localSheetId="77">'405'!$T$51</definedName>
    <definedName name="OSRRefT22_4x_0" localSheetId="78">'406'!$T$52</definedName>
    <definedName name="OSRRefT22_4x_0" localSheetId="79">'411'!$T$49</definedName>
    <definedName name="OSRRefT22_4x_0" localSheetId="80">'412'!$T$51</definedName>
    <definedName name="OSRRefT22_4x_0" localSheetId="82">'413'!$T$52</definedName>
    <definedName name="OSRRefT22_4x_0" localSheetId="83">'414'!$T$52</definedName>
    <definedName name="OSRRefT22_4x_0" localSheetId="84">'415'!$T$51</definedName>
    <definedName name="OSRRefT22_4x_0" localSheetId="85">'418'!$T$52</definedName>
    <definedName name="OSRRefT22_4x_0" localSheetId="81">'420'!$T$41</definedName>
    <definedName name="OSRRefT22_4x_0" localSheetId="86">'423'!$T$46</definedName>
    <definedName name="OSRRefT22_4x_0" localSheetId="87">'424'!$T$51</definedName>
    <definedName name="OSRRefT22_4x_0" localSheetId="88">'425'!$T$55</definedName>
    <definedName name="OSRRefT22_4x_0" localSheetId="91">'430'!$T$45</definedName>
    <definedName name="OSRRefT22_4x_0" localSheetId="92">'433'!$T$53</definedName>
    <definedName name="OSRRefT22_4x_0" localSheetId="93">'435'!$T$51</definedName>
    <definedName name="OSRRefT22_4x_0" localSheetId="94">'444'!$T$53</definedName>
    <definedName name="OSRRefT22_4x_0" localSheetId="95">'450'!$T$54</definedName>
    <definedName name="OSRRefT22_4x_0" localSheetId="76">'491'!$T$61</definedName>
    <definedName name="OSRRefT22_4x_0" localSheetId="90">'492'!$T$56</definedName>
    <definedName name="OSRRefT22_4x_0" localSheetId="97">'501'!$T$46</definedName>
    <definedName name="OSRRefT22_4x_0" localSheetId="39">'Div 2'!$T$48</definedName>
    <definedName name="OSRRefT22_4x_0" localSheetId="47">'Div 3'!$T$198</definedName>
    <definedName name="OSRRefT22_4x_0" localSheetId="74">'Div 4'!$T$62</definedName>
    <definedName name="OSRRefT22_4x_0" localSheetId="96">'Div 5'!$T$46</definedName>
    <definedName name="OSRRefT22_4x_0" localSheetId="64">'Div 6'!$T$86</definedName>
    <definedName name="OSRRefT22_4x_0" localSheetId="2">Summary!$T$230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'204'!$T$50</definedName>
    <definedName name="OSRRefT22_5x_0" localSheetId="45">'205'!$T$47:$T$48</definedName>
    <definedName name="OSRRefT22_5x_0" localSheetId="46">'206'!$T$47</definedName>
    <definedName name="OSRRefT22_5x_0" localSheetId="48">'300'!$T$195:$T$198</definedName>
    <definedName name="OSRRefT22_5x_0" localSheetId="49">'300 &amp; 317'!$T$220:$T$223</definedName>
    <definedName name="OSRRefT22_5x_0" localSheetId="50">'301'!$T$48:$T$51</definedName>
    <definedName name="OSRRefT22_5x_0" localSheetId="51">'306'!$T$47</definedName>
    <definedName name="OSRRefT22_5x_0" localSheetId="53">'307'!$T$107</definedName>
    <definedName name="OSRRefT22_5x_0" localSheetId="55">'308'!$T$94</definedName>
    <definedName name="OSRRefT22_5x_0" localSheetId="67">'309'!$T$53:$T$54</definedName>
    <definedName name="OSRRefT22_5x_0" localSheetId="66">'310'!$T$61:$T$63</definedName>
    <definedName name="OSRRefT22_5x_0" localSheetId="75">'310 &amp; 491'!$T$69:$T$72</definedName>
    <definedName name="OSRRefT22_5x_0" localSheetId="56">'311'!$T$94</definedName>
    <definedName name="OSRRefT22_5x_0" localSheetId="68">'313'!$T$57</definedName>
    <definedName name="OSRRefT22_5x_0" localSheetId="54">'314'!$T$86</definedName>
    <definedName name="OSRRefT22_5x_0" localSheetId="59">'315'!$T$86:$T$87</definedName>
    <definedName name="OSRRefT22_5x_0" localSheetId="62">'316'!$T$62</definedName>
    <definedName name="OSRRefT22_5x_0" localSheetId="65">'317'!$T$88</definedName>
    <definedName name="OSRRefT22_5x_0" localSheetId="63">'320'!$T$58</definedName>
    <definedName name="OSRRefT22_5x_0" localSheetId="69">'321'!$T$52</definedName>
    <definedName name="OSRRefT22_5x_0" localSheetId="70">'322'!$T$53:$T$54</definedName>
    <definedName name="OSRRefT22_5x_0" localSheetId="71">'325'!$T$53:$T$55</definedName>
    <definedName name="OSRRefT22_5x_0" localSheetId="60">'326'!$T$85</definedName>
    <definedName name="OSRRefT22_5x_0" localSheetId="52">'330'!$T$114</definedName>
    <definedName name="OSRRefT22_5x_0" localSheetId="58">'331'!$T$101:$T$102</definedName>
    <definedName name="OSRRefT22_5x_0" localSheetId="61">'332'!$T$71</definedName>
    <definedName name="OSRRefT22_5x_0" localSheetId="77">'405'!$T$53:$T$55</definedName>
    <definedName name="OSRRefT22_5x_0" localSheetId="78">'406'!$T$54:$T$55</definedName>
    <definedName name="OSRRefT22_5x_0" localSheetId="79">'411'!$T$51</definedName>
    <definedName name="OSRRefT22_5x_0" localSheetId="80">'412'!$T$53:$T$55</definedName>
    <definedName name="OSRRefT22_5x_0" localSheetId="82">'413'!$T$54</definedName>
    <definedName name="OSRRefT22_5x_0" localSheetId="83">'414'!$T$54:$T$55</definedName>
    <definedName name="OSRRefT22_5x_0" localSheetId="84">'415'!$T$53:$T$55</definedName>
    <definedName name="OSRRefT22_5x_0" localSheetId="85">'418'!$T$54:$T$56</definedName>
    <definedName name="OSRRefT22_5x_0" localSheetId="81">'420'!$T$43:$T$44</definedName>
    <definedName name="OSRRefT22_5x_0" localSheetId="86">'423'!$T$48</definedName>
    <definedName name="OSRRefT22_5x_0" localSheetId="87">'424'!$T$53</definedName>
    <definedName name="OSRRefT22_5x_0" localSheetId="88">'425'!$T$57:$T$58</definedName>
    <definedName name="OSRRefT22_5x_0" localSheetId="91">'430'!$T$47</definedName>
    <definedName name="OSRRefT22_5x_0" localSheetId="92">'433'!$T$55</definedName>
    <definedName name="OSRRefT22_5x_0" localSheetId="93">'435'!$T$53</definedName>
    <definedName name="OSRRefT22_5x_0" localSheetId="94">'444'!$T$55</definedName>
    <definedName name="OSRRefT22_5x_0" localSheetId="95">'450'!$T$56</definedName>
    <definedName name="OSRRefT22_5x_0" localSheetId="76">'491'!$T$63:$T$66</definedName>
    <definedName name="OSRRefT22_5x_0" localSheetId="90">'492'!$T$58:$T$59</definedName>
    <definedName name="OSRRefT22_5x_0" localSheetId="97">'501'!$T$48</definedName>
    <definedName name="OSRRefT22_5x_0" localSheetId="39">'Div 2'!$T$50:$T$51</definedName>
    <definedName name="OSRRefT22_5x_0" localSheetId="47">'Div 3'!$T$200:$T$203</definedName>
    <definedName name="OSRRefT22_5x_0" localSheetId="74">'Div 4'!$T$64:$T$67</definedName>
    <definedName name="OSRRefT22_5x_0" localSheetId="96">'Div 5'!$T$48</definedName>
    <definedName name="OSRRefT22_5x_0" localSheetId="64">'Div 6'!$T$88</definedName>
    <definedName name="OSRRefT22_5x_0" localSheetId="2">Summary!$T$232:$T$235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'204'!$T$52</definedName>
    <definedName name="OSRRefT22_6x_0" localSheetId="45">'205'!$T$50</definedName>
    <definedName name="OSRRefT22_6x_0" localSheetId="46">'206'!$T$49</definedName>
    <definedName name="OSRRefT22_6x_0" localSheetId="48">'300'!$T$200:$T$201</definedName>
    <definedName name="OSRRefT22_6x_0" localSheetId="49">'300 &amp; 317'!$T$225:$T$226</definedName>
    <definedName name="OSRRefT22_6x_0" localSheetId="50">'301'!$T$53:$T$54</definedName>
    <definedName name="OSRRefT22_6x_0" localSheetId="51">'306'!$T$49</definedName>
    <definedName name="OSRRefT22_6x_0" localSheetId="53">'307'!$T$109</definedName>
    <definedName name="OSRRefT22_6x_0" localSheetId="55">'308'!$T$96:$T$97</definedName>
    <definedName name="OSRRefT22_6x_0" localSheetId="67">'309'!$T$56</definedName>
    <definedName name="OSRRefT22_6x_0" localSheetId="66">'310'!$T$65</definedName>
    <definedName name="OSRRefT22_6x_0" localSheetId="75">'310 &amp; 491'!$T$74</definedName>
    <definedName name="OSRRefT22_6x_0" localSheetId="56">'311'!$T$96:$T$97</definedName>
    <definedName name="OSRRefT22_6x_0" localSheetId="68">'313'!$T$59</definedName>
    <definedName name="OSRRefT22_6x_0" localSheetId="54">'314'!$T$88</definedName>
    <definedName name="OSRRefT22_6x_0" localSheetId="59">'315'!$T$89</definedName>
    <definedName name="OSRRefT22_6x_0" localSheetId="62">'316'!$T$64</definedName>
    <definedName name="OSRRefT22_6x_0" localSheetId="65">'317'!$T$90</definedName>
    <definedName name="OSRRefT22_6x_0" localSheetId="63">'320'!$T$60</definedName>
    <definedName name="OSRRefT22_6x_0" localSheetId="69">'321'!$T$54</definedName>
    <definedName name="OSRRefT22_6x_0" localSheetId="70">'322'!$T$56</definedName>
    <definedName name="OSRRefT22_6x_0" localSheetId="71">'325'!$T$57</definedName>
    <definedName name="OSRRefT22_6x_0" localSheetId="60">'326'!$T$87</definedName>
    <definedName name="OSRRefT22_6x_0" localSheetId="52">'330'!$T$116</definedName>
    <definedName name="OSRRefT22_6x_0" localSheetId="58">'331'!$T$104</definedName>
    <definedName name="OSRRefT22_6x_0" localSheetId="61">'332'!$T$73</definedName>
    <definedName name="OSRRefT22_6x_0" localSheetId="77">'405'!$T$57</definedName>
    <definedName name="OSRRefT22_6x_0" localSheetId="78">'406'!$T$57</definedName>
    <definedName name="OSRRefT22_6x_0" localSheetId="79">'411'!$T$53</definedName>
    <definedName name="OSRRefT22_6x_0" localSheetId="80">'412'!$T$57</definedName>
    <definedName name="OSRRefT22_6x_0" localSheetId="82">'413'!$T$56</definedName>
    <definedName name="OSRRefT22_6x_0" localSheetId="83">'414'!$T$57</definedName>
    <definedName name="OSRRefT22_6x_0" localSheetId="84">'415'!$T$57</definedName>
    <definedName name="OSRRefT22_6x_0" localSheetId="85">'418'!$T$58</definedName>
    <definedName name="OSRRefT22_6x_0" localSheetId="81">'420'!$T$46</definedName>
    <definedName name="OSRRefT22_6x_0" localSheetId="87">'424'!$T$55</definedName>
    <definedName name="OSRRefT22_6x_0" localSheetId="88">'425'!$T$60</definedName>
    <definedName name="OSRRefT22_6x_0" localSheetId="91">'430'!$T$49</definedName>
    <definedName name="OSRRefT22_6x_0" localSheetId="92">'433'!$T$57</definedName>
    <definedName name="OSRRefT22_6x_0" localSheetId="93">'435'!$T$55</definedName>
    <definedName name="OSRRefT22_6x_0" localSheetId="94">'444'!$T$57</definedName>
    <definedName name="OSRRefT22_6x_0" localSheetId="95">'450'!$T$58</definedName>
    <definedName name="OSRRefT22_6x_0" localSheetId="76">'491'!$T$68</definedName>
    <definedName name="OSRRefT22_6x_0" localSheetId="90">'492'!$T$61</definedName>
    <definedName name="OSRRefT22_6x_0" localSheetId="97">'501'!$T$50</definedName>
    <definedName name="OSRRefT22_6x_0" localSheetId="39">'Div 2'!$T$53:$T$54</definedName>
    <definedName name="OSRRefT22_6x_0" localSheetId="47">'Div 3'!$T$205:$T$206</definedName>
    <definedName name="OSRRefT22_6x_0" localSheetId="74">'Div 4'!$T$69</definedName>
    <definedName name="OSRRefT22_6x_0" localSheetId="96">'Div 5'!$T$50</definedName>
    <definedName name="OSRRefT22_6x_0" localSheetId="64">'Div 6'!$T$90</definedName>
    <definedName name="OSRRefT22_6x_0" localSheetId="2">Summary!$T$237:$T$238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'204'!$T$54:$T$57</definedName>
    <definedName name="OSRRefT22_7x_0" localSheetId="45">'205'!$T$52:$T$53</definedName>
    <definedName name="OSRRefT22_7x_0" localSheetId="46">'206'!$T$51:$T$52</definedName>
    <definedName name="OSRRefT22_7x_0" localSheetId="48">'300'!$T$203:$T$204</definedName>
    <definedName name="OSRRefT22_7x_0" localSheetId="49">'300 &amp; 317'!$T$228:$T$229</definedName>
    <definedName name="OSRRefT22_7x_0" localSheetId="50">'301'!$T$56:$T$57</definedName>
    <definedName name="OSRRefT22_7x_0" localSheetId="51">'306'!$T$51:$T$52</definedName>
    <definedName name="OSRRefT22_7x_0" localSheetId="53">'307'!$T$111</definedName>
    <definedName name="OSRRefT22_7x_0" localSheetId="55">'308'!$T$99</definedName>
    <definedName name="OSRRefT22_7x_0" localSheetId="67">'309'!$T$58</definedName>
    <definedName name="OSRRefT22_7x_0" localSheetId="66">'310'!$T$67</definedName>
    <definedName name="OSRRefT22_7x_0" localSheetId="75">'310 &amp; 491'!$T$76</definedName>
    <definedName name="OSRRefT22_7x_0" localSheetId="56">'311'!$T$99</definedName>
    <definedName name="OSRRefT22_7x_0" localSheetId="68">'313'!$T$61</definedName>
    <definedName name="OSRRefT22_7x_0" localSheetId="54">'314'!$T$90</definedName>
    <definedName name="OSRRefT22_7x_0" localSheetId="59">'315'!$T$91</definedName>
    <definedName name="OSRRefT22_7x_0" localSheetId="62">'316'!$T$66</definedName>
    <definedName name="OSRRefT22_7x_0" localSheetId="65">'317'!$T$92</definedName>
    <definedName name="OSRRefT22_7x_0" localSheetId="63">'320'!$T$62:$T$63</definedName>
    <definedName name="OSRRefT22_7x_0" localSheetId="69">'321'!$T$56</definedName>
    <definedName name="OSRRefT22_7x_0" localSheetId="70">'322'!$T$58</definedName>
    <definedName name="OSRRefT22_7x_0" localSheetId="71">'325'!$T$59</definedName>
    <definedName name="OSRRefT22_7x_0" localSheetId="60">'326'!$T$89</definedName>
    <definedName name="OSRRefT22_7x_0" localSheetId="52">'330'!$T$118</definedName>
    <definedName name="OSRRefT22_7x_0" localSheetId="58">'331'!$T$106</definedName>
    <definedName name="OSRRefT22_7x_0" localSheetId="61">'332'!$T$75:$T$76</definedName>
    <definedName name="OSRRefT22_7x_0" localSheetId="77">'405'!$T$59</definedName>
    <definedName name="OSRRefT22_7x_0" localSheetId="78">'406'!$T$59</definedName>
    <definedName name="OSRRefT22_7x_0" localSheetId="79">'411'!$T$55</definedName>
    <definedName name="OSRRefT22_7x_0" localSheetId="80">'412'!$T$59</definedName>
    <definedName name="OSRRefT22_7x_0" localSheetId="82">'413'!$T$58</definedName>
    <definedName name="OSRRefT22_7x_0" localSheetId="83">'414'!$T$59</definedName>
    <definedName name="OSRRefT22_7x_0" localSheetId="84">'415'!$T$59</definedName>
    <definedName name="OSRRefT22_7x_0" localSheetId="85">'418'!$T$60</definedName>
    <definedName name="OSRRefT22_7x_0" localSheetId="87">'424'!$T$57:$T$58</definedName>
    <definedName name="OSRRefT22_7x_0" localSheetId="88">'425'!$T$62</definedName>
    <definedName name="OSRRefT22_7x_0" localSheetId="91">'430'!$T$51:$T$53</definedName>
    <definedName name="OSRRefT22_7x_0" localSheetId="92">'433'!$T$59</definedName>
    <definedName name="OSRRefT22_7x_0" localSheetId="93">'435'!$T$57:$T$59</definedName>
    <definedName name="OSRRefT22_7x_0" localSheetId="94">'444'!$T$59</definedName>
    <definedName name="OSRRefT22_7x_0" localSheetId="95">'450'!$T$60</definedName>
    <definedName name="OSRRefT22_7x_0" localSheetId="76">'491'!$T$70</definedName>
    <definedName name="OSRRefT22_7x_0" localSheetId="90">'492'!$T$63</definedName>
    <definedName name="OSRRefT22_7x_0" localSheetId="97">'501'!$T$52</definedName>
    <definedName name="OSRRefT22_7x_0" localSheetId="39">'Div 2'!$T$56</definedName>
    <definedName name="OSRRefT22_7x_0" localSheetId="47">'Div 3'!$T$208:$T$209</definedName>
    <definedName name="OSRRefT22_7x_0" localSheetId="74">'Div 4'!$T$71:$T$72</definedName>
    <definedName name="OSRRefT22_7x_0" localSheetId="96">'Div 5'!$T$52</definedName>
    <definedName name="OSRRefT22_7x_0" localSheetId="64">'Div 6'!$T$92</definedName>
    <definedName name="OSRRefT22_7x_0" localSheetId="2">Summary!$T$240:$T$242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'204'!$T$59</definedName>
    <definedName name="OSRRefT22_8x_0" localSheetId="45">'205'!$T$55</definedName>
    <definedName name="OSRRefT22_8x_0" localSheetId="46">'206'!$T$54</definedName>
    <definedName name="OSRRefT22_8x_0" localSheetId="48">'300'!$T$206</definedName>
    <definedName name="OSRRefT22_8x_0" localSheetId="49">'300 &amp; 317'!$T$231</definedName>
    <definedName name="OSRRefT22_8x_0" localSheetId="50">'301'!$T$59</definedName>
    <definedName name="OSRRefT22_8x_0" localSheetId="51">'306'!$T$54:$T$57</definedName>
    <definedName name="OSRRefT22_8x_0" localSheetId="53">'307'!$T$113:$T$114</definedName>
    <definedName name="OSRRefT22_8x_0" localSheetId="55">'308'!$T$101</definedName>
    <definedName name="OSRRefT22_8x_0" localSheetId="67">'309'!$T$60</definedName>
    <definedName name="OSRRefT22_8x_0" localSheetId="66">'310'!$T$69</definedName>
    <definedName name="OSRRefT22_8x_0" localSheetId="75">'310 &amp; 491'!$T$78</definedName>
    <definedName name="OSRRefT22_8x_0" localSheetId="56">'311'!$T$101</definedName>
    <definedName name="OSRRefT22_8x_0" localSheetId="68">'313'!$T$63</definedName>
    <definedName name="OSRRefT22_8x_0" localSheetId="54">'314'!$T$92</definedName>
    <definedName name="OSRRefT22_8x_0" localSheetId="59">'315'!$T$93</definedName>
    <definedName name="OSRRefT22_8x_0" localSheetId="62">'316'!$T$68</definedName>
    <definedName name="OSRRefT22_8x_0" localSheetId="65">'317'!$T$94</definedName>
    <definedName name="OSRRefT22_8x_0" localSheetId="63">'320'!$T$65</definedName>
    <definedName name="OSRRefT22_8x_0" localSheetId="69">'321'!$T$58</definedName>
    <definedName name="OSRRefT22_8x_0" localSheetId="70">'322'!$T$60</definedName>
    <definedName name="OSRRefT22_8x_0" localSheetId="71">'325'!$T$61</definedName>
    <definedName name="OSRRefT22_8x_0" localSheetId="60">'326'!$T$91</definedName>
    <definedName name="OSRRefT22_8x_0" localSheetId="52">'330'!$T$120</definedName>
    <definedName name="OSRRefT22_8x_0" localSheetId="58">'331'!$T$108:$T$109</definedName>
    <definedName name="OSRRefT22_8x_0" localSheetId="61">'332'!$T$78</definedName>
    <definedName name="OSRRefT22_8x_0" localSheetId="77">'405'!$T$61</definedName>
    <definedName name="OSRRefT22_8x_0" localSheetId="78">'406'!$T$61</definedName>
    <definedName name="OSRRefT22_8x_0" localSheetId="79">'411'!$T$57</definedName>
    <definedName name="OSRRefT22_8x_0" localSheetId="80">'412'!$T$61</definedName>
    <definedName name="OSRRefT22_8x_0" localSheetId="82">'413'!$T$60:$T$62</definedName>
    <definedName name="OSRRefT22_8x_0" localSheetId="83">'414'!$T$61</definedName>
    <definedName name="OSRRefT22_8x_0" localSheetId="84">'415'!$T$61</definedName>
    <definedName name="OSRRefT22_8x_0" localSheetId="85">'418'!$T$62</definedName>
    <definedName name="OSRRefT22_8x_0" localSheetId="87">'424'!$T$60:$T$62</definedName>
    <definedName name="OSRRefT22_8x_0" localSheetId="88">'425'!$T$64</definedName>
    <definedName name="OSRRefT22_8x_0" localSheetId="91">'430'!$T$55</definedName>
    <definedName name="OSRRefT22_8x_0" localSheetId="92">'433'!$T$61</definedName>
    <definedName name="OSRRefT22_8x_0" localSheetId="93">'435'!$T$61</definedName>
    <definedName name="OSRRefT22_8x_0" localSheetId="94">'444'!$T$61</definedName>
    <definedName name="OSRRefT22_8x_0" localSheetId="95">'450'!$T$62</definedName>
    <definedName name="OSRRefT22_8x_0" localSheetId="76">'491'!$T$72</definedName>
    <definedName name="OSRRefT22_8x_0" localSheetId="90">'492'!$T$65</definedName>
    <definedName name="OSRRefT22_8x_0" localSheetId="97">'501'!$T$54</definedName>
    <definedName name="OSRRefT22_8x_0" localSheetId="39">'Div 2'!$T$58</definedName>
    <definedName name="OSRRefT22_8x_0" localSheetId="47">'Div 3'!$T$211</definedName>
    <definedName name="OSRRefT22_8x_0" localSheetId="74">'Div 4'!$T$74</definedName>
    <definedName name="OSRRefT22_8x_0" localSheetId="96">'Div 5'!$T$54</definedName>
    <definedName name="OSRRefT22_8x_0" localSheetId="64">'Div 6'!$T$94</definedName>
    <definedName name="OSRRefT22_8x_0" localSheetId="2">Summary!$T$244</definedName>
    <definedName name="OSRRefT22_9x_0" localSheetId="41">'201'!$T$56</definedName>
    <definedName name="OSRRefT22_9x_0" localSheetId="42">'202'!$T$55:$T$57</definedName>
    <definedName name="OSRRefT22_9x_0" localSheetId="43">'203'!$T$56:$T$57</definedName>
    <definedName name="OSRRefT22_9x_0" localSheetId="44">'204'!$T$61:$T$62</definedName>
    <definedName name="OSRRefT22_9x_0" localSheetId="45">'205'!$T$57</definedName>
    <definedName name="OSRRefT22_9x_0" localSheetId="46">'206'!$T$56</definedName>
    <definedName name="OSRRefT22_9x_0" localSheetId="48">'300'!$T$208</definedName>
    <definedName name="OSRRefT22_9x_0" localSheetId="49">'300 &amp; 317'!$T$233</definedName>
    <definedName name="OSRRefT22_9x_0" localSheetId="50">'301'!$T$61</definedName>
    <definedName name="OSRRefT22_9x_0" localSheetId="51">'306'!$T$59</definedName>
    <definedName name="OSRRefT22_9x_0" localSheetId="53">'307'!$T$116:$T$117</definedName>
    <definedName name="OSRRefT22_9x_0" localSheetId="55">'308'!$T$103:$T$105</definedName>
    <definedName name="OSRRefT22_9x_0" localSheetId="67">'309'!$T$62:$T$63</definedName>
    <definedName name="OSRRefT22_9x_0" localSheetId="66">'310'!$T$71</definedName>
    <definedName name="OSRRefT22_9x_0" localSheetId="75">'310 &amp; 491'!$T$80</definedName>
    <definedName name="OSRRefT22_9x_0" localSheetId="56">'311'!$T$103:$T$105</definedName>
    <definedName name="OSRRefT22_9x_0" localSheetId="68">'313'!$T$65</definedName>
    <definedName name="OSRRefT22_9x_0" localSheetId="54">'314'!$T$94</definedName>
    <definedName name="OSRRefT22_9x_0" localSheetId="59">'315'!$T$95</definedName>
    <definedName name="OSRRefT22_9x_0" localSheetId="62">'316'!$T$70:$T$71</definedName>
    <definedName name="OSRRefT22_9x_0" localSheetId="65">'317'!$T$96:$T$97</definedName>
    <definedName name="OSRRefT22_9x_0" localSheetId="69">'321'!$T$60:$T$62</definedName>
    <definedName name="OSRRefT22_9x_0" localSheetId="70">'322'!$T$62:$T$64</definedName>
    <definedName name="OSRRefT22_9x_0" localSheetId="71">'325'!$T$63</definedName>
    <definedName name="OSRRefT22_9x_0" localSheetId="60">'326'!$T$93</definedName>
    <definedName name="OSRRefT22_9x_0" localSheetId="52">'330'!$T$122:$T$123</definedName>
    <definedName name="OSRRefT22_9x_0" localSheetId="58">'331'!$T$111</definedName>
    <definedName name="OSRRefT22_9x_0" localSheetId="61">'332'!$T$80</definedName>
    <definedName name="OSRRefT22_9x_0" localSheetId="77">'405'!$T$63</definedName>
    <definedName name="OSRRefT22_9x_0" localSheetId="78">'406'!$T$63:$T$65</definedName>
    <definedName name="OSRRefT22_9x_0" localSheetId="79">'411'!$T$59</definedName>
    <definedName name="OSRRefT22_9x_0" localSheetId="80">'412'!$T$63:$T$64</definedName>
    <definedName name="OSRRefT22_9x_0" localSheetId="82">'413'!$T$64:$T$65</definedName>
    <definedName name="OSRRefT22_9x_0" localSheetId="83">'414'!$T$63:$T$64</definedName>
    <definedName name="OSRRefT22_9x_0" localSheetId="84">'415'!$T$63</definedName>
    <definedName name="OSRRefT22_9x_0" localSheetId="85">'418'!$T$64</definedName>
    <definedName name="OSRRefT22_9x_0" localSheetId="87">'424'!$T$64</definedName>
    <definedName name="OSRRefT22_9x_0" localSheetId="88">'425'!$T$66:$T$68</definedName>
    <definedName name="OSRRefT22_9x_0" localSheetId="91">'430'!$T$57</definedName>
    <definedName name="OSRRefT22_9x_0" localSheetId="92">'433'!$T$63</definedName>
    <definedName name="OSRRefT22_9x_0" localSheetId="94">'444'!$T$63</definedName>
    <definedName name="OSRRefT22_9x_0" localSheetId="95">'450'!$T$64</definedName>
    <definedName name="OSRRefT22_9x_0" localSheetId="76">'491'!$T$74</definedName>
    <definedName name="OSRRefT22_9x_0" localSheetId="90">'492'!$T$67</definedName>
    <definedName name="OSRRefT22_9x_0" localSheetId="97">'501'!$T$56</definedName>
    <definedName name="OSRRefT22_9x_0" localSheetId="39">'Div 2'!$T$60</definedName>
    <definedName name="OSRRefT22_9x_0" localSheetId="47">'Div 3'!$T$213</definedName>
    <definedName name="OSRRefT22_9x_0" localSheetId="74">'Div 4'!$T$76</definedName>
    <definedName name="OSRRefT22_9x_0" localSheetId="96">'Div 5'!$T$56</definedName>
    <definedName name="OSRRefT22_9x_0" localSheetId="64">'Div 6'!$T$96:$T$97</definedName>
    <definedName name="OSRRefT22_9x_0" localSheetId="2">Summary!$T$246</definedName>
    <definedName name="OSRRefT22x_0" localSheetId="40">'200'!$T$20,'200'!$T$22,'200'!$T$24,'200'!$T$26,'200'!$T$28:$T$29</definedName>
    <definedName name="OSRRefT22x_0" localSheetId="41">'201'!$T$20:$T$28,'201'!$T$30:$T$39,'201'!$T$41,'201'!$T$43,'201'!$T$45:$T$46,'201'!$T$48,'201'!$T$50,'201'!$T$52,'201'!$T$54,'201'!$T$56,'201'!$T$58:$T$60,'201'!$T$62:$T$64,'201'!$T$66,'201'!$T$68:$T$70,'201'!$T$72,'201'!$T$74,'201'!$T$76:$T$77</definedName>
    <definedName name="OSRRefT22x_0" localSheetId="42">'202'!$T$20:$T$28,'202'!$T$30:$T$39,'202'!$T$41,'202'!$T$43,'202'!$T$45,'202'!$T$47,'202'!$T$49,'202'!$T$51,'202'!$T$53,'202'!$T$55:$T$57,'202'!$T$59,'202'!$T$61:$T$63,'202'!$T$65,'202'!$T$67,'202'!$T$69:$T$70,'202'!$T$72,'202'!$T$74</definedName>
    <definedName name="OSRRefT22x_0" localSheetId="43">'203'!$T$20:$T$29,'203'!$T$31:$T$40,'203'!$T$42,'203'!$T$44,'203'!$T$46,'203'!$T$48,'203'!$T$50,'203'!$T$52,'203'!$T$54,'203'!$T$56:$T$57,'203'!$T$59:$T$60,'203'!$T$62,'203'!$T$64:$T$66,'203'!$T$68,'203'!$T$70,'203'!$T$72</definedName>
    <definedName name="OSRRefT22x_0" localSheetId="44">'204'!$T$21:$T$30,'204'!$T$32:$T$41,'204'!$T$43,'204'!$T$45:$T$46,'204'!$T$48,'204'!$T$50,'204'!$T$52,'204'!$T$54:$T$57,'204'!$T$59,'204'!$T$61:$T$62,'204'!$T$64:$T$65,'204'!$T$67,'204'!$T$69:$T$70</definedName>
    <definedName name="OSRRefT22x_0" localSheetId="45">'205'!$T$20:$T$28,'205'!$T$30:$T$39,'205'!$T$41,'205'!$T$43,'205'!$T$45,'205'!$T$47:$T$48,'205'!$T$50,'205'!$T$52:$T$53,'205'!$T$55,'205'!$T$57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$166:$T$175,'300'!$T$177:$T$186,'300'!$T$188,'300'!$T$190:$T$191,'300'!$T$193,'300'!$T$195:$T$198,'300'!$T$200:$T$201,'300'!$T$203:$T$204,'300'!$T$206,'300'!$T$208,'300'!$T$210:$T$211,'300'!$T$213,'300'!$T$215,'300'!$T$217,'300'!$T$219,'300'!$T$221,'300'!$T$223:$T$226,'300'!$T$228:$T$231,'300'!$T$233:$T$236,'300'!$T$238:$T$239,'300'!$T$241:$T$247,'300'!$T$249:$T$250,'300'!$T$252,'300'!$T$254:$T$256,'300'!$T$258</definedName>
    <definedName name="OSRRefT22x_0" localSheetId="49">'300 &amp; 317'!$T$191:$T$200,'300 &amp; 317'!$T$202:$T$211,'300 &amp; 317'!$T$213,'300 &amp; 317'!$T$215:$T$216,'300 &amp; 317'!$T$218,'300 &amp; 317'!$T$220:$T$223,'300 &amp; 317'!$T$225:$T$226,'300 &amp; 317'!$T$228:$T$229,'300 &amp; 317'!$T$231,'300 &amp; 317'!$T$233,'300 &amp; 317'!$T$235:$T$236,'300 &amp; 317'!$T$238,'300 &amp; 317'!$T$240,'300 &amp; 317'!$T$242,'300 &amp; 317'!$T$244,'300 &amp; 317'!$T$246,'300 &amp; 317'!$T$248:$T$251,'300 &amp; 317'!$T$253:$T$256,'300 &amp; 317'!$T$258:$T$261,'300 &amp; 317'!$T$263:$T$264,'300 &amp; 317'!$T$266:$T$272,'300 &amp; 317'!$T$274:$T$275,'300 &amp; 317'!$T$277,'300 &amp; 317'!$T$279:$T$281,'300 &amp; 317'!$T$283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:$T$76,'301'!$T$78:$T$80,'301'!$T$82:$T$83,'301'!$T$85:$T$90,'301'!$T$92,'301'!$T$94,'301'!$T$96:$T$98,'301'!$T$100</definedName>
    <definedName name="OSRRefT22x_0" localSheetId="51">'306'!$T$20:$T$28,'306'!$T$30:$T$39,'306'!$T$41,'306'!$T$43,'306'!$T$45,'306'!$T$47,'306'!$T$49,'306'!$T$51:$T$52,'306'!$T$54:$T$57,'306'!$T$59,'306'!$T$61</definedName>
    <definedName name="OSRRefT22x_0" localSheetId="53">'307'!$T$79:$T$87,'307'!$T$89:$T$98,'307'!$T$100,'307'!$T$102,'307'!$T$104:$T$105,'307'!$T$107,'307'!$T$109,'307'!$T$111,'307'!$T$113:$T$114,'307'!$T$116:$T$117,'307'!$T$119:$T$121,'307'!$T$123,'307'!$T$125</definedName>
    <definedName name="OSRRefT22x_0" localSheetId="55">'308'!$T$65:$T$74,'308'!$T$76:$T$85,'308'!$T$87,'308'!$T$89:$T$90,'308'!$T$92,'308'!$T$94,'308'!$T$96:$T$97,'308'!$T$99,'308'!$T$101,'308'!$T$103:$T$105,'308'!$T$107,'308'!$T$109:$T$111,'308'!$T$113:$T$114,'308'!$T$116,'308'!$T$118:$T$119</definedName>
    <definedName name="OSRRefT22x_0" localSheetId="67">'309'!$T$26:$T$34,'309'!$T$36:$T$45,'309'!$T$47,'309'!$T$49,'309'!$T$51,'309'!$T$53:$T$54,'309'!$T$56,'309'!$T$58,'309'!$T$60,'309'!$T$62:$T$63,'309'!$T$65:$T$67,'309'!$T$69:$T$71,'309'!$T$73,'309'!$T$75</definedName>
    <definedName name="OSRRefT22x_0" localSheetId="66">'310'!$T$34:$T$42,'310'!$T$44:$T$53,'310'!$T$55,'310'!$T$57,'310'!$T$59,'310'!$T$61:$T$63,'310'!$T$65,'310'!$T$67,'310'!$T$69,'310'!$T$71,'310'!$T$73,'310'!$T$75,'310'!$T$77,'310'!$T$79,'310'!$T$81,'310'!$T$83:$T$85,'310'!$T$87:$T$88,'310'!$T$90:$T$94,'310'!$T$96,'310'!$T$98:$T$106,'310'!$T$108,'310'!$T$110,'310'!$T$112,'310'!$T$114</definedName>
    <definedName name="OSRRefT22x_0" localSheetId="75">'310 &amp; 491'!$T$41:$T$50,'310 &amp; 491'!$T$52:$T$61,'310 &amp; 491'!$T$63,'310 &amp; 491'!$T$65,'310 &amp; 491'!$T$67,'310 &amp; 491'!$T$69:$T$72,'310 &amp; 491'!$T$74,'310 &amp; 491'!$T$76,'310 &amp; 491'!$T$78,'310 &amp; 491'!$T$80,'310 &amp; 491'!$T$82,'310 &amp; 491'!$T$84:$T$85,'310 &amp; 491'!$T$87,'310 &amp; 491'!$T$89,'310 &amp; 491'!$T$91,'310 &amp; 491'!$T$93,'310 &amp; 491'!$T$95,'310 &amp; 491'!$T$97:$T$100,'310 &amp; 491'!$T$102:$T$105,'310 &amp; 491'!$T$107:$T$112,'310 &amp; 491'!$T$114:$T$115,'310 &amp; 491'!$T$117:$T$126,'310 &amp; 491'!$T$128:$T$129,'310 &amp; 491'!$T$131,'310 &amp; 491'!$T$133:$T$135,'310 &amp; 491'!$T$137</definedName>
    <definedName name="OSRRefT22x_0" localSheetId="56">'311'!$T$65:$T$74,'311'!$T$76:$T$85,'311'!$T$87,'311'!$T$89:$T$90,'311'!$T$92,'311'!$T$94,'311'!$T$96:$T$97,'311'!$T$99,'311'!$T$101,'311'!$T$103:$T$105,'311'!$T$107,'311'!$T$109:$T$111,'311'!$T$113:$T$114,'311'!$T$116,'311'!$T$118:$T$119</definedName>
    <definedName name="OSRRefT22x_0" localSheetId="68">'313'!$T$30:$T$38,'313'!$T$40:$T$49,'313'!$T$51,'313'!$T$53,'313'!$T$55,'313'!$T$57,'313'!$T$59,'313'!$T$61,'313'!$T$63,'313'!$T$65,'313'!$T$67:$T$69,'313'!$T$71,'313'!$T$73:$T$77,'313'!$T$79,'313'!$T$81</definedName>
    <definedName name="OSRRefT22x_0" localSheetId="54">'314'!$T$58:$T$66,'314'!$T$68:$T$77,'314'!$T$79,'314'!$T$81:$T$82,'314'!$T$84,'314'!$T$86,'314'!$T$88,'314'!$T$90,'314'!$T$92,'314'!$T$94,'314'!$T$96</definedName>
    <definedName name="OSRRefT22x_0" localSheetId="59">'315'!$T$58:$T$66,'315'!$T$68:$T$77,'315'!$T$79,'315'!$T$81:$T$82,'315'!$T$84,'315'!$T$86:$T$87,'315'!$T$89,'315'!$T$91,'315'!$T$93,'315'!$T$95,'315'!$T$97:$T$99,'315'!$T$101:$T$102,'315'!$T$104:$T$108,'315'!$T$110,'315'!$T$112,'315'!$T$114:$T$115</definedName>
    <definedName name="OSRRefT22x_0" localSheetId="62">'316'!$T$35:$T$43,'316'!$T$45:$T$54,'316'!$T$56,'316'!$T$58,'316'!$T$60,'316'!$T$62,'316'!$T$64,'316'!$T$66,'316'!$T$68,'316'!$T$70:$T$71,'316'!$T$73:$T$74,'316'!$T$76:$T$80,'316'!$T$82:$T$83,'316'!$T$85</definedName>
    <definedName name="OSRRefT22x_0" localSheetId="65">'317'!$T$60:$T$69,'317'!$T$71:$T$80,'317'!$T$82,'317'!$T$84,'317'!$T$86,'317'!$T$88,'317'!$T$90,'317'!$T$92,'317'!$T$94,'317'!$T$96:$T$97,'317'!$T$99:$T$100,'317'!$T$102,'317'!$T$104</definedName>
    <definedName name="OSRRefT22x_0" localSheetId="63">'320'!$T$31:$T$38,'320'!$T$40:$T$49,'320'!$T$51,'320'!$T$53,'320'!$T$55:$T$56,'320'!$T$58,'320'!$T$60,'320'!$T$62:$T$63,'320'!$T$65</definedName>
    <definedName name="OSRRefT22x_0" localSheetId="69">'321'!$T$26:$T$33,'321'!$T$35:$T$44,'321'!$T$46,'321'!$T$48,'321'!$T$50,'321'!$T$52,'321'!$T$54,'321'!$T$56,'321'!$T$58,'321'!$T$60:$T$62,'321'!$T$64:$T$65,'321'!$T$67:$T$69,'321'!$T$71:$T$73,'321'!$T$75,'321'!$T$77</definedName>
    <definedName name="OSRRefT22x_0" localSheetId="70">'322'!$T$26:$T$34,'322'!$T$36:$T$45,'322'!$T$47,'322'!$T$49,'322'!$T$51,'322'!$T$53:$T$54,'322'!$T$56,'322'!$T$58,'322'!$T$60,'322'!$T$62:$T$64,'322'!$T$66:$T$68,'322'!$T$70:$T$75,'322'!$T$77,'322'!$T$79</definedName>
    <definedName name="OSRRefT22x_0" localSheetId="71">'325'!$T$26:$T$34,'325'!$T$36:$T$45,'325'!$T$47,'325'!$T$49,'325'!$T$51,'325'!$T$53:$T$55,'325'!$T$57,'325'!$T$59,'325'!$T$61,'325'!$T$63,'325'!$T$65,'325'!$T$67:$T$69,'325'!$T$71:$T$74,'325'!$T$76,'325'!$T$78:$T$84,'325'!$T$86,'325'!$T$88,'325'!$T$90,'325'!$T$92</definedName>
    <definedName name="OSRRefT22x_0" localSheetId="60">'326'!$T$57:$T$65,'326'!$T$67:$T$76,'326'!$T$78,'326'!$T$80:$T$81,'326'!$T$83,'326'!$T$85,'326'!$T$87,'326'!$T$89,'326'!$T$91,'326'!$T$93,'326'!$T$95,'326'!$T$97,'326'!$T$99,'326'!$T$101:$T$102,'326'!$T$104:$T$106,'326'!$T$108:$T$109,'326'!$T$111:$T$116,'326'!$T$118:$T$119,'326'!$T$121,'326'!$T$123,'326'!$T$125</definedName>
    <definedName name="OSRRefT22x_0" localSheetId="72">'327'!$T$24,'327'!$T$26,'327'!$T$28</definedName>
    <definedName name="OSRRefT22x_0" localSheetId="52">'330'!$T$86:$T$94,'330'!$T$96:$T$105,'330'!$T$107,'330'!$T$109,'330'!$T$111:$T$112,'330'!$T$114,'330'!$T$116,'330'!$T$118,'330'!$T$120,'330'!$T$122:$T$123,'330'!$T$125:$T$126,'330'!$T$128,'330'!$T$130:$T$132,'330'!$T$134,'330'!$T$136,'330'!$T$138</definedName>
    <definedName name="OSRRefT22x_0" localSheetId="58">'331'!$T$73:$T$81,'331'!$T$83:$T$92,'331'!$T$94,'331'!$T$96:$T$97,'331'!$T$99,'331'!$T$101:$T$102,'331'!$T$104,'331'!$T$106,'331'!$T$108:$T$109,'331'!$T$111,'331'!$T$113,'331'!$T$115,'331'!$T$117,'331'!$T$119,'331'!$T$121:$T$122,'331'!$T$124:$T$126,'331'!$T$128:$T$130,'331'!$T$132:$T$133,'331'!$T$135:$T$140,'331'!$T$142:$T$143,'331'!$T$145,'331'!$T$147:$T$148,'331'!$T$150</definedName>
    <definedName name="OSRRefT22x_0" localSheetId="61">'332'!$T$44:$T$52,'332'!$T$54:$T$63,'332'!$T$65,'332'!$T$67,'332'!$T$69,'332'!$T$71,'332'!$T$73,'332'!$T$75:$T$76,'332'!$T$78,'332'!$T$80,'332'!$T$82:$T$83,'332'!$T$85:$T$86,'332'!$T$88:$T$92,'332'!$T$94:$T$95,'332'!$T$97</definedName>
    <definedName name="OSRRefT22x_0" localSheetId="77">'405'!$T$26:$T$34,'405'!$T$36:$T$45,'405'!$T$47,'405'!$T$49,'405'!$T$51,'405'!$T$53:$T$55,'405'!$T$57,'405'!$T$59,'405'!$T$61,'405'!$T$63,'405'!$T$65,'405'!$T$67:$T$69,'405'!$T$71,'405'!$T$73:$T$75,'405'!$T$77:$T$78,'405'!$T$80:$T$88,'405'!$T$90,'405'!$T$92,'405'!$T$94,'405'!$T$96</definedName>
    <definedName name="OSRRefT22x_0" localSheetId="78">'406'!$T$27:$T$35,'406'!$T$37:$T$46,'406'!$T$48,'406'!$T$50,'406'!$T$52,'406'!$T$54:$T$55,'406'!$T$57,'406'!$T$59,'406'!$T$61,'406'!$T$63:$T$65,'406'!$T$67:$T$69,'406'!$T$71:$T$76,'406'!$T$78:$T$79,'406'!$T$81,'406'!$T$83</definedName>
    <definedName name="OSRRefT22x_0" localSheetId="79">'411'!$T$20:$T$29,'411'!$T$31:$T$40,'411'!$T$42,'411'!$T$44:$T$47,'411'!$T$49,'411'!$T$51,'411'!$T$53,'411'!$T$55,'411'!$T$57,'411'!$T$59,'411'!$T$61:$T$63,'411'!$T$65:$T$69,'411'!$T$71,'411'!$T$73:$T$80,'411'!$T$82,'411'!$T$84,'411'!$T$86:$T$88,'411'!$T$90</definedName>
    <definedName name="OSRRefT22x_0" localSheetId="80">'412'!$T$26:$T$34,'412'!$T$36:$T$45,'412'!$T$47,'412'!$T$49,'412'!$T$51,'412'!$T$53:$T$55,'412'!$T$57,'412'!$T$59,'412'!$T$61,'412'!$T$63:$T$64,'412'!$T$66,'412'!$T$68:$T$70,'412'!$T$72:$T$77,'412'!$T$79,'412'!$T$81,'412'!$T$83</definedName>
    <definedName name="OSRRefT22x_0" localSheetId="82">'413'!$T$27:$T$35,'413'!$T$37:$T$46,'413'!$T$48,'413'!$T$50,'413'!$T$52,'413'!$T$54,'413'!$T$56,'413'!$T$58,'413'!$T$60:$T$62,'413'!$T$64:$T$65,'413'!$T$67:$T$73,'413'!$T$75:$T$76,'413'!$T$78</definedName>
    <definedName name="OSRRefT22x_0" localSheetId="83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4">'415'!$T$26:$T$34,'415'!$T$36:$T$45,'415'!$T$47,'415'!$T$49,'415'!$T$51,'415'!$T$53:$T$55,'415'!$T$57,'415'!$T$59,'415'!$T$61,'415'!$T$63,'415'!$T$65,'415'!$T$67:$T$70,'415'!$T$72:$T$76,'415'!$T$78:$T$79,'415'!$T$81:$T$89,'415'!$T$91,'415'!$T$93,'415'!$T$95:$T$96,'415'!$T$98</definedName>
    <definedName name="OSRRefT22x_0" localSheetId="85">'418'!$T$27:$T$35,'418'!$T$37:$T$46,'418'!$T$48,'418'!$T$50,'418'!$T$52,'418'!$T$54:$T$56,'418'!$T$58,'418'!$T$60,'418'!$T$62,'418'!$T$64,'418'!$T$66:$T$67,'418'!$T$69:$T$71,'418'!$T$73:$T$75,'418'!$T$77:$T$78,'418'!$T$80:$T$86,'418'!$T$88,'418'!$T$90,'418'!$T$92</definedName>
    <definedName name="OSRRefT22x_0" localSheetId="81">'420'!$T$23:$T$30,'420'!$T$32:$T$35,'420'!$T$37,'420'!$T$39,'420'!$T$41,'420'!$T$43:$T$44,'420'!$T$46</definedName>
    <definedName name="OSRRefT22x_0" localSheetId="86">'423'!$T$21:$T$29,'423'!$T$31:$T$40,'423'!$T$42,'423'!$T$44,'423'!$T$46,'423'!$T$48</definedName>
    <definedName name="OSRRefT22x_0" localSheetId="87">'424'!$T$27:$T$34,'424'!$T$36:$T$45,'424'!$T$47,'424'!$T$49,'424'!$T$51,'424'!$T$53,'424'!$T$55,'424'!$T$57:$T$58,'424'!$T$60:$T$62,'424'!$T$64,'424'!$T$66:$T$70,'424'!$T$72:$T$73</definedName>
    <definedName name="OSRRefT22x_0" localSheetId="88">'425'!$T$29:$T$38,'425'!$T$40:$T$49,'425'!$T$51,'425'!$T$53,'425'!$T$55,'425'!$T$57:$T$58,'425'!$T$60,'425'!$T$62,'425'!$T$64,'425'!$T$66:$T$68,'425'!$T$70:$T$71,'425'!$T$73:$T$74,'425'!$T$76,'425'!$T$78:$T$84,'425'!$T$86:$T$87,'425'!$T$89,'425'!$T$91</definedName>
    <definedName name="OSRRefT22x_0" localSheetId="91">'430'!$T$20:$T$28,'430'!$T$30:$T$39,'430'!$T$41,'430'!$T$43,'430'!$T$45,'430'!$T$47,'430'!$T$49,'430'!$T$51:$T$53,'430'!$T$55,'430'!$T$57,'430'!$T$59</definedName>
    <definedName name="OSRRefT22x_0" localSheetId="92">'433'!$T$27:$T$36,'433'!$T$38:$T$47,'433'!$T$49,'433'!$T$51,'433'!$T$53,'433'!$T$55,'433'!$T$57,'433'!$T$59,'433'!$T$61,'433'!$T$63,'433'!$T$65:$T$67,'433'!$T$69:$T$72,'433'!$T$74:$T$81,'433'!$T$83,'433'!$T$85,'433'!$T$87:$T$88</definedName>
    <definedName name="OSRRefT22x_0" localSheetId="93">'435'!$T$27:$T$34,'435'!$T$36:$T$45,'435'!$T$47,'435'!$T$49,'435'!$T$51,'435'!$T$53,'435'!$T$55,'435'!$T$57:$T$59,'435'!$T$61</definedName>
    <definedName name="OSRRefT22x_0" localSheetId="94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5">'450'!$T$27:$T$36,'450'!$T$38:$T$47,'450'!$T$49,'450'!$T$51:$T$52,'450'!$T$54,'450'!$T$56,'450'!$T$58,'450'!$T$60,'450'!$T$62,'450'!$T$64,'450'!$T$66,'450'!$T$68:$T$71,'450'!$T$73:$T$75,'450'!$T$77:$T$82,'450'!$T$84,'450'!$T$86,'450'!$T$88:$T$89</definedName>
    <definedName name="OSRRefT22x_0" localSheetId="89">'455'!$T$20:$T$27,'455'!$T$29:$T$38</definedName>
    <definedName name="OSRRefT22x_0" localSheetId="76">'491'!$T$35:$T$44,'491'!$T$46:$T$55,'491'!$T$57,'491'!$T$59,'491'!$T$61,'491'!$T$63:$T$66,'491'!$T$68,'491'!$T$70,'491'!$T$72,'491'!$T$74,'491'!$T$76:$T$77,'491'!$T$79,'491'!$T$81,'491'!$T$83,'491'!$T$85,'491'!$T$87:$T$90,'491'!$T$92:$T$95,'491'!$T$97:$T$101,'491'!$T$103:$T$104,'491'!$T$106:$T$115,'491'!$T$117:$T$118,'491'!$T$120,'491'!$T$122:$T$124,'491'!$T$126</definedName>
    <definedName name="OSRRefT22x_0" localSheetId="90">'492'!$T$29:$T$38,'492'!$T$40:$T$49,'492'!$T$51,'492'!$T$53:$T$54,'492'!$T$56,'492'!$T$58:$T$59,'492'!$T$61,'492'!$T$63,'492'!$T$65,'492'!$T$67,'492'!$T$69,'492'!$T$71,'492'!$T$73:$T$76,'492'!$T$78:$T$81,'492'!$T$83:$T$91,'492'!$T$93,'492'!$T$95,'492'!$T$97:$T$98</definedName>
    <definedName name="OSRRefT22x_0" localSheetId="97">'501'!$T$21:$T$29,'501'!$T$31:$T$40,'501'!$T$42,'501'!$T$44,'501'!$T$46,'501'!$T$48,'501'!$T$50,'501'!$T$52,'501'!$T$54,'501'!$T$56,'501'!$T$58:$T$61,'501'!$T$63,'501'!$T$65:$T$67,'501'!$T$69,'501'!$T$71</definedName>
    <definedName name="OSRRefT22x_0" localSheetId="39">'Div 2'!$T$21:$T$31,'Div 2'!$T$33:$T$42,'Div 2'!$T$44,'Div 2'!$T$46,'Div 2'!$T$48,'Div 2'!$T$50:$T$51,'Div 2'!$T$53:$T$54,'Div 2'!$T$56,'Div 2'!$T$58,'Div 2'!$T$60,'Div 2'!$T$62,'Div 2'!$T$64,'Div 2'!$T$66:$T$68,'Div 2'!$T$70:$T$73,'Div 2'!$T$75:$T$78,'Div 2'!$T$80:$T$81,'Div 2'!$T$83:$T$84,'Div 2'!$T$86:$T$90,'Div 2'!$T$92:$T$93,'Div 2'!$T$95,'Div 2'!$T$97:$T$98</definedName>
    <definedName name="OSRRefT22x_0" localSheetId="47">'Div 3'!$T$171:$T$180,'Div 3'!$T$182:$T$191,'Div 3'!$T$193,'Div 3'!$T$195:$T$196,'Div 3'!$T$198,'Div 3'!$T$200:$T$203,'Div 3'!$T$205:$T$206,'Div 3'!$T$208:$T$209,'Div 3'!$T$211,'Div 3'!$T$213,'Div 3'!$T$215:$T$216,'Div 3'!$T$218,'Div 3'!$T$220,'Div 3'!$T$222,'Div 3'!$T$224,'Div 3'!$T$226,'Div 3'!$T$228,'Div 3'!$T$230,'Div 3'!$T$232:$T$235,'Div 3'!$T$237:$T$240,'Div 3'!$T$242:$T$247,'Div 3'!$T$249:$T$250,'Div 3'!$T$252:$T$260,'Div 3'!$T$262:$T$263,'Div 3'!$T$265,'Div 3'!$T$267:$T$269,'Div 3'!$T$271</definedName>
    <definedName name="OSRRefT22x_0" localSheetId="74">'Div 4'!$T$35:$T$44,'Div 4'!$T$46:$T$55,'Div 4'!$T$57,'Div 4'!$T$59:$T$60,'Div 4'!$T$62,'Div 4'!$T$64:$T$67,'Div 4'!$T$69,'Div 4'!$T$71:$T$72,'Div 4'!$T$74,'Div 4'!$T$76,'Div 4'!$T$78,'Div 4'!$T$80:$T$81,'Div 4'!$T$83,'Div 4'!$T$85,'Div 4'!$T$87,'Div 4'!$T$89,'Div 4'!$T$91,'Div 4'!$T$93:$T$96,'Div 4'!$T$98:$T$101,'Div 4'!$T$103:$T$107,'Div 4'!$T$109:$T$110,'Div 4'!$T$112:$T$121,'Div 4'!$T$123:$T$124,'Div 4'!$T$126,'Div 4'!$T$128:$T$130,'Div 4'!$T$132</definedName>
    <definedName name="OSRRefT22x_0" localSheetId="96">'Div 5'!$T$21:$T$29,'Div 5'!$T$31:$T$40,'Div 5'!$T$42,'Div 5'!$T$44,'Div 5'!$T$46,'Div 5'!$T$48,'Div 5'!$T$50,'Div 5'!$T$52,'Div 5'!$T$54,'Div 5'!$T$56,'Div 5'!$T$58:$T$61,'Div 5'!$T$63,'Div 5'!$T$65:$T$67,'Div 5'!$T$69,'Div 5'!$T$71</definedName>
    <definedName name="OSRRefT22x_0" localSheetId="64">'Div 6'!$T$60:$T$69,'Div 6'!$T$71:$T$80,'Div 6'!$T$82,'Div 6'!$T$84,'Div 6'!$T$86,'Div 6'!$T$88,'Div 6'!$T$90,'Div 6'!$T$92,'Div 6'!$T$94,'Div 6'!$T$96:$T$97,'Div 6'!$T$99:$T$100,'Div 6'!$T$102,'Div 6'!$T$104</definedName>
    <definedName name="OSRRefT22x_0" localSheetId="2">Summary!$T$203:$T$212,Summary!$T$214:$T$223,Summary!$T$225,Summary!$T$227:$T$228,Summary!$T$230,Summary!$T$232:$T$235,Summary!$T$237:$T$238,Summary!$T$240:$T$242,Summary!$T$244,Summary!$T$246,Summary!$T$248:$T$249,Summary!$T$251:$T$252,Summary!$T$254,Summary!$T$256,Summary!$T$258,Summary!$T$260,Summary!$T$262,Summary!$T$264,Summary!$T$266:$T$269,Summary!$T$271:$T$274,Summary!$T$276:$T$281,Summary!$T$283:$T$284,Summary!$T$286:$T$295,Summary!$T$297:$T$298,Summary!$T$300,Summary!$T$302:$T$304,Summary!$T$306</definedName>
    <definedName name="OSRRefT25x_0" localSheetId="48">'300'!$T$261:$T$269</definedName>
    <definedName name="OSRRefT25x_0" localSheetId="49">'300 &amp; 317'!$T$286:$T$297</definedName>
    <definedName name="OSRRefT25x_0" localSheetId="50">'301'!$T$103:$T$106</definedName>
    <definedName name="OSRRefT25x_0" localSheetId="53">'307'!$T$128</definedName>
    <definedName name="OSRRefT25x_0" localSheetId="55">'308'!$T$122:$T$125</definedName>
    <definedName name="OSRRefT25x_0" localSheetId="75">'310 &amp; 491'!$T$140:$T$143</definedName>
    <definedName name="OSRRefT25x_0" localSheetId="56">'311'!$T$122:$T$125</definedName>
    <definedName name="OSRRefT25x_0" localSheetId="59">'315'!$T$118:$T$120</definedName>
    <definedName name="OSRRefT25x_0" localSheetId="62">'316'!$T$88:$T$89</definedName>
    <definedName name="OSRRefT25x_0" localSheetId="65">'317'!$T$107:$T$110</definedName>
    <definedName name="OSRRefT25x_0" localSheetId="63">'320'!$T$68:$T$72</definedName>
    <definedName name="OSRRefT25x_0" localSheetId="52">'330'!$T$141</definedName>
    <definedName name="OSRRefT25x_0" localSheetId="58">'331'!$T$153:$T$155</definedName>
    <definedName name="OSRRefT25x_0" localSheetId="61">'332'!$T$100:$T$106</definedName>
    <definedName name="OSRRefT25x_0" localSheetId="79">'411'!$T$93:$T$94</definedName>
    <definedName name="OSRRefT25x_0" localSheetId="82">'413'!$T$81</definedName>
    <definedName name="OSRRefT25x_0" localSheetId="84">'415'!$T$101</definedName>
    <definedName name="OSRRefT25x_0" localSheetId="86">'423'!$T$51</definedName>
    <definedName name="OSRRefT25x_0" localSheetId="87">'424'!$T$76</definedName>
    <definedName name="OSRRefT25x_0" localSheetId="88">'425'!$T$94</definedName>
    <definedName name="OSRRefT25x_0" localSheetId="89">'455'!$T$41:$T$44</definedName>
    <definedName name="OSRRefT25x_0" localSheetId="76">'491'!$T$129:$T$132</definedName>
    <definedName name="OSRRefT25x_0" localSheetId="97">'501'!$T$74</definedName>
    <definedName name="OSRRefT25x_0" localSheetId="47">'Div 3'!$T$274:$T$282</definedName>
    <definedName name="OSRRefT25x_0" localSheetId="74">'Div 4'!$T$135:$T$138</definedName>
    <definedName name="OSRRefT25x_0" localSheetId="96">'Div 5'!$T$74</definedName>
    <definedName name="OSRRefT25x_0" localSheetId="64">'Div 6'!$T$107:$T$110</definedName>
    <definedName name="OSRRefT25x_0" localSheetId="2">Summary!$T$309:$T$321</definedName>
    <definedName name="_xlnm.Print_Area" localSheetId="38">'100'!$A$1:$Z$34</definedName>
    <definedName name="_xlnm.Print_Area" localSheetId="40">'200'!$A$1:$Z$43</definedName>
    <definedName name="_xlnm.Print_Area" localSheetId="41">'201'!$A$1:$Z$91</definedName>
    <definedName name="_xlnm.Print_Area" localSheetId="42">'202'!$A$1:$Z$88</definedName>
    <definedName name="_xlnm.Print_Area" localSheetId="43">'203'!$A$1:$Z$86</definedName>
    <definedName name="_xlnm.Print_Area" localSheetId="44">'204'!$A$1:$Z$84</definedName>
    <definedName name="_xlnm.Print_Area" localSheetId="45">'205'!$A$1:$Z$71</definedName>
    <definedName name="_xlnm.Print_Area" localSheetId="46">'206'!$A$1:$Z$72</definedName>
    <definedName name="_xlnm.Print_Area" localSheetId="48">'300'!$A$1:$Z$281</definedName>
    <definedName name="_xlnm.Print_Area" localSheetId="49">'300 &amp; 317'!$A$1:$Z$309</definedName>
    <definedName name="_xlnm.Print_Area" localSheetId="50">'301'!$A$1:$Z$118</definedName>
    <definedName name="_xlnm.Print_Area" localSheetId="51">'306'!$A$1:$Z$75</definedName>
    <definedName name="_xlnm.Print_Area" localSheetId="53">'307'!$A$1:$Z$140</definedName>
    <definedName name="_xlnm.Print_Area" localSheetId="55">'308'!$A$1:$Z$137</definedName>
    <definedName name="_xlnm.Print_Area" localSheetId="67">'309'!$A$1:$Z$89</definedName>
    <definedName name="_xlnm.Print_Area" localSheetId="66">'310'!$A$1:$Z$128</definedName>
    <definedName name="_xlnm.Print_Area" localSheetId="75">'310 &amp; 491'!$A$1:$Z$155</definedName>
    <definedName name="_xlnm.Print_Area" localSheetId="56">'311'!$A$1:$Z$137</definedName>
    <definedName name="_xlnm.Print_Area" localSheetId="68">'313'!$A$1:$Z$95</definedName>
    <definedName name="_xlnm.Print_Area" localSheetId="54">'314'!$A$1:$Z$110</definedName>
    <definedName name="_xlnm.Print_Area" localSheetId="59">'315'!$A$1:$Z$132</definedName>
    <definedName name="_xlnm.Print_Area" localSheetId="62">'316'!$A$1:$Z$101</definedName>
    <definedName name="_xlnm.Print_Area" localSheetId="65">'317'!$A$1:$Z$122</definedName>
    <definedName name="_xlnm.Print_Area" localSheetId="63">'320'!$A$1:$Z$84</definedName>
    <definedName name="_xlnm.Print_Area" localSheetId="69">'321'!$A$1:$Z$91</definedName>
    <definedName name="_xlnm.Print_Area" localSheetId="70">'322'!$A$1:$Z$93</definedName>
    <definedName name="_xlnm.Print_Area" localSheetId="57">'324'!$A$1:$Z$38</definedName>
    <definedName name="_xlnm.Print_Area" localSheetId="71">'325'!$A$1:$Z$106</definedName>
    <definedName name="_xlnm.Print_Area" localSheetId="60">'326'!$A$1:$Z$139</definedName>
    <definedName name="_xlnm.Print_Area" localSheetId="72">'327'!$A$1:$Z$42</definedName>
    <definedName name="_xlnm.Print_Area" localSheetId="52">'330'!$A$1:$Z$153</definedName>
    <definedName name="_xlnm.Print_Area" localSheetId="58">'331'!$A$1:$Z$167</definedName>
    <definedName name="_xlnm.Print_Area" localSheetId="61">'332'!$A$1:$Z$118</definedName>
    <definedName name="_xlnm.Print_Area" localSheetId="73">'335'!$A$1:$Z$32</definedName>
    <definedName name="_xlnm.Print_Area" localSheetId="77">'405'!$A$1:$Z$110</definedName>
    <definedName name="_xlnm.Print_Area" localSheetId="78">'406'!$A$1:$Z$97</definedName>
    <definedName name="_xlnm.Print_Area" localSheetId="79">'411'!$A$1:$Z$106</definedName>
    <definedName name="_xlnm.Print_Area" localSheetId="80">'412'!$A$1:$Z$97</definedName>
    <definedName name="_xlnm.Print_Area" localSheetId="82">'413'!$A$1:$Z$93</definedName>
    <definedName name="_xlnm.Print_Area" localSheetId="83">'414'!$A$1:$Z$96</definedName>
    <definedName name="_xlnm.Print_Area" localSheetId="84">'415'!$A$1:$Z$113</definedName>
    <definedName name="_xlnm.Print_Area" localSheetId="85">'418'!$A$1:$Z$106</definedName>
    <definedName name="_xlnm.Print_Area" localSheetId="81">'420'!$A$1:$Z$60</definedName>
    <definedName name="_xlnm.Print_Area" localSheetId="86">'423'!$A$1:$Z$63</definedName>
    <definedName name="_xlnm.Print_Area" localSheetId="87">'424'!$A$1:$Z$88</definedName>
    <definedName name="_xlnm.Print_Area" localSheetId="88">'425'!$A$1:$Z$106</definedName>
    <definedName name="_xlnm.Print_Area" localSheetId="91">'430'!$A$1:$Z$73</definedName>
    <definedName name="_xlnm.Print_Area" localSheetId="92">'433'!$A$1:$Z$102</definedName>
    <definedName name="_xlnm.Print_Area" localSheetId="93">'435'!$A$1:$Z$75</definedName>
    <definedName name="_xlnm.Print_Area" localSheetId="94">'444'!$A$1:$Z$103</definedName>
    <definedName name="_xlnm.Print_Area" localSheetId="95">'450'!$A$1:$Z$103</definedName>
    <definedName name="_xlnm.Print_Area" localSheetId="89">'455'!$A$1:$Z$56</definedName>
    <definedName name="_xlnm.Print_Area" localSheetId="76">'491'!$A$1:$Z$144</definedName>
    <definedName name="_xlnm.Print_Area" localSheetId="90">'492'!$A$1:$Z$112</definedName>
    <definedName name="_xlnm.Print_Area" localSheetId="97">'501'!$A$1:$Z$86</definedName>
    <definedName name="_xlnm.Print_Area" localSheetId="98">Dept!$A$1:$Z$39</definedName>
    <definedName name="_xlnm.Print_Area" localSheetId="37">'Div 1'!$A$1:$Z$34</definedName>
    <definedName name="_xlnm.Print_Area" localSheetId="39">'Div 2'!$A$1:$Z$112</definedName>
    <definedName name="_xlnm.Print_Area" localSheetId="47">'Div 3'!$A$1:$Z$294</definedName>
    <definedName name="_xlnm.Print_Area" localSheetId="74">'Div 4'!$A$1:$Z$150</definedName>
    <definedName name="_xlnm.Print_Area" localSheetId="96">'Div 5'!$A$1:$Z$86</definedName>
    <definedName name="_xlnm.Print_Area" localSheetId="64">'Div 6'!$A$1:$Z$122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Summary!$A$1:$Z$335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5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3">'335'!$A:$C,'335'!$1:$10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1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8" i="110" l="1"/>
  <c r="X78" i="110"/>
  <c r="N78" i="110"/>
  <c r="L78" i="110"/>
  <c r="X74" i="110"/>
  <c r="Z74" i="110" s="1"/>
  <c r="P74" i="110"/>
  <c r="D74" i="110"/>
  <c r="L74" i="110" s="1"/>
  <c r="N74" i="110" s="1"/>
  <c r="B74" i="110"/>
  <c r="Z73" i="110"/>
  <c r="X73" i="110"/>
  <c r="T73" i="110"/>
  <c r="P73" i="110"/>
  <c r="H73" i="110"/>
  <c r="D73" i="110"/>
  <c r="L73" i="110" s="1"/>
  <c r="Z71" i="110"/>
  <c r="X71" i="110"/>
  <c r="N71" i="110"/>
  <c r="L71" i="110"/>
  <c r="B71" i="110"/>
  <c r="T70" i="110"/>
  <c r="Z70" i="110" s="1"/>
  <c r="P70" i="110"/>
  <c r="X70" i="110" s="1"/>
  <c r="N70" i="110"/>
  <c r="H70" i="110"/>
  <c r="D70" i="110"/>
  <c r="L70" i="110" s="1"/>
  <c r="B70" i="110"/>
  <c r="X69" i="110"/>
  <c r="Z69" i="110" s="1"/>
  <c r="N69" i="110"/>
  <c r="L69" i="110"/>
  <c r="B69" i="110"/>
  <c r="T68" i="110"/>
  <c r="Z68" i="110" s="1"/>
  <c r="R68" i="110"/>
  <c r="P68" i="110"/>
  <c r="X68" i="110" s="1"/>
  <c r="L68" i="110"/>
  <c r="N68" i="110" s="1"/>
  <c r="H68" i="110"/>
  <c r="D68" i="110"/>
  <c r="B68" i="110"/>
  <c r="Z67" i="110"/>
  <c r="X67" i="110"/>
  <c r="N67" i="110"/>
  <c r="L67" i="110"/>
  <c r="B67" i="110"/>
  <c r="Z66" i="110"/>
  <c r="X66" i="110"/>
  <c r="N66" i="110"/>
  <c r="L66" i="110"/>
  <c r="J66" i="110"/>
  <c r="B66" i="110"/>
  <c r="Z65" i="110"/>
  <c r="X65" i="110"/>
  <c r="L65" i="110"/>
  <c r="N65" i="110" s="1"/>
  <c r="B65" i="110"/>
  <c r="Z64" i="110"/>
  <c r="X64" i="110"/>
  <c r="T64" i="110"/>
  <c r="P64" i="110"/>
  <c r="H64" i="110"/>
  <c r="D64" i="110"/>
  <c r="B64" i="110"/>
  <c r="Z63" i="110"/>
  <c r="X63" i="110"/>
  <c r="N63" i="110"/>
  <c r="L63" i="110"/>
  <c r="B63" i="110"/>
  <c r="T62" i="110"/>
  <c r="Z62" i="110" s="1"/>
  <c r="P62" i="110"/>
  <c r="X62" i="110" s="1"/>
  <c r="L62" i="110"/>
  <c r="H62" i="110"/>
  <c r="N62" i="110" s="1"/>
  <c r="D62" i="110"/>
  <c r="B62" i="110"/>
  <c r="Z61" i="110"/>
  <c r="X61" i="110"/>
  <c r="N61" i="110"/>
  <c r="L61" i="110"/>
  <c r="B61" i="110"/>
  <c r="Z60" i="110"/>
  <c r="X60" i="110"/>
  <c r="N60" i="110"/>
  <c r="L60" i="110"/>
  <c r="B60" i="110"/>
  <c r="Z59" i="110"/>
  <c r="X59" i="110"/>
  <c r="L59" i="110"/>
  <c r="N59" i="110" s="1"/>
  <c r="B59" i="110"/>
  <c r="Z58" i="110"/>
  <c r="X58" i="110"/>
  <c r="N58" i="110"/>
  <c r="L58" i="110"/>
  <c r="B58" i="110"/>
  <c r="T57" i="110"/>
  <c r="P57" i="110"/>
  <c r="H57" i="110"/>
  <c r="D57" i="110"/>
  <c r="L57" i="110" s="1"/>
  <c r="N57" i="110" s="1"/>
  <c r="B57" i="110"/>
  <c r="Z56" i="110"/>
  <c r="X56" i="110"/>
  <c r="L56" i="110"/>
  <c r="N56" i="110" s="1"/>
  <c r="B56" i="110"/>
  <c r="T55" i="110"/>
  <c r="P55" i="110"/>
  <c r="H55" i="110"/>
  <c r="D55" i="110"/>
  <c r="L55" i="110" s="1"/>
  <c r="N55" i="110" s="1"/>
  <c r="B55" i="110"/>
  <c r="Z54" i="110"/>
  <c r="X54" i="110"/>
  <c r="V54" i="110"/>
  <c r="N54" i="110"/>
  <c r="L54" i="110"/>
  <c r="B54" i="110"/>
  <c r="T53" i="110"/>
  <c r="P53" i="110"/>
  <c r="X53" i="110" s="1"/>
  <c r="L53" i="110"/>
  <c r="N53" i="110" s="1"/>
  <c r="H53" i="110"/>
  <c r="D53" i="110"/>
  <c r="B53" i="110"/>
  <c r="X52" i="110"/>
  <c r="Z52" i="110" s="1"/>
  <c r="N52" i="110"/>
  <c r="L52" i="110"/>
  <c r="J52" i="110"/>
  <c r="B52" i="110"/>
  <c r="T51" i="110"/>
  <c r="P51" i="110"/>
  <c r="X51" i="110" s="1"/>
  <c r="Z51" i="110" s="1"/>
  <c r="L51" i="110"/>
  <c r="H51" i="110"/>
  <c r="D51" i="110"/>
  <c r="B51" i="110"/>
  <c r="X50" i="110"/>
  <c r="Z50" i="110" s="1"/>
  <c r="N50" i="110"/>
  <c r="L50" i="110"/>
  <c r="J50" i="110"/>
  <c r="B50" i="110"/>
  <c r="T49" i="110"/>
  <c r="P49" i="110"/>
  <c r="X49" i="110" s="1"/>
  <c r="Z49" i="110" s="1"/>
  <c r="H49" i="110"/>
  <c r="D49" i="110"/>
  <c r="L49" i="110" s="1"/>
  <c r="B49" i="110"/>
  <c r="X48" i="110"/>
  <c r="Z48" i="110" s="1"/>
  <c r="L48" i="110"/>
  <c r="N48" i="110" s="1"/>
  <c r="B48" i="110"/>
  <c r="X47" i="110"/>
  <c r="Z47" i="110" s="1"/>
  <c r="T47" i="110"/>
  <c r="P47" i="110"/>
  <c r="H47" i="110"/>
  <c r="N47" i="110" s="1"/>
  <c r="D47" i="110"/>
  <c r="L47" i="110" s="1"/>
  <c r="B47" i="110"/>
  <c r="Z46" i="110"/>
  <c r="X46" i="110"/>
  <c r="L46" i="110"/>
  <c r="N46" i="110" s="1"/>
  <c r="B46" i="110"/>
  <c r="T45" i="110"/>
  <c r="R45" i="110"/>
  <c r="P45" i="110"/>
  <c r="H45" i="110"/>
  <c r="D45" i="110"/>
  <c r="L45" i="110" s="1"/>
  <c r="N45" i="110" s="1"/>
  <c r="B45" i="110"/>
  <c r="Z44" i="110"/>
  <c r="X44" i="110"/>
  <c r="L44" i="110"/>
  <c r="N44" i="110" s="1"/>
  <c r="B44" i="110"/>
  <c r="T43" i="110"/>
  <c r="R43" i="110"/>
  <c r="P43" i="110"/>
  <c r="X43" i="110" s="1"/>
  <c r="H43" i="110"/>
  <c r="D43" i="110"/>
  <c r="L43" i="110" s="1"/>
  <c r="N43" i="110" s="1"/>
  <c r="B43" i="110"/>
  <c r="Z42" i="110"/>
  <c r="X42" i="110"/>
  <c r="L42" i="110"/>
  <c r="N42" i="110" s="1"/>
  <c r="B42" i="110"/>
  <c r="T41" i="110"/>
  <c r="P41" i="110"/>
  <c r="L41" i="110"/>
  <c r="N41" i="110" s="1"/>
  <c r="H41" i="110"/>
  <c r="D41" i="110"/>
  <c r="B41" i="110"/>
  <c r="Z40" i="110"/>
  <c r="X40" i="110"/>
  <c r="V40" i="110"/>
  <c r="N40" i="110"/>
  <c r="L40" i="110"/>
  <c r="B40" i="110"/>
  <c r="Z39" i="110"/>
  <c r="X39" i="110"/>
  <c r="N39" i="110"/>
  <c r="L39" i="110"/>
  <c r="B39" i="110"/>
  <c r="Z38" i="110"/>
  <c r="X38" i="110"/>
  <c r="L38" i="110"/>
  <c r="N38" i="110" s="1"/>
  <c r="B38" i="110"/>
  <c r="X37" i="110"/>
  <c r="Z37" i="110" s="1"/>
  <c r="N37" i="110"/>
  <c r="L37" i="110"/>
  <c r="B37" i="110"/>
  <c r="Z36" i="110"/>
  <c r="X36" i="110"/>
  <c r="N36" i="110"/>
  <c r="L36" i="110"/>
  <c r="B36" i="110"/>
  <c r="Z35" i="110"/>
  <c r="X35" i="110"/>
  <c r="N35" i="110"/>
  <c r="L35" i="110"/>
  <c r="B35" i="110"/>
  <c r="Z34" i="110"/>
  <c r="X34" i="110"/>
  <c r="L34" i="110"/>
  <c r="N34" i="110" s="1"/>
  <c r="B34" i="110"/>
  <c r="Z33" i="110"/>
  <c r="X33" i="110"/>
  <c r="N33" i="110"/>
  <c r="L33" i="110"/>
  <c r="B33" i="110"/>
  <c r="X32" i="110"/>
  <c r="Z32" i="110" s="1"/>
  <c r="V32" i="110"/>
  <c r="N32" i="110"/>
  <c r="L32" i="110"/>
  <c r="B32" i="110"/>
  <c r="Z31" i="110"/>
  <c r="X31" i="110"/>
  <c r="N31" i="110"/>
  <c r="L31" i="110"/>
  <c r="B31" i="110"/>
  <c r="Z30" i="110"/>
  <c r="X30" i="110"/>
  <c r="T30" i="110"/>
  <c r="P30" i="110"/>
  <c r="H30" i="110"/>
  <c r="D30" i="110"/>
  <c r="L30" i="110" s="1"/>
  <c r="N30" i="110" s="1"/>
  <c r="B30" i="110"/>
  <c r="Z29" i="110"/>
  <c r="X29" i="110"/>
  <c r="N29" i="110"/>
  <c r="L29" i="110"/>
  <c r="F29" i="110"/>
  <c r="B29" i="110"/>
  <c r="Z28" i="110"/>
  <c r="X28" i="110"/>
  <c r="L28" i="110"/>
  <c r="N28" i="110" s="1"/>
  <c r="B28" i="110"/>
  <c r="X27" i="110"/>
  <c r="Z27" i="110" s="1"/>
  <c r="L27" i="110"/>
  <c r="N27" i="110" s="1"/>
  <c r="J27" i="110"/>
  <c r="B27" i="110"/>
  <c r="Z26" i="110"/>
  <c r="X26" i="110"/>
  <c r="N26" i="110"/>
  <c r="L26" i="110"/>
  <c r="J26" i="110"/>
  <c r="B26" i="110"/>
  <c r="Z25" i="110"/>
  <c r="X25" i="110"/>
  <c r="N25" i="110"/>
  <c r="L25" i="110"/>
  <c r="B25" i="110"/>
  <c r="Z24" i="110"/>
  <c r="X24" i="110"/>
  <c r="L24" i="110"/>
  <c r="N24" i="110" s="1"/>
  <c r="B24" i="110"/>
  <c r="X23" i="110"/>
  <c r="Z23" i="110" s="1"/>
  <c r="R23" i="110"/>
  <c r="N23" i="110"/>
  <c r="L23" i="110"/>
  <c r="B23" i="110"/>
  <c r="X22" i="110"/>
  <c r="Z22" i="110" s="1"/>
  <c r="N22" i="110"/>
  <c r="L22" i="110"/>
  <c r="B22" i="110"/>
  <c r="Z21" i="110"/>
  <c r="X21" i="110"/>
  <c r="N21" i="110"/>
  <c r="L21" i="110"/>
  <c r="B21" i="110"/>
  <c r="X20" i="110"/>
  <c r="Z20" i="110" s="1"/>
  <c r="T20" i="110"/>
  <c r="P20" i="110"/>
  <c r="L20" i="110"/>
  <c r="H20" i="110"/>
  <c r="N20" i="110" s="1"/>
  <c r="F20" i="110"/>
  <c r="D20" i="110"/>
  <c r="B20" i="110"/>
  <c r="T19" i="110"/>
  <c r="P19" i="110"/>
  <c r="H19" i="110"/>
  <c r="D19" i="110"/>
  <c r="H17" i="110"/>
  <c r="D17" i="110"/>
  <c r="T15" i="110"/>
  <c r="Z15" i="110" s="1"/>
  <c r="R15" i="110"/>
  <c r="P15" i="110"/>
  <c r="X15" i="110" s="1"/>
  <c r="H15" i="110"/>
  <c r="N15" i="110" s="1"/>
  <c r="D15" i="110"/>
  <c r="P13" i="110"/>
  <c r="P12" i="110" s="1"/>
  <c r="R44" i="110" s="1"/>
  <c r="N13" i="110"/>
  <c r="L13" i="110"/>
  <c r="D13" i="110"/>
  <c r="B13" i="110"/>
  <c r="T12" i="110"/>
  <c r="V62" i="110" s="1"/>
  <c r="N12" i="110"/>
  <c r="L12" i="110"/>
  <c r="H12" i="110"/>
  <c r="J30" i="110" s="1"/>
  <c r="D12" i="110"/>
  <c r="F30" i="110" s="1"/>
  <c r="D6" i="110"/>
  <c r="D4" i="110"/>
  <c r="J53" i="109"/>
  <c r="F53" i="109"/>
  <c r="F50" i="109"/>
  <c r="Z48" i="109"/>
  <c r="X48" i="109"/>
  <c r="N48" i="109"/>
  <c r="L48" i="109"/>
  <c r="J48" i="109"/>
  <c r="F48" i="109"/>
  <c r="J46" i="109"/>
  <c r="Z44" i="109"/>
  <c r="X44" i="109"/>
  <c r="P44" i="109"/>
  <c r="N44" i="109"/>
  <c r="J44" i="109"/>
  <c r="F44" i="109"/>
  <c r="D44" i="109"/>
  <c r="L44" i="109" s="1"/>
  <c r="B44" i="109"/>
  <c r="Z43" i="109"/>
  <c r="X43" i="109"/>
  <c r="P43" i="109"/>
  <c r="N43" i="109"/>
  <c r="J43" i="109"/>
  <c r="F43" i="109"/>
  <c r="D43" i="109"/>
  <c r="L43" i="109" s="1"/>
  <c r="B43" i="109"/>
  <c r="V42" i="109"/>
  <c r="P42" i="109"/>
  <c r="X42" i="109" s="1"/>
  <c r="Z42" i="109" s="1"/>
  <c r="F42" i="109"/>
  <c r="D42" i="109"/>
  <c r="B42" i="109"/>
  <c r="P41" i="109"/>
  <c r="X41" i="109" s="1"/>
  <c r="Z41" i="109" s="1"/>
  <c r="D41" i="109"/>
  <c r="L41" i="109" s="1"/>
  <c r="N41" i="109" s="1"/>
  <c r="B41" i="109"/>
  <c r="T40" i="109"/>
  <c r="H40" i="109"/>
  <c r="F40" i="109"/>
  <c r="Z38" i="109"/>
  <c r="X38" i="109"/>
  <c r="N38" i="109"/>
  <c r="L38" i="109"/>
  <c r="J38" i="109"/>
  <c r="B38" i="109"/>
  <c r="Z37" i="109"/>
  <c r="X37" i="109"/>
  <c r="V37" i="109"/>
  <c r="N37" i="109"/>
  <c r="L37" i="109"/>
  <c r="F37" i="109"/>
  <c r="B37" i="109"/>
  <c r="Z36" i="109"/>
  <c r="X36" i="109"/>
  <c r="N36" i="109"/>
  <c r="L36" i="109"/>
  <c r="J36" i="109"/>
  <c r="F36" i="109"/>
  <c r="B36" i="109"/>
  <c r="Z35" i="109"/>
  <c r="X35" i="109"/>
  <c r="N35" i="109"/>
  <c r="L35" i="109"/>
  <c r="F35" i="109"/>
  <c r="B35" i="109"/>
  <c r="Z34" i="109"/>
  <c r="X34" i="109"/>
  <c r="N34" i="109"/>
  <c r="L34" i="109"/>
  <c r="J34" i="109"/>
  <c r="B34" i="109"/>
  <c r="Z33" i="109"/>
  <c r="X33" i="109"/>
  <c r="V33" i="109"/>
  <c r="N33" i="109"/>
  <c r="L33" i="109"/>
  <c r="F33" i="109"/>
  <c r="B33" i="109"/>
  <c r="Z32" i="109"/>
  <c r="X32" i="109"/>
  <c r="N32" i="109"/>
  <c r="L32" i="109"/>
  <c r="J32" i="109"/>
  <c r="F32" i="109"/>
  <c r="B32" i="109"/>
  <c r="Z31" i="109"/>
  <c r="X31" i="109"/>
  <c r="N31" i="109"/>
  <c r="L31" i="109"/>
  <c r="F31" i="109"/>
  <c r="B31" i="109"/>
  <c r="Z30" i="109"/>
  <c r="X30" i="109"/>
  <c r="N30" i="109"/>
  <c r="L30" i="109"/>
  <c r="J30" i="109"/>
  <c r="B30" i="109"/>
  <c r="X29" i="109"/>
  <c r="Z29" i="109" s="1"/>
  <c r="V29" i="109"/>
  <c r="R29" i="109"/>
  <c r="N29" i="109"/>
  <c r="L29" i="109"/>
  <c r="F29" i="109"/>
  <c r="B29" i="109"/>
  <c r="T28" i="109"/>
  <c r="P28" i="109"/>
  <c r="X28" i="109" s="1"/>
  <c r="Z28" i="109" s="1"/>
  <c r="N28" i="109"/>
  <c r="L28" i="109"/>
  <c r="H28" i="109"/>
  <c r="F28" i="109"/>
  <c r="D28" i="109"/>
  <c r="B28" i="109"/>
  <c r="Z27" i="109"/>
  <c r="X27" i="109"/>
  <c r="N27" i="109"/>
  <c r="L27" i="109"/>
  <c r="J27" i="109"/>
  <c r="F27" i="109"/>
  <c r="B27" i="109"/>
  <c r="Z26" i="109"/>
  <c r="X26" i="109"/>
  <c r="V26" i="109"/>
  <c r="N26" i="109"/>
  <c r="L26" i="109"/>
  <c r="J26" i="109"/>
  <c r="F26" i="109"/>
  <c r="B26" i="109"/>
  <c r="Z25" i="109"/>
  <c r="X25" i="109"/>
  <c r="N25" i="109"/>
  <c r="L25" i="109"/>
  <c r="B25" i="109"/>
  <c r="X24" i="109"/>
  <c r="Z24" i="109" s="1"/>
  <c r="V24" i="109"/>
  <c r="N24" i="109"/>
  <c r="L24" i="109"/>
  <c r="J24" i="109"/>
  <c r="F24" i="109"/>
  <c r="B24" i="109"/>
  <c r="Z23" i="109"/>
  <c r="X23" i="109"/>
  <c r="N23" i="109"/>
  <c r="L23" i="109"/>
  <c r="J23" i="109"/>
  <c r="F23" i="109"/>
  <c r="B23" i="109"/>
  <c r="Z22" i="109"/>
  <c r="X22" i="109"/>
  <c r="V22" i="109"/>
  <c r="N22" i="109"/>
  <c r="L22" i="109"/>
  <c r="J22" i="109"/>
  <c r="F22" i="109"/>
  <c r="B22" i="109"/>
  <c r="Z21" i="109"/>
  <c r="X21" i="109"/>
  <c r="N21" i="109"/>
  <c r="L21" i="109"/>
  <c r="B21" i="109"/>
  <c r="X20" i="109"/>
  <c r="Z20" i="109" s="1"/>
  <c r="V20" i="109"/>
  <c r="N20" i="109"/>
  <c r="L20" i="109"/>
  <c r="J20" i="109"/>
  <c r="F20" i="109"/>
  <c r="B20" i="109"/>
  <c r="T19" i="109"/>
  <c r="R19" i="109"/>
  <c r="P19" i="109"/>
  <c r="X19" i="109" s="1"/>
  <c r="H19" i="109"/>
  <c r="F19" i="109"/>
  <c r="D19" i="109"/>
  <c r="L19" i="109" s="1"/>
  <c r="B19" i="109"/>
  <c r="T18" i="109"/>
  <c r="R18" i="109"/>
  <c r="P18" i="109"/>
  <c r="J18" i="109"/>
  <c r="H18" i="109"/>
  <c r="F18" i="109"/>
  <c r="D18" i="109"/>
  <c r="J16" i="109"/>
  <c r="F16" i="109"/>
  <c r="T14" i="109"/>
  <c r="Z14" i="109" s="1"/>
  <c r="R14" i="109"/>
  <c r="P14" i="109"/>
  <c r="X14" i="109" s="1"/>
  <c r="J14" i="109"/>
  <c r="H14" i="109"/>
  <c r="N14" i="109" s="1"/>
  <c r="F14" i="109"/>
  <c r="D14" i="109"/>
  <c r="L14" i="109" s="1"/>
  <c r="T12" i="109"/>
  <c r="P12" i="109"/>
  <c r="R33" i="109" s="1"/>
  <c r="N12" i="109"/>
  <c r="L12" i="109"/>
  <c r="H12" i="109"/>
  <c r="J28" i="109" s="1"/>
  <c r="D12" i="109"/>
  <c r="F46" i="109" s="1"/>
  <c r="D6" i="109"/>
  <c r="D4" i="109"/>
  <c r="Z95" i="108"/>
  <c r="X95" i="108"/>
  <c r="L95" i="108"/>
  <c r="N95" i="108" s="1"/>
  <c r="T91" i="108"/>
  <c r="Z91" i="108" s="1"/>
  <c r="P91" i="108"/>
  <c r="X91" i="108" s="1"/>
  <c r="H91" i="108"/>
  <c r="N91" i="108" s="1"/>
  <c r="D91" i="108"/>
  <c r="L91" i="108" s="1"/>
  <c r="Z89" i="108"/>
  <c r="X89" i="108"/>
  <c r="N89" i="108"/>
  <c r="L89" i="108"/>
  <c r="B89" i="108"/>
  <c r="Z88" i="108"/>
  <c r="X88" i="108"/>
  <c r="N88" i="108"/>
  <c r="L88" i="108"/>
  <c r="B88" i="108"/>
  <c r="T87" i="108"/>
  <c r="P87" i="108"/>
  <c r="X87" i="108" s="1"/>
  <c r="H87" i="108"/>
  <c r="N87" i="108" s="1"/>
  <c r="D87" i="108"/>
  <c r="L87" i="108" s="1"/>
  <c r="B87" i="108"/>
  <c r="X86" i="108"/>
  <c r="Z86" i="108" s="1"/>
  <c r="V86" i="108"/>
  <c r="N86" i="108"/>
  <c r="L86" i="108"/>
  <c r="B86" i="108"/>
  <c r="T85" i="108"/>
  <c r="P85" i="108"/>
  <c r="X85" i="108" s="1"/>
  <c r="Z85" i="108" s="1"/>
  <c r="N85" i="108"/>
  <c r="L85" i="108"/>
  <c r="H85" i="108"/>
  <c r="D85" i="108"/>
  <c r="B85" i="108"/>
  <c r="Z84" i="108"/>
  <c r="X84" i="108"/>
  <c r="L84" i="108"/>
  <c r="N84" i="108" s="1"/>
  <c r="B84" i="108"/>
  <c r="Z83" i="108"/>
  <c r="X83" i="108"/>
  <c r="T83" i="108"/>
  <c r="P83" i="108"/>
  <c r="L83" i="108"/>
  <c r="H83" i="108"/>
  <c r="D83" i="108"/>
  <c r="B83" i="108"/>
  <c r="X82" i="108"/>
  <c r="Z82" i="108" s="1"/>
  <c r="N82" i="108"/>
  <c r="L82" i="108"/>
  <c r="B82" i="108"/>
  <c r="Z81" i="108"/>
  <c r="X81" i="108"/>
  <c r="N81" i="108"/>
  <c r="L81" i="108"/>
  <c r="B81" i="108"/>
  <c r="X80" i="108"/>
  <c r="Z80" i="108" s="1"/>
  <c r="L80" i="108"/>
  <c r="N80" i="108" s="1"/>
  <c r="B80" i="108"/>
  <c r="X79" i="108"/>
  <c r="Z79" i="108" s="1"/>
  <c r="N79" i="108"/>
  <c r="L79" i="108"/>
  <c r="B79" i="108"/>
  <c r="X78" i="108"/>
  <c r="Z78" i="108" s="1"/>
  <c r="L78" i="108"/>
  <c r="N78" i="108" s="1"/>
  <c r="J78" i="108"/>
  <c r="B78" i="108"/>
  <c r="Z77" i="108"/>
  <c r="X77" i="108"/>
  <c r="N77" i="108"/>
  <c r="L77" i="108"/>
  <c r="B77" i="108"/>
  <c r="Z76" i="108"/>
  <c r="X76" i="108"/>
  <c r="V76" i="108"/>
  <c r="T76" i="108"/>
  <c r="P76" i="108"/>
  <c r="L76" i="108"/>
  <c r="N76" i="108" s="1"/>
  <c r="H76" i="108"/>
  <c r="D76" i="108"/>
  <c r="B76" i="108"/>
  <c r="Z75" i="108"/>
  <c r="X75" i="108"/>
  <c r="N75" i="108"/>
  <c r="L75" i="108"/>
  <c r="B75" i="108"/>
  <c r="X74" i="108"/>
  <c r="Z74" i="108" s="1"/>
  <c r="V74" i="108"/>
  <c r="N74" i="108"/>
  <c r="L74" i="108"/>
  <c r="B74" i="108"/>
  <c r="Z73" i="108"/>
  <c r="X73" i="108"/>
  <c r="L73" i="108"/>
  <c r="N73" i="108" s="1"/>
  <c r="B73" i="108"/>
  <c r="X72" i="108"/>
  <c r="T72" i="108"/>
  <c r="Z72" i="108" s="1"/>
  <c r="P72" i="108"/>
  <c r="H72" i="108"/>
  <c r="D72" i="108"/>
  <c r="B72" i="108"/>
  <c r="Z71" i="108"/>
  <c r="X71" i="108"/>
  <c r="N71" i="108"/>
  <c r="L71" i="108"/>
  <c r="B71" i="108"/>
  <c r="Z70" i="108"/>
  <c r="X70" i="108"/>
  <c r="N70" i="108"/>
  <c r="L70" i="108"/>
  <c r="B70" i="108"/>
  <c r="X69" i="108"/>
  <c r="Z69" i="108" s="1"/>
  <c r="V69" i="108"/>
  <c r="N69" i="108"/>
  <c r="L69" i="108"/>
  <c r="B69" i="108"/>
  <c r="Z68" i="108"/>
  <c r="X68" i="108"/>
  <c r="L68" i="108"/>
  <c r="N68" i="108" s="1"/>
  <c r="B68" i="108"/>
  <c r="Z67" i="108"/>
  <c r="X67" i="108"/>
  <c r="V67" i="108"/>
  <c r="T67" i="108"/>
  <c r="P67" i="108"/>
  <c r="H67" i="108"/>
  <c r="D67" i="108"/>
  <c r="B67" i="108"/>
  <c r="X66" i="108"/>
  <c r="Z66" i="108" s="1"/>
  <c r="L66" i="108"/>
  <c r="N66" i="108" s="1"/>
  <c r="B66" i="108"/>
  <c r="V65" i="108"/>
  <c r="T65" i="108"/>
  <c r="Z65" i="108" s="1"/>
  <c r="P65" i="108"/>
  <c r="X65" i="108" s="1"/>
  <c r="H65" i="108"/>
  <c r="D65" i="108"/>
  <c r="L65" i="108" s="1"/>
  <c r="B65" i="108"/>
  <c r="X64" i="108"/>
  <c r="Z64" i="108" s="1"/>
  <c r="N64" i="108"/>
  <c r="L64" i="108"/>
  <c r="B64" i="108"/>
  <c r="X63" i="108"/>
  <c r="Z63" i="108" s="1"/>
  <c r="T63" i="108"/>
  <c r="P63" i="108"/>
  <c r="H63" i="108"/>
  <c r="D63" i="108"/>
  <c r="L63" i="108" s="1"/>
  <c r="N63" i="108" s="1"/>
  <c r="B63" i="108"/>
  <c r="Z62" i="108"/>
  <c r="X62" i="108"/>
  <c r="L62" i="108"/>
  <c r="N62" i="108" s="1"/>
  <c r="B62" i="108"/>
  <c r="X61" i="108"/>
  <c r="V61" i="108"/>
  <c r="T61" i="108"/>
  <c r="P61" i="108"/>
  <c r="N61" i="108"/>
  <c r="L61" i="108"/>
  <c r="H61" i="108"/>
  <c r="D61" i="108"/>
  <c r="B61" i="108"/>
  <c r="Z60" i="108"/>
  <c r="X60" i="108"/>
  <c r="V60" i="108"/>
  <c r="N60" i="108"/>
  <c r="L60" i="108"/>
  <c r="B60" i="108"/>
  <c r="T59" i="108"/>
  <c r="Z59" i="108" s="1"/>
  <c r="P59" i="108"/>
  <c r="X59" i="108" s="1"/>
  <c r="J59" i="108"/>
  <c r="H59" i="108"/>
  <c r="N59" i="108" s="1"/>
  <c r="D59" i="108"/>
  <c r="L59" i="108" s="1"/>
  <c r="B59" i="108"/>
  <c r="X58" i="108"/>
  <c r="Z58" i="108" s="1"/>
  <c r="V58" i="108"/>
  <c r="N58" i="108"/>
  <c r="L58" i="108"/>
  <c r="B58" i="108"/>
  <c r="T57" i="108"/>
  <c r="P57" i="108"/>
  <c r="X57" i="108" s="1"/>
  <c r="Z57" i="108" s="1"/>
  <c r="N57" i="108"/>
  <c r="L57" i="108"/>
  <c r="H57" i="108"/>
  <c r="D57" i="108"/>
  <c r="B57" i="108"/>
  <c r="Z56" i="108"/>
  <c r="X56" i="108"/>
  <c r="L56" i="108"/>
  <c r="N56" i="108" s="1"/>
  <c r="B56" i="108"/>
  <c r="Z55" i="108"/>
  <c r="X55" i="108"/>
  <c r="V55" i="108"/>
  <c r="T55" i="108"/>
  <c r="P55" i="108"/>
  <c r="L55" i="108"/>
  <c r="H55" i="108"/>
  <c r="D55" i="108"/>
  <c r="B55" i="108"/>
  <c r="X54" i="108"/>
  <c r="Z54" i="108" s="1"/>
  <c r="L54" i="108"/>
  <c r="N54" i="108" s="1"/>
  <c r="B54" i="108"/>
  <c r="V53" i="108"/>
  <c r="T53" i="108"/>
  <c r="P53" i="108"/>
  <c r="X53" i="108" s="1"/>
  <c r="H53" i="108"/>
  <c r="D53" i="108"/>
  <c r="L53" i="108" s="1"/>
  <c r="B53" i="108"/>
  <c r="X52" i="108"/>
  <c r="Z52" i="108" s="1"/>
  <c r="N52" i="108"/>
  <c r="L52" i="108"/>
  <c r="B52" i="108"/>
  <c r="X51" i="108"/>
  <c r="Z51" i="108" s="1"/>
  <c r="N51" i="108"/>
  <c r="L51" i="108"/>
  <c r="J51" i="108"/>
  <c r="B51" i="108"/>
  <c r="T50" i="108"/>
  <c r="P50" i="108"/>
  <c r="L50" i="108"/>
  <c r="H50" i="108"/>
  <c r="D50" i="108"/>
  <c r="B50" i="108"/>
  <c r="X49" i="108"/>
  <c r="Z49" i="108" s="1"/>
  <c r="V49" i="108"/>
  <c r="N49" i="108"/>
  <c r="L49" i="108"/>
  <c r="J49" i="108"/>
  <c r="B49" i="108"/>
  <c r="T48" i="108"/>
  <c r="Z48" i="108" s="1"/>
  <c r="P48" i="108"/>
  <c r="X48" i="108" s="1"/>
  <c r="H48" i="108"/>
  <c r="D48" i="108"/>
  <c r="B48" i="108"/>
  <c r="Z47" i="108"/>
  <c r="X47" i="108"/>
  <c r="N47" i="108"/>
  <c r="L47" i="108"/>
  <c r="B47" i="108"/>
  <c r="Z46" i="108"/>
  <c r="X46" i="108"/>
  <c r="N46" i="108"/>
  <c r="L46" i="108"/>
  <c r="B46" i="108"/>
  <c r="Z45" i="108"/>
  <c r="X45" i="108"/>
  <c r="V45" i="108"/>
  <c r="N45" i="108"/>
  <c r="L45" i="108"/>
  <c r="B45" i="108"/>
  <c r="Z44" i="108"/>
  <c r="X44" i="108"/>
  <c r="V44" i="108"/>
  <c r="L44" i="108"/>
  <c r="N44" i="108" s="1"/>
  <c r="B44" i="108"/>
  <c r="Z43" i="108"/>
  <c r="X43" i="108"/>
  <c r="N43" i="108"/>
  <c r="L43" i="108"/>
  <c r="B43" i="108"/>
  <c r="X42" i="108"/>
  <c r="Z42" i="108" s="1"/>
  <c r="L42" i="108"/>
  <c r="N42" i="108" s="1"/>
  <c r="J42" i="108"/>
  <c r="B42" i="108"/>
  <c r="Z41" i="108"/>
  <c r="X41" i="108"/>
  <c r="V41" i="108"/>
  <c r="N41" i="108"/>
  <c r="L41" i="108"/>
  <c r="B41" i="108"/>
  <c r="Z40" i="108"/>
  <c r="X40" i="108"/>
  <c r="V40" i="108"/>
  <c r="N40" i="108"/>
  <c r="L40" i="108"/>
  <c r="B40" i="108"/>
  <c r="X39" i="108"/>
  <c r="Z39" i="108" s="1"/>
  <c r="N39" i="108"/>
  <c r="L39" i="108"/>
  <c r="B39" i="108"/>
  <c r="Z38" i="108"/>
  <c r="X38" i="108"/>
  <c r="N38" i="108"/>
  <c r="L38" i="108"/>
  <c r="B38" i="108"/>
  <c r="V37" i="108"/>
  <c r="T37" i="108"/>
  <c r="P37" i="108"/>
  <c r="X37" i="108" s="1"/>
  <c r="H37" i="108"/>
  <c r="D37" i="108"/>
  <c r="B37" i="108"/>
  <c r="Z36" i="108"/>
  <c r="X36" i="108"/>
  <c r="V36" i="108"/>
  <c r="N36" i="108"/>
  <c r="L36" i="108"/>
  <c r="B36" i="108"/>
  <c r="X35" i="108"/>
  <c r="Z35" i="108" s="1"/>
  <c r="N35" i="108"/>
  <c r="L35" i="108"/>
  <c r="B35" i="108"/>
  <c r="X34" i="108"/>
  <c r="Z34" i="108" s="1"/>
  <c r="V34" i="108"/>
  <c r="N34" i="108"/>
  <c r="L34" i="108"/>
  <c r="B34" i="108"/>
  <c r="Z33" i="108"/>
  <c r="X33" i="108"/>
  <c r="N33" i="108"/>
  <c r="L33" i="108"/>
  <c r="J33" i="108"/>
  <c r="B33" i="108"/>
  <c r="Z32" i="108"/>
  <c r="X32" i="108"/>
  <c r="V32" i="108"/>
  <c r="N32" i="108"/>
  <c r="L32" i="108"/>
  <c r="B32" i="108"/>
  <c r="Z31" i="108"/>
  <c r="X31" i="108"/>
  <c r="N31" i="108"/>
  <c r="L31" i="108"/>
  <c r="J31" i="108"/>
  <c r="B31" i="108"/>
  <c r="X30" i="108"/>
  <c r="Z30" i="108" s="1"/>
  <c r="V30" i="108"/>
  <c r="N30" i="108"/>
  <c r="L30" i="108"/>
  <c r="B30" i="108"/>
  <c r="Z29" i="108"/>
  <c r="X29" i="108"/>
  <c r="L29" i="108"/>
  <c r="N29" i="108" s="1"/>
  <c r="J29" i="108"/>
  <c r="B29" i="108"/>
  <c r="X28" i="108"/>
  <c r="Z28" i="108" s="1"/>
  <c r="V28" i="108"/>
  <c r="N28" i="108"/>
  <c r="L28" i="108"/>
  <c r="B28" i="108"/>
  <c r="X27" i="108"/>
  <c r="Z27" i="108" s="1"/>
  <c r="V27" i="108"/>
  <c r="L27" i="108"/>
  <c r="N27" i="108" s="1"/>
  <c r="J27" i="108"/>
  <c r="B27" i="108"/>
  <c r="V26" i="108"/>
  <c r="T26" i="108"/>
  <c r="P26" i="108"/>
  <c r="X26" i="108" s="1"/>
  <c r="H26" i="108"/>
  <c r="D26" i="108"/>
  <c r="B26" i="108"/>
  <c r="V25" i="108"/>
  <c r="T25" i="108"/>
  <c r="P25" i="108"/>
  <c r="X25" i="108" s="1"/>
  <c r="H25" i="108"/>
  <c r="D25" i="108"/>
  <c r="T23" i="108"/>
  <c r="V23" i="108" s="1"/>
  <c r="Z21" i="108"/>
  <c r="X21" i="108"/>
  <c r="V21" i="108"/>
  <c r="N21" i="108"/>
  <c r="L21" i="108"/>
  <c r="J21" i="108"/>
  <c r="B21" i="108"/>
  <c r="Z20" i="108"/>
  <c r="X20" i="108"/>
  <c r="N20" i="108"/>
  <c r="L20" i="108"/>
  <c r="B20" i="108"/>
  <c r="X19" i="108"/>
  <c r="Z19" i="108" s="1"/>
  <c r="V19" i="108"/>
  <c r="L19" i="108"/>
  <c r="N19" i="108" s="1"/>
  <c r="B19" i="108"/>
  <c r="T18" i="108"/>
  <c r="P18" i="108"/>
  <c r="X18" i="108" s="1"/>
  <c r="Z18" i="108" s="1"/>
  <c r="H18" i="108"/>
  <c r="D18" i="108"/>
  <c r="L18" i="108" s="1"/>
  <c r="Z16" i="108"/>
  <c r="X16" i="108"/>
  <c r="P16" i="108"/>
  <c r="N16" i="108"/>
  <c r="L16" i="108"/>
  <c r="D16" i="108"/>
  <c r="B16" i="108"/>
  <c r="Z15" i="108"/>
  <c r="P15" i="108"/>
  <c r="X15" i="108" s="1"/>
  <c r="N15" i="108"/>
  <c r="D15" i="108"/>
  <c r="D12" i="108" s="1"/>
  <c r="F65" i="108" s="1"/>
  <c r="B15" i="108"/>
  <c r="P14" i="108"/>
  <c r="X14" i="108" s="1"/>
  <c r="Z14" i="108" s="1"/>
  <c r="N14" i="108"/>
  <c r="L14" i="108"/>
  <c r="D14" i="108"/>
  <c r="B14" i="108"/>
  <c r="Z13" i="108"/>
  <c r="X13" i="108"/>
  <c r="P13" i="108"/>
  <c r="N13" i="108"/>
  <c r="L13" i="108"/>
  <c r="D13" i="108"/>
  <c r="B13" i="108"/>
  <c r="T12" i="108"/>
  <c r="V88" i="108" s="1"/>
  <c r="H12" i="108"/>
  <c r="J95" i="108" s="1"/>
  <c r="D6" i="108"/>
  <c r="D4" i="108"/>
  <c r="X95" i="106"/>
  <c r="Z95" i="106" s="1"/>
  <c r="L95" i="106"/>
  <c r="N95" i="106" s="1"/>
  <c r="Z91" i="106"/>
  <c r="T91" i="106"/>
  <c r="P91" i="106"/>
  <c r="X91" i="106" s="1"/>
  <c r="J91" i="106"/>
  <c r="H91" i="106"/>
  <c r="N91" i="106" s="1"/>
  <c r="D91" i="106"/>
  <c r="L91" i="106" s="1"/>
  <c r="Z89" i="106"/>
  <c r="X89" i="106"/>
  <c r="N89" i="106"/>
  <c r="L89" i="106"/>
  <c r="B89" i="106"/>
  <c r="Z88" i="106"/>
  <c r="T88" i="106"/>
  <c r="P88" i="106"/>
  <c r="X88" i="106" s="1"/>
  <c r="L88" i="106"/>
  <c r="H88" i="106"/>
  <c r="N88" i="106" s="1"/>
  <c r="D88" i="106"/>
  <c r="B88" i="106"/>
  <c r="Z87" i="106"/>
  <c r="X87" i="106"/>
  <c r="N87" i="106"/>
  <c r="L87" i="106"/>
  <c r="B87" i="106"/>
  <c r="T86" i="106"/>
  <c r="P86" i="106"/>
  <c r="H86" i="106"/>
  <c r="D86" i="106"/>
  <c r="B86" i="106"/>
  <c r="Z85" i="106"/>
  <c r="X85" i="106"/>
  <c r="V85" i="106"/>
  <c r="L85" i="106"/>
  <c r="N85" i="106" s="1"/>
  <c r="B85" i="106"/>
  <c r="T84" i="106"/>
  <c r="Z84" i="106" s="1"/>
  <c r="P84" i="106"/>
  <c r="X84" i="106" s="1"/>
  <c r="H84" i="106"/>
  <c r="N84" i="106" s="1"/>
  <c r="D84" i="106"/>
  <c r="L84" i="106" s="1"/>
  <c r="B84" i="106"/>
  <c r="Z83" i="106"/>
  <c r="X83" i="106"/>
  <c r="N83" i="106"/>
  <c r="L83" i="106"/>
  <c r="B83" i="106"/>
  <c r="Z82" i="106"/>
  <c r="X82" i="106"/>
  <c r="N82" i="106"/>
  <c r="L82" i="106"/>
  <c r="B82" i="106"/>
  <c r="Z81" i="106"/>
  <c r="X81" i="106"/>
  <c r="N81" i="106"/>
  <c r="L81" i="106"/>
  <c r="B81" i="106"/>
  <c r="X80" i="106"/>
  <c r="Z80" i="106" s="1"/>
  <c r="L80" i="106"/>
  <c r="N80" i="106" s="1"/>
  <c r="B80" i="106"/>
  <c r="Z79" i="106"/>
  <c r="X79" i="106"/>
  <c r="N79" i="106"/>
  <c r="L79" i="106"/>
  <c r="B79" i="106"/>
  <c r="X78" i="106"/>
  <c r="Z78" i="106" s="1"/>
  <c r="L78" i="106"/>
  <c r="N78" i="106" s="1"/>
  <c r="B78" i="106"/>
  <c r="X77" i="106"/>
  <c r="Z77" i="106" s="1"/>
  <c r="N77" i="106"/>
  <c r="L77" i="106"/>
  <c r="B77" i="106"/>
  <c r="Z76" i="106"/>
  <c r="X76" i="106"/>
  <c r="N76" i="106"/>
  <c r="L76" i="106"/>
  <c r="B76" i="106"/>
  <c r="T75" i="106"/>
  <c r="P75" i="106"/>
  <c r="X75" i="106" s="1"/>
  <c r="Z75" i="106" s="1"/>
  <c r="L75" i="106"/>
  <c r="N75" i="106" s="1"/>
  <c r="H75" i="106"/>
  <c r="D75" i="106"/>
  <c r="B75" i="106"/>
  <c r="X74" i="106"/>
  <c r="Z74" i="106" s="1"/>
  <c r="L74" i="106"/>
  <c r="N74" i="106" s="1"/>
  <c r="B74" i="106"/>
  <c r="Z73" i="106"/>
  <c r="X73" i="106"/>
  <c r="N73" i="106"/>
  <c r="L73" i="106"/>
  <c r="J73" i="106"/>
  <c r="B73" i="106"/>
  <c r="Z72" i="106"/>
  <c r="X72" i="106"/>
  <c r="N72" i="106"/>
  <c r="L72" i="106"/>
  <c r="B72" i="106"/>
  <c r="Z71" i="106"/>
  <c r="X71" i="106"/>
  <c r="N71" i="106"/>
  <c r="L71" i="106"/>
  <c r="J71" i="106"/>
  <c r="B71" i="106"/>
  <c r="T70" i="106"/>
  <c r="P70" i="106"/>
  <c r="X70" i="106" s="1"/>
  <c r="H70" i="106"/>
  <c r="D70" i="106"/>
  <c r="B70" i="106"/>
  <c r="X69" i="106"/>
  <c r="Z69" i="106" s="1"/>
  <c r="V69" i="106"/>
  <c r="L69" i="106"/>
  <c r="N69" i="106" s="1"/>
  <c r="B69" i="106"/>
  <c r="X68" i="106"/>
  <c r="Z68" i="106" s="1"/>
  <c r="L68" i="106"/>
  <c r="N68" i="106" s="1"/>
  <c r="B68" i="106"/>
  <c r="Z67" i="106"/>
  <c r="X67" i="106"/>
  <c r="N67" i="106"/>
  <c r="L67" i="106"/>
  <c r="B67" i="106"/>
  <c r="T66" i="106"/>
  <c r="P66" i="106"/>
  <c r="X66" i="106" s="1"/>
  <c r="H66" i="106"/>
  <c r="D66" i="106"/>
  <c r="L66" i="106" s="1"/>
  <c r="B66" i="106"/>
  <c r="X65" i="106"/>
  <c r="Z65" i="106" s="1"/>
  <c r="N65" i="106"/>
  <c r="L65" i="106"/>
  <c r="B65" i="106"/>
  <c r="X64" i="106"/>
  <c r="T64" i="106"/>
  <c r="P64" i="106"/>
  <c r="L64" i="106"/>
  <c r="H64" i="106"/>
  <c r="N64" i="106" s="1"/>
  <c r="D64" i="106"/>
  <c r="B64" i="106"/>
  <c r="Z63" i="106"/>
  <c r="X63" i="106"/>
  <c r="N63" i="106"/>
  <c r="L63" i="106"/>
  <c r="J63" i="106"/>
  <c r="B63" i="106"/>
  <c r="T62" i="106"/>
  <c r="P62" i="106"/>
  <c r="H62" i="106"/>
  <c r="D62" i="106"/>
  <c r="B62" i="106"/>
  <c r="X61" i="106"/>
  <c r="Z61" i="106" s="1"/>
  <c r="V61" i="106"/>
  <c r="L61" i="106"/>
  <c r="N61" i="106" s="1"/>
  <c r="J61" i="106"/>
  <c r="B61" i="106"/>
  <c r="T60" i="106"/>
  <c r="Z60" i="106" s="1"/>
  <c r="P60" i="106"/>
  <c r="X60" i="106" s="1"/>
  <c r="H60" i="106"/>
  <c r="D60" i="106"/>
  <c r="L60" i="106" s="1"/>
  <c r="B60" i="106"/>
  <c r="Z59" i="106"/>
  <c r="X59" i="106"/>
  <c r="N59" i="106"/>
  <c r="L59" i="106"/>
  <c r="B59" i="106"/>
  <c r="X58" i="106"/>
  <c r="T58" i="106"/>
  <c r="Z58" i="106" s="1"/>
  <c r="P58" i="106"/>
  <c r="L58" i="106"/>
  <c r="N58" i="106" s="1"/>
  <c r="H58" i="106"/>
  <c r="D58" i="106"/>
  <c r="B58" i="106"/>
  <c r="Z57" i="106"/>
  <c r="X57" i="106"/>
  <c r="L57" i="106"/>
  <c r="N57" i="106" s="1"/>
  <c r="J57" i="106"/>
  <c r="B57" i="106"/>
  <c r="T56" i="106"/>
  <c r="P56" i="106"/>
  <c r="H56" i="106"/>
  <c r="D56" i="106"/>
  <c r="B56" i="106"/>
  <c r="Z55" i="106"/>
  <c r="X55" i="106"/>
  <c r="V55" i="106"/>
  <c r="N55" i="106"/>
  <c r="L55" i="106"/>
  <c r="B55" i="106"/>
  <c r="T54" i="106"/>
  <c r="Z54" i="106" s="1"/>
  <c r="P54" i="106"/>
  <c r="X54" i="106" s="1"/>
  <c r="H54" i="106"/>
  <c r="D54" i="106"/>
  <c r="L54" i="106" s="1"/>
  <c r="B54" i="106"/>
  <c r="X53" i="106"/>
  <c r="Z53" i="106" s="1"/>
  <c r="N53" i="106"/>
  <c r="L53" i="106"/>
  <c r="B53" i="106"/>
  <c r="X52" i="106"/>
  <c r="T52" i="106"/>
  <c r="Z52" i="106" s="1"/>
  <c r="P52" i="106"/>
  <c r="L52" i="106"/>
  <c r="H52" i="106"/>
  <c r="N52" i="106" s="1"/>
  <c r="D52" i="106"/>
  <c r="B52" i="106"/>
  <c r="Z51" i="106"/>
  <c r="X51" i="106"/>
  <c r="N51" i="106"/>
  <c r="L51" i="106"/>
  <c r="J51" i="106"/>
  <c r="B51" i="106"/>
  <c r="T50" i="106"/>
  <c r="P50" i="106"/>
  <c r="H50" i="106"/>
  <c r="D50" i="106"/>
  <c r="B50" i="106"/>
  <c r="Z49" i="106"/>
  <c r="X49" i="106"/>
  <c r="V49" i="106"/>
  <c r="L49" i="106"/>
  <c r="N49" i="106" s="1"/>
  <c r="J49" i="106"/>
  <c r="B49" i="106"/>
  <c r="T48" i="106"/>
  <c r="P48" i="106"/>
  <c r="X48" i="106" s="1"/>
  <c r="H48" i="106"/>
  <c r="D48" i="106"/>
  <c r="L48" i="106" s="1"/>
  <c r="B48" i="106"/>
  <c r="Z47" i="106"/>
  <c r="X47" i="106"/>
  <c r="N47" i="106"/>
  <c r="L47" i="106"/>
  <c r="B47" i="106"/>
  <c r="Z46" i="106"/>
  <c r="X46" i="106"/>
  <c r="N46" i="106"/>
  <c r="L46" i="106"/>
  <c r="B46" i="106"/>
  <c r="X45" i="106"/>
  <c r="Z45" i="106" s="1"/>
  <c r="N45" i="106"/>
  <c r="L45" i="106"/>
  <c r="B45" i="106"/>
  <c r="X44" i="106"/>
  <c r="Z44" i="106" s="1"/>
  <c r="N44" i="106"/>
  <c r="L44" i="106"/>
  <c r="B44" i="106"/>
  <c r="Z43" i="106"/>
  <c r="X43" i="106"/>
  <c r="N43" i="106"/>
  <c r="L43" i="106"/>
  <c r="B43" i="106"/>
  <c r="X42" i="106"/>
  <c r="Z42" i="106" s="1"/>
  <c r="L42" i="106"/>
  <c r="N42" i="106" s="1"/>
  <c r="B42" i="106"/>
  <c r="X41" i="106"/>
  <c r="Z41" i="106" s="1"/>
  <c r="V41" i="106"/>
  <c r="N41" i="106"/>
  <c r="L41" i="106"/>
  <c r="B41" i="106"/>
  <c r="Z40" i="106"/>
  <c r="X40" i="106"/>
  <c r="N40" i="106"/>
  <c r="L40" i="106"/>
  <c r="B40" i="106"/>
  <c r="X39" i="106"/>
  <c r="Z39" i="106" s="1"/>
  <c r="N39" i="106"/>
  <c r="L39" i="106"/>
  <c r="B39" i="106"/>
  <c r="Z38" i="106"/>
  <c r="X38" i="106"/>
  <c r="N38" i="106"/>
  <c r="L38" i="106"/>
  <c r="F38" i="106"/>
  <c r="B38" i="106"/>
  <c r="X37" i="106"/>
  <c r="Z37" i="106" s="1"/>
  <c r="V37" i="106"/>
  <c r="T37" i="106"/>
  <c r="P37" i="106"/>
  <c r="L37" i="106"/>
  <c r="N37" i="106" s="1"/>
  <c r="H37" i="106"/>
  <c r="D37" i="106"/>
  <c r="B37" i="106"/>
  <c r="X36" i="106"/>
  <c r="Z36" i="106" s="1"/>
  <c r="L36" i="106"/>
  <c r="N36" i="106" s="1"/>
  <c r="B36" i="106"/>
  <c r="Z35" i="106"/>
  <c r="X35" i="106"/>
  <c r="N35" i="106"/>
  <c r="L35" i="106"/>
  <c r="J35" i="106"/>
  <c r="B35" i="106"/>
  <c r="X34" i="106"/>
  <c r="Z34" i="106" s="1"/>
  <c r="N34" i="106"/>
  <c r="L34" i="106"/>
  <c r="B34" i="106"/>
  <c r="Z33" i="106"/>
  <c r="X33" i="106"/>
  <c r="N33" i="106"/>
  <c r="L33" i="106"/>
  <c r="J33" i="106"/>
  <c r="B33" i="106"/>
  <c r="Z32" i="106"/>
  <c r="X32" i="106"/>
  <c r="N32" i="106"/>
  <c r="L32" i="106"/>
  <c r="B32" i="106"/>
  <c r="Z31" i="106"/>
  <c r="X31" i="106"/>
  <c r="N31" i="106"/>
  <c r="L31" i="106"/>
  <c r="J31" i="106"/>
  <c r="B31" i="106"/>
  <c r="X30" i="106"/>
  <c r="Z30" i="106" s="1"/>
  <c r="L30" i="106"/>
  <c r="N30" i="106" s="1"/>
  <c r="B30" i="106"/>
  <c r="Z29" i="106"/>
  <c r="X29" i="106"/>
  <c r="N29" i="106"/>
  <c r="L29" i="106"/>
  <c r="J29" i="106"/>
  <c r="B29" i="106"/>
  <c r="X28" i="106"/>
  <c r="Z28" i="106" s="1"/>
  <c r="L28" i="106"/>
  <c r="N28" i="106" s="1"/>
  <c r="B28" i="106"/>
  <c r="Z27" i="106"/>
  <c r="X27" i="106"/>
  <c r="N27" i="106"/>
  <c r="L27" i="106"/>
  <c r="J27" i="106"/>
  <c r="B27" i="106"/>
  <c r="T26" i="106"/>
  <c r="P26" i="106"/>
  <c r="H26" i="106"/>
  <c r="D26" i="106"/>
  <c r="B26" i="106"/>
  <c r="T25" i="106"/>
  <c r="P25" i="106"/>
  <c r="H25" i="106"/>
  <c r="J25" i="106" s="1"/>
  <c r="D25" i="106"/>
  <c r="L25" i="106" s="1"/>
  <c r="N25" i="106" s="1"/>
  <c r="J23" i="106"/>
  <c r="H23" i="106"/>
  <c r="Z21" i="106"/>
  <c r="X21" i="106"/>
  <c r="V21" i="106"/>
  <c r="N21" i="106"/>
  <c r="L21" i="106"/>
  <c r="J21" i="106"/>
  <c r="B21" i="106"/>
  <c r="Z20" i="106"/>
  <c r="X20" i="106"/>
  <c r="V20" i="106"/>
  <c r="N20" i="106"/>
  <c r="L20" i="106"/>
  <c r="J20" i="106"/>
  <c r="B20" i="106"/>
  <c r="Z19" i="106"/>
  <c r="X19" i="106"/>
  <c r="V19" i="106"/>
  <c r="L19" i="106"/>
  <c r="N19" i="106" s="1"/>
  <c r="B19" i="106"/>
  <c r="T18" i="106"/>
  <c r="P18" i="106"/>
  <c r="J18" i="106"/>
  <c r="H18" i="106"/>
  <c r="D18" i="106"/>
  <c r="L18" i="106" s="1"/>
  <c r="N18" i="106" s="1"/>
  <c r="Z16" i="106"/>
  <c r="P16" i="106"/>
  <c r="X16" i="106" s="1"/>
  <c r="N16" i="106"/>
  <c r="D16" i="106"/>
  <c r="L16" i="106" s="1"/>
  <c r="B16" i="106"/>
  <c r="Z15" i="106"/>
  <c r="X15" i="106"/>
  <c r="P15" i="106"/>
  <c r="N15" i="106"/>
  <c r="L15" i="106"/>
  <c r="D15" i="106"/>
  <c r="B15" i="106"/>
  <c r="X14" i="106"/>
  <c r="Z14" i="106" s="1"/>
  <c r="P14" i="106"/>
  <c r="N14" i="106"/>
  <c r="L14" i="106"/>
  <c r="D14" i="106"/>
  <c r="B14" i="106"/>
  <c r="Z13" i="106"/>
  <c r="P13" i="106"/>
  <c r="N13" i="106"/>
  <c r="D13" i="106"/>
  <c r="L13" i="106" s="1"/>
  <c r="B13" i="106"/>
  <c r="T12" i="106"/>
  <c r="H12" i="106"/>
  <c r="J95" i="106" s="1"/>
  <c r="D12" i="106"/>
  <c r="F42" i="106" s="1"/>
  <c r="D6" i="106"/>
  <c r="D4" i="106"/>
  <c r="X67" i="105"/>
  <c r="Z67" i="105" s="1"/>
  <c r="N67" i="105"/>
  <c r="L67" i="105"/>
  <c r="T63" i="105"/>
  <c r="Z63" i="105" s="1"/>
  <c r="P63" i="105"/>
  <c r="X63" i="105" s="1"/>
  <c r="L63" i="105"/>
  <c r="H63" i="105"/>
  <c r="N63" i="105" s="1"/>
  <c r="D63" i="105"/>
  <c r="Z61" i="105"/>
  <c r="X61" i="105"/>
  <c r="N61" i="105"/>
  <c r="L61" i="105"/>
  <c r="B61" i="105"/>
  <c r="Z60" i="105"/>
  <c r="X60" i="105"/>
  <c r="T60" i="105"/>
  <c r="P60" i="105"/>
  <c r="N60" i="105"/>
  <c r="L60" i="105"/>
  <c r="J60" i="105"/>
  <c r="H60" i="105"/>
  <c r="D60" i="105"/>
  <c r="B60" i="105"/>
  <c r="Z59" i="105"/>
  <c r="X59" i="105"/>
  <c r="N59" i="105"/>
  <c r="L59" i="105"/>
  <c r="B59" i="105"/>
  <c r="Z58" i="105"/>
  <c r="X58" i="105"/>
  <c r="N58" i="105"/>
  <c r="L58" i="105"/>
  <c r="B58" i="105"/>
  <c r="Z57" i="105"/>
  <c r="X57" i="105"/>
  <c r="N57" i="105"/>
  <c r="L57" i="105"/>
  <c r="J57" i="105"/>
  <c r="B57" i="105"/>
  <c r="T56" i="105"/>
  <c r="X56" i="105" s="1"/>
  <c r="Z56" i="105" s="1"/>
  <c r="P56" i="105"/>
  <c r="H56" i="105"/>
  <c r="D56" i="105"/>
  <c r="B56" i="105"/>
  <c r="Z55" i="105"/>
  <c r="X55" i="105"/>
  <c r="L55" i="105"/>
  <c r="N55" i="105" s="1"/>
  <c r="B55" i="105"/>
  <c r="V54" i="105"/>
  <c r="T54" i="105"/>
  <c r="P54" i="105"/>
  <c r="X54" i="105" s="1"/>
  <c r="J54" i="105"/>
  <c r="H54" i="105"/>
  <c r="D54" i="105"/>
  <c r="L54" i="105" s="1"/>
  <c r="N54" i="105" s="1"/>
  <c r="B54" i="105"/>
  <c r="X53" i="105"/>
  <c r="Z53" i="105" s="1"/>
  <c r="N53" i="105"/>
  <c r="L53" i="105"/>
  <c r="B53" i="105"/>
  <c r="X52" i="105"/>
  <c r="Z52" i="105" s="1"/>
  <c r="T52" i="105"/>
  <c r="P52" i="105"/>
  <c r="J52" i="105"/>
  <c r="H52" i="105"/>
  <c r="D52" i="105"/>
  <c r="L52" i="105" s="1"/>
  <c r="N52" i="105" s="1"/>
  <c r="B52" i="105"/>
  <c r="Z51" i="105"/>
  <c r="X51" i="105"/>
  <c r="N51" i="105"/>
  <c r="L51" i="105"/>
  <c r="J51" i="105"/>
  <c r="B51" i="105"/>
  <c r="T50" i="105"/>
  <c r="Z50" i="105" s="1"/>
  <c r="P50" i="105"/>
  <c r="H50" i="105"/>
  <c r="L50" i="105" s="1"/>
  <c r="D50" i="105"/>
  <c r="B50" i="105"/>
  <c r="Z49" i="105"/>
  <c r="X49" i="105"/>
  <c r="V49" i="105"/>
  <c r="L49" i="105"/>
  <c r="N49" i="105" s="1"/>
  <c r="B49" i="105"/>
  <c r="Z48" i="105"/>
  <c r="T48" i="105"/>
  <c r="P48" i="105"/>
  <c r="X48" i="105" s="1"/>
  <c r="H48" i="105"/>
  <c r="D48" i="105"/>
  <c r="L48" i="105" s="1"/>
  <c r="B48" i="105"/>
  <c r="X47" i="105"/>
  <c r="Z47" i="105" s="1"/>
  <c r="V47" i="105"/>
  <c r="N47" i="105"/>
  <c r="L47" i="105"/>
  <c r="B47" i="105"/>
  <c r="X46" i="105"/>
  <c r="Z46" i="105" s="1"/>
  <c r="V46" i="105"/>
  <c r="T46" i="105"/>
  <c r="P46" i="105"/>
  <c r="L46" i="105"/>
  <c r="N46" i="105" s="1"/>
  <c r="H46" i="105"/>
  <c r="D46" i="105"/>
  <c r="B46" i="105"/>
  <c r="Z45" i="105"/>
  <c r="X45" i="105"/>
  <c r="N45" i="105"/>
  <c r="L45" i="105"/>
  <c r="B45" i="105"/>
  <c r="Z44" i="105"/>
  <c r="X44" i="105"/>
  <c r="N44" i="105"/>
  <c r="L44" i="105"/>
  <c r="J44" i="105"/>
  <c r="B44" i="105"/>
  <c r="Z43" i="105"/>
  <c r="X43" i="105"/>
  <c r="N43" i="105"/>
  <c r="L43" i="105"/>
  <c r="J43" i="105"/>
  <c r="B43" i="105"/>
  <c r="Z42" i="105"/>
  <c r="X42" i="105"/>
  <c r="N42" i="105"/>
  <c r="L42" i="105"/>
  <c r="B42" i="105"/>
  <c r="Z41" i="105"/>
  <c r="X41" i="105"/>
  <c r="N41" i="105"/>
  <c r="L41" i="105"/>
  <c r="J41" i="105"/>
  <c r="B41" i="105"/>
  <c r="Z40" i="105"/>
  <c r="X40" i="105"/>
  <c r="N40" i="105"/>
  <c r="L40" i="105"/>
  <c r="J40" i="105"/>
  <c r="B40" i="105"/>
  <c r="Z39" i="105"/>
  <c r="X39" i="105"/>
  <c r="N39" i="105"/>
  <c r="L39" i="105"/>
  <c r="J39" i="105"/>
  <c r="B39" i="105"/>
  <c r="Z38" i="105"/>
  <c r="X38" i="105"/>
  <c r="N38" i="105"/>
  <c r="L38" i="105"/>
  <c r="B38" i="105"/>
  <c r="Z37" i="105"/>
  <c r="X37" i="105"/>
  <c r="N37" i="105"/>
  <c r="L37" i="105"/>
  <c r="J37" i="105"/>
  <c r="B37" i="105"/>
  <c r="Z36" i="105"/>
  <c r="X36" i="105"/>
  <c r="N36" i="105"/>
  <c r="L36" i="105"/>
  <c r="J36" i="105"/>
  <c r="B36" i="105"/>
  <c r="T35" i="105"/>
  <c r="Z35" i="105" s="1"/>
  <c r="P35" i="105"/>
  <c r="X35" i="105" s="1"/>
  <c r="H35" i="105"/>
  <c r="D35" i="105"/>
  <c r="L35" i="105" s="1"/>
  <c r="N35" i="105" s="1"/>
  <c r="B35" i="105"/>
  <c r="X34" i="105"/>
  <c r="Z34" i="105" s="1"/>
  <c r="L34" i="105"/>
  <c r="N34" i="105" s="1"/>
  <c r="J34" i="105"/>
  <c r="B34" i="105"/>
  <c r="Z33" i="105"/>
  <c r="X33" i="105"/>
  <c r="N33" i="105"/>
  <c r="L33" i="105"/>
  <c r="J33" i="105"/>
  <c r="B33" i="105"/>
  <c r="Z32" i="105"/>
  <c r="X32" i="105"/>
  <c r="V32" i="105"/>
  <c r="N32" i="105"/>
  <c r="L32" i="105"/>
  <c r="B32" i="105"/>
  <c r="Z31" i="105"/>
  <c r="X31" i="105"/>
  <c r="V31" i="105"/>
  <c r="N31" i="105"/>
  <c r="L31" i="105"/>
  <c r="J31" i="105"/>
  <c r="B31" i="105"/>
  <c r="X30" i="105"/>
  <c r="Z30" i="105" s="1"/>
  <c r="N30" i="105"/>
  <c r="L30" i="105"/>
  <c r="J30" i="105"/>
  <c r="B30" i="105"/>
  <c r="Z29" i="105"/>
  <c r="X29" i="105"/>
  <c r="N29" i="105"/>
  <c r="L29" i="105"/>
  <c r="J29" i="105"/>
  <c r="B29" i="105"/>
  <c r="Z28" i="105"/>
  <c r="X28" i="105"/>
  <c r="V28" i="105"/>
  <c r="L28" i="105"/>
  <c r="N28" i="105" s="1"/>
  <c r="B28" i="105"/>
  <c r="Z27" i="105"/>
  <c r="X27" i="105"/>
  <c r="V27" i="105"/>
  <c r="N27" i="105"/>
  <c r="L27" i="105"/>
  <c r="B27" i="105"/>
  <c r="T26" i="105"/>
  <c r="P26" i="105"/>
  <c r="X26" i="105" s="1"/>
  <c r="H26" i="105"/>
  <c r="N26" i="105" s="1"/>
  <c r="D26" i="105"/>
  <c r="L26" i="105" s="1"/>
  <c r="B26" i="105"/>
  <c r="T25" i="105"/>
  <c r="P25" i="105"/>
  <c r="H25" i="105"/>
  <c r="J25" i="105" s="1"/>
  <c r="D25" i="105"/>
  <c r="T23" i="105"/>
  <c r="J23" i="105"/>
  <c r="H23" i="105"/>
  <c r="H65" i="105" s="1"/>
  <c r="H69" i="105" s="1"/>
  <c r="Z21" i="105"/>
  <c r="X21" i="105"/>
  <c r="N21" i="105"/>
  <c r="L21" i="105"/>
  <c r="B21" i="105"/>
  <c r="Z20" i="105"/>
  <c r="X20" i="105"/>
  <c r="V20" i="105"/>
  <c r="N20" i="105"/>
  <c r="L20" i="105"/>
  <c r="J20" i="105"/>
  <c r="B20" i="105"/>
  <c r="X19" i="105"/>
  <c r="Z19" i="105" s="1"/>
  <c r="V19" i="105"/>
  <c r="L19" i="105"/>
  <c r="N19" i="105" s="1"/>
  <c r="B19" i="105"/>
  <c r="V18" i="105"/>
  <c r="T18" i="105"/>
  <c r="P18" i="105"/>
  <c r="X18" i="105" s="1"/>
  <c r="Z18" i="105" s="1"/>
  <c r="L18" i="105"/>
  <c r="N18" i="105" s="1"/>
  <c r="J18" i="105"/>
  <c r="H18" i="105"/>
  <c r="D18" i="105"/>
  <c r="Z16" i="105"/>
  <c r="P16" i="105"/>
  <c r="X16" i="105" s="1"/>
  <c r="N16" i="105"/>
  <c r="D16" i="105"/>
  <c r="L16" i="105" s="1"/>
  <c r="B16" i="105"/>
  <c r="Z15" i="105"/>
  <c r="X15" i="105"/>
  <c r="P15" i="105"/>
  <c r="N15" i="105"/>
  <c r="D15" i="105"/>
  <c r="L15" i="105" s="1"/>
  <c r="B15" i="105"/>
  <c r="P14" i="105"/>
  <c r="X14" i="105" s="1"/>
  <c r="Z14" i="105" s="1"/>
  <c r="D14" i="105"/>
  <c r="L14" i="105" s="1"/>
  <c r="N14" i="105" s="1"/>
  <c r="B14" i="105"/>
  <c r="Z13" i="105"/>
  <c r="P13" i="105"/>
  <c r="X13" i="105" s="1"/>
  <c r="N13" i="105"/>
  <c r="D13" i="105"/>
  <c r="L13" i="105" s="1"/>
  <c r="B13" i="105"/>
  <c r="T12" i="105"/>
  <c r="V34" i="105" s="1"/>
  <c r="H12" i="105"/>
  <c r="D6" i="105"/>
  <c r="D4" i="105"/>
  <c r="Z94" i="104"/>
  <c r="X94" i="104"/>
  <c r="L94" i="104"/>
  <c r="N94" i="104" s="1"/>
  <c r="T90" i="104"/>
  <c r="Z90" i="104" s="1"/>
  <c r="P90" i="104"/>
  <c r="L90" i="104"/>
  <c r="H90" i="104"/>
  <c r="N90" i="104" s="1"/>
  <c r="D90" i="104"/>
  <c r="X88" i="104"/>
  <c r="Z88" i="104" s="1"/>
  <c r="N88" i="104"/>
  <c r="L88" i="104"/>
  <c r="B88" i="104"/>
  <c r="Z87" i="104"/>
  <c r="X87" i="104"/>
  <c r="N87" i="104"/>
  <c r="L87" i="104"/>
  <c r="B87" i="104"/>
  <c r="X86" i="104"/>
  <c r="T86" i="104"/>
  <c r="Z86" i="104" s="1"/>
  <c r="P86" i="104"/>
  <c r="J86" i="104"/>
  <c r="H86" i="104"/>
  <c r="D86" i="104"/>
  <c r="B86" i="104"/>
  <c r="Z85" i="104"/>
  <c r="X85" i="104"/>
  <c r="N85" i="104"/>
  <c r="L85" i="104"/>
  <c r="B85" i="104"/>
  <c r="T84" i="104"/>
  <c r="P84" i="104"/>
  <c r="X84" i="104" s="1"/>
  <c r="N84" i="104"/>
  <c r="H84" i="104"/>
  <c r="D84" i="104"/>
  <c r="L84" i="104" s="1"/>
  <c r="B84" i="104"/>
  <c r="Z83" i="104"/>
  <c r="X83" i="104"/>
  <c r="L83" i="104"/>
  <c r="N83" i="104" s="1"/>
  <c r="B83" i="104"/>
  <c r="T82" i="104"/>
  <c r="P82" i="104"/>
  <c r="X82" i="104" s="1"/>
  <c r="Z82" i="104" s="1"/>
  <c r="L82" i="104"/>
  <c r="N82" i="104" s="1"/>
  <c r="H82" i="104"/>
  <c r="D82" i="104"/>
  <c r="B82" i="104"/>
  <c r="X81" i="104"/>
  <c r="Z81" i="104" s="1"/>
  <c r="N81" i="104"/>
  <c r="L81" i="104"/>
  <c r="B81" i="104"/>
  <c r="Z80" i="104"/>
  <c r="X80" i="104"/>
  <c r="N80" i="104"/>
  <c r="L80" i="104"/>
  <c r="B80" i="104"/>
  <c r="X79" i="104"/>
  <c r="Z79" i="104" s="1"/>
  <c r="L79" i="104"/>
  <c r="N79" i="104" s="1"/>
  <c r="B79" i="104"/>
  <c r="X78" i="104"/>
  <c r="Z78" i="104" s="1"/>
  <c r="N78" i="104"/>
  <c r="L78" i="104"/>
  <c r="B78" i="104"/>
  <c r="X77" i="104"/>
  <c r="Z77" i="104" s="1"/>
  <c r="N77" i="104"/>
  <c r="L77" i="104"/>
  <c r="B77" i="104"/>
  <c r="X76" i="104"/>
  <c r="Z76" i="104" s="1"/>
  <c r="N76" i="104"/>
  <c r="L76" i="104"/>
  <c r="B76" i="104"/>
  <c r="X75" i="104"/>
  <c r="Z75" i="104" s="1"/>
  <c r="L75" i="104"/>
  <c r="N75" i="104" s="1"/>
  <c r="B75" i="104"/>
  <c r="X74" i="104"/>
  <c r="Z74" i="104" s="1"/>
  <c r="N74" i="104"/>
  <c r="L74" i="104"/>
  <c r="B74" i="104"/>
  <c r="X73" i="104"/>
  <c r="Z73" i="104" s="1"/>
  <c r="T73" i="104"/>
  <c r="P73" i="104"/>
  <c r="H73" i="104"/>
  <c r="D73" i="104"/>
  <c r="L73" i="104" s="1"/>
  <c r="N73" i="104" s="1"/>
  <c r="B73" i="104"/>
  <c r="Z72" i="104"/>
  <c r="X72" i="104"/>
  <c r="L72" i="104"/>
  <c r="N72" i="104" s="1"/>
  <c r="B72" i="104"/>
  <c r="X71" i="104"/>
  <c r="Z71" i="104" s="1"/>
  <c r="N71" i="104"/>
  <c r="L71" i="104"/>
  <c r="J71" i="104"/>
  <c r="B71" i="104"/>
  <c r="Z70" i="104"/>
  <c r="X70" i="104"/>
  <c r="N70" i="104"/>
  <c r="L70" i="104"/>
  <c r="J70" i="104"/>
  <c r="B70" i="104"/>
  <c r="Z69" i="104"/>
  <c r="X69" i="104"/>
  <c r="L69" i="104"/>
  <c r="N69" i="104" s="1"/>
  <c r="B69" i="104"/>
  <c r="T68" i="104"/>
  <c r="P68" i="104"/>
  <c r="H68" i="104"/>
  <c r="D68" i="104"/>
  <c r="L68" i="104" s="1"/>
  <c r="N68" i="104" s="1"/>
  <c r="B68" i="104"/>
  <c r="Z67" i="104"/>
  <c r="X67" i="104"/>
  <c r="L67" i="104"/>
  <c r="N67" i="104" s="1"/>
  <c r="B67" i="104"/>
  <c r="Z66" i="104"/>
  <c r="X66" i="104"/>
  <c r="L66" i="104"/>
  <c r="N66" i="104" s="1"/>
  <c r="B66" i="104"/>
  <c r="X65" i="104"/>
  <c r="Z65" i="104" s="1"/>
  <c r="L65" i="104"/>
  <c r="N65" i="104" s="1"/>
  <c r="B65" i="104"/>
  <c r="X64" i="104"/>
  <c r="Z64" i="104" s="1"/>
  <c r="T64" i="104"/>
  <c r="P64" i="104"/>
  <c r="N64" i="104"/>
  <c r="J64" i="104"/>
  <c r="H64" i="104"/>
  <c r="D64" i="104"/>
  <c r="L64" i="104" s="1"/>
  <c r="B64" i="104"/>
  <c r="X63" i="104"/>
  <c r="Z63" i="104" s="1"/>
  <c r="L63" i="104"/>
  <c r="N63" i="104" s="1"/>
  <c r="J63" i="104"/>
  <c r="B63" i="104"/>
  <c r="X62" i="104"/>
  <c r="T62" i="104"/>
  <c r="P62" i="104"/>
  <c r="J62" i="104"/>
  <c r="H62" i="104"/>
  <c r="D62" i="104"/>
  <c r="B62" i="104"/>
  <c r="Z61" i="104"/>
  <c r="X61" i="104"/>
  <c r="L61" i="104"/>
  <c r="N61" i="104" s="1"/>
  <c r="B61" i="104"/>
  <c r="T60" i="104"/>
  <c r="P60" i="104"/>
  <c r="H60" i="104"/>
  <c r="D60" i="104"/>
  <c r="L60" i="104" s="1"/>
  <c r="N60" i="104" s="1"/>
  <c r="B60" i="104"/>
  <c r="Z59" i="104"/>
  <c r="X59" i="104"/>
  <c r="L59" i="104"/>
  <c r="N59" i="104" s="1"/>
  <c r="B59" i="104"/>
  <c r="T58" i="104"/>
  <c r="P58" i="104"/>
  <c r="X58" i="104" s="1"/>
  <c r="Z58" i="104" s="1"/>
  <c r="L58" i="104"/>
  <c r="N58" i="104" s="1"/>
  <c r="J58" i="104"/>
  <c r="H58" i="104"/>
  <c r="D58" i="104"/>
  <c r="B58" i="104"/>
  <c r="X57" i="104"/>
  <c r="Z57" i="104" s="1"/>
  <c r="N57" i="104"/>
  <c r="L57" i="104"/>
  <c r="J57" i="104"/>
  <c r="B57" i="104"/>
  <c r="T56" i="104"/>
  <c r="P56" i="104"/>
  <c r="L56" i="104"/>
  <c r="H56" i="104"/>
  <c r="N56" i="104" s="1"/>
  <c r="D56" i="104"/>
  <c r="B56" i="104"/>
  <c r="X55" i="104"/>
  <c r="Z55" i="104" s="1"/>
  <c r="N55" i="104"/>
  <c r="L55" i="104"/>
  <c r="J55" i="104"/>
  <c r="B55" i="104"/>
  <c r="T54" i="104"/>
  <c r="P54" i="104"/>
  <c r="X54" i="104" s="1"/>
  <c r="Z54" i="104" s="1"/>
  <c r="H54" i="104"/>
  <c r="D54" i="104"/>
  <c r="L54" i="104" s="1"/>
  <c r="N54" i="104" s="1"/>
  <c r="B54" i="104"/>
  <c r="X53" i="104"/>
  <c r="Z53" i="104" s="1"/>
  <c r="N53" i="104"/>
  <c r="L53" i="104"/>
  <c r="B53" i="104"/>
  <c r="X52" i="104"/>
  <c r="Z52" i="104" s="1"/>
  <c r="T52" i="104"/>
  <c r="P52" i="104"/>
  <c r="N52" i="104"/>
  <c r="L52" i="104"/>
  <c r="J52" i="104"/>
  <c r="H52" i="104"/>
  <c r="D52" i="104"/>
  <c r="B52" i="104"/>
  <c r="X51" i="104"/>
  <c r="Z51" i="104" s="1"/>
  <c r="L51" i="104"/>
  <c r="N51" i="104" s="1"/>
  <c r="J51" i="104"/>
  <c r="B51" i="104"/>
  <c r="X50" i="104"/>
  <c r="T50" i="104"/>
  <c r="P50" i="104"/>
  <c r="J50" i="104"/>
  <c r="H50" i="104"/>
  <c r="D50" i="104"/>
  <c r="B50" i="104"/>
  <c r="Z49" i="104"/>
  <c r="X49" i="104"/>
  <c r="N49" i="104"/>
  <c r="L49" i="104"/>
  <c r="B49" i="104"/>
  <c r="T48" i="104"/>
  <c r="P48" i="104"/>
  <c r="H48" i="104"/>
  <c r="D48" i="104"/>
  <c r="L48" i="104" s="1"/>
  <c r="N48" i="104" s="1"/>
  <c r="B48" i="104"/>
  <c r="Z47" i="104"/>
  <c r="X47" i="104"/>
  <c r="N47" i="104"/>
  <c r="L47" i="104"/>
  <c r="B47" i="104"/>
  <c r="Z46" i="104"/>
  <c r="X46" i="104"/>
  <c r="N46" i="104"/>
  <c r="L46" i="104"/>
  <c r="B46" i="104"/>
  <c r="Z45" i="104"/>
  <c r="X45" i="104"/>
  <c r="L45" i="104"/>
  <c r="N45" i="104" s="1"/>
  <c r="B45" i="104"/>
  <c r="X44" i="104"/>
  <c r="Z44" i="104" s="1"/>
  <c r="N44" i="104"/>
  <c r="L44" i="104"/>
  <c r="J44" i="104"/>
  <c r="B44" i="104"/>
  <c r="Z43" i="104"/>
  <c r="X43" i="104"/>
  <c r="N43" i="104"/>
  <c r="L43" i="104"/>
  <c r="B43" i="104"/>
  <c r="Z42" i="104"/>
  <c r="X42" i="104"/>
  <c r="V42" i="104"/>
  <c r="N42" i="104"/>
  <c r="L42" i="104"/>
  <c r="B42" i="104"/>
  <c r="X41" i="104"/>
  <c r="Z41" i="104" s="1"/>
  <c r="N41" i="104"/>
  <c r="L41" i="104"/>
  <c r="B41" i="104"/>
  <c r="Z40" i="104"/>
  <c r="X40" i="104"/>
  <c r="N40" i="104"/>
  <c r="L40" i="104"/>
  <c r="J40" i="104"/>
  <c r="B40" i="104"/>
  <c r="Z39" i="104"/>
  <c r="X39" i="104"/>
  <c r="L39" i="104"/>
  <c r="N39" i="104" s="1"/>
  <c r="B39" i="104"/>
  <c r="Z38" i="104"/>
  <c r="X38" i="104"/>
  <c r="N38" i="104"/>
  <c r="L38" i="104"/>
  <c r="B38" i="104"/>
  <c r="T37" i="104"/>
  <c r="P37" i="104"/>
  <c r="J37" i="104"/>
  <c r="H37" i="104"/>
  <c r="D37" i="104"/>
  <c r="L37" i="104" s="1"/>
  <c r="B37" i="104"/>
  <c r="Z36" i="104"/>
  <c r="X36" i="104"/>
  <c r="N36" i="104"/>
  <c r="L36" i="104"/>
  <c r="B36" i="104"/>
  <c r="X35" i="104"/>
  <c r="Z35" i="104" s="1"/>
  <c r="L35" i="104"/>
  <c r="N35" i="104" s="1"/>
  <c r="J35" i="104"/>
  <c r="B35" i="104"/>
  <c r="X34" i="104"/>
  <c r="Z34" i="104" s="1"/>
  <c r="N34" i="104"/>
  <c r="L34" i="104"/>
  <c r="B34" i="104"/>
  <c r="Z33" i="104"/>
  <c r="X33" i="104"/>
  <c r="N33" i="104"/>
  <c r="L33" i="104"/>
  <c r="J33" i="104"/>
  <c r="B33" i="104"/>
  <c r="Z32" i="104"/>
  <c r="X32" i="104"/>
  <c r="N32" i="104"/>
  <c r="L32" i="104"/>
  <c r="B32" i="104"/>
  <c r="Z31" i="104"/>
  <c r="X31" i="104"/>
  <c r="L31" i="104"/>
  <c r="N31" i="104" s="1"/>
  <c r="J31" i="104"/>
  <c r="B31" i="104"/>
  <c r="X30" i="104"/>
  <c r="Z30" i="104" s="1"/>
  <c r="N30" i="104"/>
  <c r="L30" i="104"/>
  <c r="B30" i="104"/>
  <c r="X29" i="104"/>
  <c r="Z29" i="104" s="1"/>
  <c r="N29" i="104"/>
  <c r="L29" i="104"/>
  <c r="J29" i="104"/>
  <c r="B29" i="104"/>
  <c r="X28" i="104"/>
  <c r="Z28" i="104" s="1"/>
  <c r="N28" i="104"/>
  <c r="L28" i="104"/>
  <c r="B28" i="104"/>
  <c r="Z27" i="104"/>
  <c r="X27" i="104"/>
  <c r="L27" i="104"/>
  <c r="N27" i="104" s="1"/>
  <c r="J27" i="104"/>
  <c r="B27" i="104"/>
  <c r="X26" i="104"/>
  <c r="T26" i="104"/>
  <c r="P26" i="104"/>
  <c r="H26" i="104"/>
  <c r="D26" i="104"/>
  <c r="B26" i="104"/>
  <c r="T25" i="104"/>
  <c r="X25" i="104" s="1"/>
  <c r="P25" i="104"/>
  <c r="H25" i="104"/>
  <c r="D25" i="104"/>
  <c r="Z21" i="104"/>
  <c r="X21" i="104"/>
  <c r="N21" i="104"/>
  <c r="L21" i="104"/>
  <c r="J21" i="104"/>
  <c r="B21" i="104"/>
  <c r="Z20" i="104"/>
  <c r="X20" i="104"/>
  <c r="N20" i="104"/>
  <c r="L20" i="104"/>
  <c r="J20" i="104"/>
  <c r="B20" i="104"/>
  <c r="X19" i="104"/>
  <c r="Z19" i="104" s="1"/>
  <c r="L19" i="104"/>
  <c r="N19" i="104" s="1"/>
  <c r="J19" i="104"/>
  <c r="B19" i="104"/>
  <c r="Z18" i="104"/>
  <c r="T18" i="104"/>
  <c r="P18" i="104"/>
  <c r="X18" i="104" s="1"/>
  <c r="H18" i="104"/>
  <c r="H23" i="104" s="1"/>
  <c r="D18" i="104"/>
  <c r="L18" i="104" s="1"/>
  <c r="N18" i="104" s="1"/>
  <c r="Z16" i="104"/>
  <c r="P16" i="104"/>
  <c r="X16" i="104" s="1"/>
  <c r="N16" i="104"/>
  <c r="D16" i="104"/>
  <c r="L16" i="104" s="1"/>
  <c r="B16" i="104"/>
  <c r="Z15" i="104"/>
  <c r="P15" i="104"/>
  <c r="X15" i="104" s="1"/>
  <c r="N15" i="104"/>
  <c r="L15" i="104"/>
  <c r="D15" i="104"/>
  <c r="D12" i="104" s="1"/>
  <c r="L12" i="104" s="1"/>
  <c r="B15" i="104"/>
  <c r="P14" i="104"/>
  <c r="X14" i="104" s="1"/>
  <c r="Z14" i="104" s="1"/>
  <c r="N14" i="104"/>
  <c r="L14" i="104"/>
  <c r="D14" i="104"/>
  <c r="B14" i="104"/>
  <c r="Z13" i="104"/>
  <c r="P13" i="104"/>
  <c r="N13" i="104"/>
  <c r="D13" i="104"/>
  <c r="L13" i="104" s="1"/>
  <c r="B13" i="104"/>
  <c r="T12" i="104"/>
  <c r="V19" i="104" s="1"/>
  <c r="H12" i="104"/>
  <c r="J87" i="104" s="1"/>
  <c r="D6" i="104"/>
  <c r="D4" i="104"/>
  <c r="F70" i="103"/>
  <c r="V67" i="103"/>
  <c r="F67" i="103"/>
  <c r="Z65" i="103"/>
  <c r="X65" i="103"/>
  <c r="N65" i="103"/>
  <c r="L65" i="103"/>
  <c r="F65" i="103"/>
  <c r="Z61" i="103"/>
  <c r="X61" i="103"/>
  <c r="T61" i="103"/>
  <c r="P61" i="103"/>
  <c r="N61" i="103"/>
  <c r="L61" i="103"/>
  <c r="H61" i="103"/>
  <c r="D61" i="103"/>
  <c r="X59" i="103"/>
  <c r="Z59" i="103" s="1"/>
  <c r="L59" i="103"/>
  <c r="N59" i="103" s="1"/>
  <c r="B59" i="103"/>
  <c r="V58" i="103"/>
  <c r="T58" i="103"/>
  <c r="Z58" i="103" s="1"/>
  <c r="R58" i="103"/>
  <c r="P58" i="103"/>
  <c r="X58" i="103" s="1"/>
  <c r="H58" i="103"/>
  <c r="F58" i="103"/>
  <c r="D58" i="103"/>
  <c r="B58" i="103"/>
  <c r="X57" i="103"/>
  <c r="Z57" i="103" s="1"/>
  <c r="N57" i="103"/>
  <c r="L57" i="103"/>
  <c r="F57" i="103"/>
  <c r="B57" i="103"/>
  <c r="Z56" i="103"/>
  <c r="X56" i="103"/>
  <c r="T56" i="103"/>
  <c r="P56" i="103"/>
  <c r="H56" i="103"/>
  <c r="D56" i="103"/>
  <c r="L56" i="103" s="1"/>
  <c r="N56" i="103" s="1"/>
  <c r="B56" i="103"/>
  <c r="Z55" i="103"/>
  <c r="X55" i="103"/>
  <c r="L55" i="103"/>
  <c r="N55" i="103" s="1"/>
  <c r="B55" i="103"/>
  <c r="T54" i="103"/>
  <c r="X54" i="103" s="1"/>
  <c r="Z54" i="103" s="1"/>
  <c r="P54" i="103"/>
  <c r="N54" i="103"/>
  <c r="H54" i="103"/>
  <c r="L54" i="103" s="1"/>
  <c r="D54" i="103"/>
  <c r="B54" i="103"/>
  <c r="Z53" i="103"/>
  <c r="X53" i="103"/>
  <c r="V53" i="103"/>
  <c r="L53" i="103"/>
  <c r="N53" i="103" s="1"/>
  <c r="B53" i="103"/>
  <c r="X52" i="103"/>
  <c r="Z52" i="103" s="1"/>
  <c r="V52" i="103"/>
  <c r="R52" i="103"/>
  <c r="N52" i="103"/>
  <c r="L52" i="103"/>
  <c r="B52" i="103"/>
  <c r="X51" i="103"/>
  <c r="Z51" i="103" s="1"/>
  <c r="N51" i="103"/>
  <c r="L51" i="103"/>
  <c r="B51" i="103"/>
  <c r="V50" i="103"/>
  <c r="T50" i="103"/>
  <c r="Z50" i="103" s="1"/>
  <c r="P50" i="103"/>
  <c r="X50" i="103" s="1"/>
  <c r="H50" i="103"/>
  <c r="D50" i="103"/>
  <c r="L50" i="103" s="1"/>
  <c r="B50" i="103"/>
  <c r="Z49" i="103"/>
  <c r="X49" i="103"/>
  <c r="R49" i="103"/>
  <c r="N49" i="103"/>
  <c r="L49" i="103"/>
  <c r="B49" i="103"/>
  <c r="Z48" i="103"/>
  <c r="X48" i="103"/>
  <c r="T48" i="103"/>
  <c r="P48" i="103"/>
  <c r="N48" i="103"/>
  <c r="H48" i="103"/>
  <c r="F48" i="103"/>
  <c r="D48" i="103"/>
  <c r="L48" i="103" s="1"/>
  <c r="B48" i="103"/>
  <c r="Z47" i="103"/>
  <c r="X47" i="103"/>
  <c r="L47" i="103"/>
  <c r="N47" i="103" s="1"/>
  <c r="B47" i="103"/>
  <c r="V46" i="103"/>
  <c r="T46" i="103"/>
  <c r="P46" i="103"/>
  <c r="H46" i="103"/>
  <c r="L46" i="103" s="1"/>
  <c r="D46" i="103"/>
  <c r="B46" i="103"/>
  <c r="Z45" i="103"/>
  <c r="X45" i="103"/>
  <c r="L45" i="103"/>
  <c r="N45" i="103" s="1"/>
  <c r="F45" i="103"/>
  <c r="B45" i="103"/>
  <c r="V44" i="103"/>
  <c r="T44" i="103"/>
  <c r="P44" i="103"/>
  <c r="X44" i="103" s="1"/>
  <c r="H44" i="103"/>
  <c r="F44" i="103"/>
  <c r="D44" i="103"/>
  <c r="L44" i="103" s="1"/>
  <c r="B44" i="103"/>
  <c r="X43" i="103"/>
  <c r="Z43" i="103" s="1"/>
  <c r="V43" i="103"/>
  <c r="R43" i="103"/>
  <c r="N43" i="103"/>
  <c r="L43" i="103"/>
  <c r="B43" i="103"/>
  <c r="T42" i="103"/>
  <c r="P42" i="103"/>
  <c r="X42" i="103" s="1"/>
  <c r="Z42" i="103" s="1"/>
  <c r="L42" i="103"/>
  <c r="N42" i="103" s="1"/>
  <c r="H42" i="103"/>
  <c r="F42" i="103"/>
  <c r="D42" i="103"/>
  <c r="B42" i="103"/>
  <c r="Z41" i="103"/>
  <c r="X41" i="103"/>
  <c r="N41" i="103"/>
  <c r="L41" i="103"/>
  <c r="B41" i="103"/>
  <c r="X40" i="103"/>
  <c r="Z40" i="103" s="1"/>
  <c r="V40" i="103"/>
  <c r="T40" i="103"/>
  <c r="P40" i="103"/>
  <c r="H40" i="103"/>
  <c r="L40" i="103" s="1"/>
  <c r="N40" i="103" s="1"/>
  <c r="D40" i="103"/>
  <c r="B40" i="103"/>
  <c r="Z39" i="103"/>
  <c r="X39" i="103"/>
  <c r="V39" i="103"/>
  <c r="N39" i="103"/>
  <c r="L39" i="103"/>
  <c r="F39" i="103"/>
  <c r="B39" i="103"/>
  <c r="Z38" i="103"/>
  <c r="X38" i="103"/>
  <c r="N38" i="103"/>
  <c r="L38" i="103"/>
  <c r="B38" i="103"/>
  <c r="Z37" i="103"/>
  <c r="X37" i="103"/>
  <c r="N37" i="103"/>
  <c r="L37" i="103"/>
  <c r="F37" i="103"/>
  <c r="B37" i="103"/>
  <c r="Z36" i="103"/>
  <c r="X36" i="103"/>
  <c r="V36" i="103"/>
  <c r="R36" i="103"/>
  <c r="N36" i="103"/>
  <c r="L36" i="103"/>
  <c r="B36" i="103"/>
  <c r="Z35" i="103"/>
  <c r="X35" i="103"/>
  <c r="N35" i="103"/>
  <c r="L35" i="103"/>
  <c r="B35" i="103"/>
  <c r="Z34" i="103"/>
  <c r="X34" i="103"/>
  <c r="N34" i="103"/>
  <c r="L34" i="103"/>
  <c r="B34" i="103"/>
  <c r="Z33" i="103"/>
  <c r="X33" i="103"/>
  <c r="V33" i="103"/>
  <c r="N33" i="103"/>
  <c r="L33" i="103"/>
  <c r="B33" i="103"/>
  <c r="Z32" i="103"/>
  <c r="X32" i="103"/>
  <c r="N32" i="103"/>
  <c r="L32" i="103"/>
  <c r="B32" i="103"/>
  <c r="X31" i="103"/>
  <c r="Z31" i="103" s="1"/>
  <c r="V31" i="103"/>
  <c r="N31" i="103"/>
  <c r="L31" i="103"/>
  <c r="F31" i="103"/>
  <c r="B31" i="103"/>
  <c r="Z30" i="103"/>
  <c r="X30" i="103"/>
  <c r="N30" i="103"/>
  <c r="L30" i="103"/>
  <c r="F30" i="103"/>
  <c r="B30" i="103"/>
  <c r="X29" i="103"/>
  <c r="Z29" i="103" s="1"/>
  <c r="V29" i="103"/>
  <c r="T29" i="103"/>
  <c r="P29" i="103"/>
  <c r="H29" i="103"/>
  <c r="F29" i="103"/>
  <c r="D29" i="103"/>
  <c r="L29" i="103" s="1"/>
  <c r="N29" i="103" s="1"/>
  <c r="B29" i="103"/>
  <c r="Z28" i="103"/>
  <c r="X28" i="103"/>
  <c r="N28" i="103"/>
  <c r="L28" i="103"/>
  <c r="B28" i="103"/>
  <c r="X27" i="103"/>
  <c r="Z27" i="103" s="1"/>
  <c r="V27" i="103"/>
  <c r="R27" i="103"/>
  <c r="N27" i="103"/>
  <c r="L27" i="103"/>
  <c r="F27" i="103"/>
  <c r="B27" i="103"/>
  <c r="X26" i="103"/>
  <c r="Z26" i="103" s="1"/>
  <c r="L26" i="103"/>
  <c r="N26" i="103" s="1"/>
  <c r="F26" i="103"/>
  <c r="B26" i="103"/>
  <c r="Z25" i="103"/>
  <c r="X25" i="103"/>
  <c r="V25" i="103"/>
  <c r="N25" i="103"/>
  <c r="L25" i="103"/>
  <c r="B25" i="103"/>
  <c r="X24" i="103"/>
  <c r="Z24" i="103" s="1"/>
  <c r="V24" i="103"/>
  <c r="N24" i="103"/>
  <c r="L24" i="103"/>
  <c r="F24" i="103"/>
  <c r="B24" i="103"/>
  <c r="Z23" i="103"/>
  <c r="X23" i="103"/>
  <c r="L23" i="103"/>
  <c r="N23" i="103" s="1"/>
  <c r="F23" i="103"/>
  <c r="B23" i="103"/>
  <c r="X22" i="103"/>
  <c r="Z22" i="103" s="1"/>
  <c r="V22" i="103"/>
  <c r="N22" i="103"/>
  <c r="L22" i="103"/>
  <c r="F22" i="103"/>
  <c r="B22" i="103"/>
  <c r="Z21" i="103"/>
  <c r="X21" i="103"/>
  <c r="V21" i="103"/>
  <c r="N21" i="103"/>
  <c r="L21" i="103"/>
  <c r="F21" i="103"/>
  <c r="B21" i="103"/>
  <c r="X20" i="103"/>
  <c r="Z20" i="103" s="1"/>
  <c r="V20" i="103"/>
  <c r="R20" i="103"/>
  <c r="N20" i="103"/>
  <c r="L20" i="103"/>
  <c r="F20" i="103"/>
  <c r="B20" i="103"/>
  <c r="T19" i="103"/>
  <c r="Z19" i="103" s="1"/>
  <c r="P19" i="103"/>
  <c r="X19" i="103" s="1"/>
  <c r="L19" i="103"/>
  <c r="N19" i="103" s="1"/>
  <c r="H19" i="103"/>
  <c r="F19" i="103"/>
  <c r="D19" i="103"/>
  <c r="B19" i="103"/>
  <c r="T18" i="103"/>
  <c r="R18" i="103"/>
  <c r="P18" i="103"/>
  <c r="X18" i="103" s="1"/>
  <c r="Z18" i="103" s="1"/>
  <c r="H18" i="103"/>
  <c r="F18" i="103"/>
  <c r="D18" i="103"/>
  <c r="R16" i="103"/>
  <c r="P16" i="103"/>
  <c r="F16" i="103"/>
  <c r="Z14" i="103"/>
  <c r="T14" i="103"/>
  <c r="T16" i="103" s="1"/>
  <c r="R14" i="103"/>
  <c r="P14" i="103"/>
  <c r="X14" i="103" s="1"/>
  <c r="N14" i="103"/>
  <c r="H14" i="103"/>
  <c r="L14" i="103" s="1"/>
  <c r="F14" i="103"/>
  <c r="D14" i="103"/>
  <c r="Z12" i="103"/>
  <c r="T12" i="103"/>
  <c r="V63" i="103" s="1"/>
  <c r="P12" i="103"/>
  <c r="R67" i="103" s="1"/>
  <c r="H12" i="103"/>
  <c r="J54" i="103" s="1"/>
  <c r="D12" i="103"/>
  <c r="F43" i="103" s="1"/>
  <c r="D6" i="103"/>
  <c r="D4" i="103"/>
  <c r="Z98" i="102"/>
  <c r="X98" i="102"/>
  <c r="L98" i="102"/>
  <c r="N98" i="102" s="1"/>
  <c r="Z94" i="102"/>
  <c r="P94" i="102"/>
  <c r="X94" i="102" s="1"/>
  <c r="N94" i="102"/>
  <c r="L94" i="102"/>
  <c r="D94" i="102"/>
  <c r="B94" i="102"/>
  <c r="X93" i="102"/>
  <c r="Z93" i="102" s="1"/>
  <c r="T93" i="102"/>
  <c r="P93" i="102"/>
  <c r="H93" i="102"/>
  <c r="N93" i="102" s="1"/>
  <c r="D93" i="102"/>
  <c r="L93" i="102" s="1"/>
  <c r="Z91" i="102"/>
  <c r="X91" i="102"/>
  <c r="N91" i="102"/>
  <c r="L91" i="102"/>
  <c r="B91" i="102"/>
  <c r="T90" i="102"/>
  <c r="P90" i="102"/>
  <c r="N90" i="102"/>
  <c r="L90" i="102"/>
  <c r="H90" i="102"/>
  <c r="D90" i="102"/>
  <c r="B90" i="102"/>
  <c r="X89" i="102"/>
  <c r="Z89" i="102" s="1"/>
  <c r="N89" i="102"/>
  <c r="L89" i="102"/>
  <c r="B89" i="102"/>
  <c r="T88" i="102"/>
  <c r="Z88" i="102" s="1"/>
  <c r="P88" i="102"/>
  <c r="X88" i="102" s="1"/>
  <c r="N88" i="102"/>
  <c r="H88" i="102"/>
  <c r="L88" i="102" s="1"/>
  <c r="D88" i="102"/>
  <c r="B88" i="102"/>
  <c r="X87" i="102"/>
  <c r="Z87" i="102" s="1"/>
  <c r="L87" i="102"/>
  <c r="N87" i="102" s="1"/>
  <c r="B87" i="102"/>
  <c r="Z86" i="102"/>
  <c r="X86" i="102"/>
  <c r="L86" i="102"/>
  <c r="N86" i="102" s="1"/>
  <c r="B86" i="102"/>
  <c r="V85" i="102"/>
  <c r="T85" i="102"/>
  <c r="P85" i="102"/>
  <c r="X85" i="102" s="1"/>
  <c r="H85" i="102"/>
  <c r="D85" i="102"/>
  <c r="L85" i="102" s="1"/>
  <c r="B85" i="102"/>
  <c r="X84" i="102"/>
  <c r="Z84" i="102" s="1"/>
  <c r="N84" i="102"/>
  <c r="L84" i="102"/>
  <c r="B84" i="102"/>
  <c r="Z83" i="102"/>
  <c r="X83" i="102"/>
  <c r="N83" i="102"/>
  <c r="L83" i="102"/>
  <c r="B83" i="102"/>
  <c r="X82" i="102"/>
  <c r="Z82" i="102" s="1"/>
  <c r="N82" i="102"/>
  <c r="L82" i="102"/>
  <c r="B82" i="102"/>
  <c r="X81" i="102"/>
  <c r="Z81" i="102" s="1"/>
  <c r="L81" i="102"/>
  <c r="N81" i="102" s="1"/>
  <c r="B81" i="102"/>
  <c r="X80" i="102"/>
  <c r="Z80" i="102" s="1"/>
  <c r="N80" i="102"/>
  <c r="L80" i="102"/>
  <c r="B80" i="102"/>
  <c r="X79" i="102"/>
  <c r="Z79" i="102" s="1"/>
  <c r="N79" i="102"/>
  <c r="L79" i="102"/>
  <c r="B79" i="102"/>
  <c r="Z78" i="102"/>
  <c r="X78" i="102"/>
  <c r="V78" i="102"/>
  <c r="N78" i="102"/>
  <c r="L78" i="102"/>
  <c r="B78" i="102"/>
  <c r="T77" i="102"/>
  <c r="P77" i="102"/>
  <c r="X77" i="102" s="1"/>
  <c r="N77" i="102"/>
  <c r="L77" i="102"/>
  <c r="H77" i="102"/>
  <c r="D77" i="102"/>
  <c r="B77" i="102"/>
  <c r="Z76" i="102"/>
  <c r="X76" i="102"/>
  <c r="L76" i="102"/>
  <c r="N76" i="102" s="1"/>
  <c r="B76" i="102"/>
  <c r="Z75" i="102"/>
  <c r="X75" i="102"/>
  <c r="T75" i="102"/>
  <c r="P75" i="102"/>
  <c r="L75" i="102"/>
  <c r="H75" i="102"/>
  <c r="D75" i="102"/>
  <c r="B75" i="102"/>
  <c r="Z74" i="102"/>
  <c r="X74" i="102"/>
  <c r="L74" i="102"/>
  <c r="N74" i="102" s="1"/>
  <c r="J74" i="102"/>
  <c r="B74" i="102"/>
  <c r="Z73" i="102"/>
  <c r="X73" i="102"/>
  <c r="V73" i="102"/>
  <c r="L73" i="102"/>
  <c r="N73" i="102" s="1"/>
  <c r="B73" i="102"/>
  <c r="T72" i="102"/>
  <c r="P72" i="102"/>
  <c r="X72" i="102" s="1"/>
  <c r="Z72" i="102" s="1"/>
  <c r="H72" i="102"/>
  <c r="D72" i="102"/>
  <c r="L72" i="102" s="1"/>
  <c r="N72" i="102" s="1"/>
  <c r="B72" i="102"/>
  <c r="Z71" i="102"/>
  <c r="X71" i="102"/>
  <c r="N71" i="102"/>
  <c r="L71" i="102"/>
  <c r="B71" i="102"/>
  <c r="X70" i="102"/>
  <c r="Z70" i="102" s="1"/>
  <c r="N70" i="102"/>
  <c r="L70" i="102"/>
  <c r="B70" i="102"/>
  <c r="T69" i="102"/>
  <c r="Z69" i="102" s="1"/>
  <c r="P69" i="102"/>
  <c r="X69" i="102" s="1"/>
  <c r="L69" i="102"/>
  <c r="N69" i="102" s="1"/>
  <c r="H69" i="102"/>
  <c r="D69" i="102"/>
  <c r="B69" i="102"/>
  <c r="Z68" i="102"/>
  <c r="X68" i="102"/>
  <c r="N68" i="102"/>
  <c r="L68" i="102"/>
  <c r="B68" i="102"/>
  <c r="Z67" i="102"/>
  <c r="X67" i="102"/>
  <c r="N67" i="102"/>
  <c r="L67" i="102"/>
  <c r="B67" i="102"/>
  <c r="Z66" i="102"/>
  <c r="X66" i="102"/>
  <c r="N66" i="102"/>
  <c r="L66" i="102"/>
  <c r="B66" i="102"/>
  <c r="X65" i="102"/>
  <c r="V65" i="102"/>
  <c r="T65" i="102"/>
  <c r="P65" i="102"/>
  <c r="N65" i="102"/>
  <c r="L65" i="102"/>
  <c r="H65" i="102"/>
  <c r="D65" i="102"/>
  <c r="B65" i="102"/>
  <c r="X64" i="102"/>
  <c r="Z64" i="102" s="1"/>
  <c r="V64" i="102"/>
  <c r="N64" i="102"/>
  <c r="L64" i="102"/>
  <c r="B64" i="102"/>
  <c r="T63" i="102"/>
  <c r="P63" i="102"/>
  <c r="X63" i="102" s="1"/>
  <c r="J63" i="102"/>
  <c r="H63" i="102"/>
  <c r="N63" i="102" s="1"/>
  <c r="D63" i="102"/>
  <c r="L63" i="102" s="1"/>
  <c r="B63" i="102"/>
  <c r="X62" i="102"/>
  <c r="Z62" i="102" s="1"/>
  <c r="V62" i="102"/>
  <c r="N62" i="102"/>
  <c r="L62" i="102"/>
  <c r="B62" i="102"/>
  <c r="T61" i="102"/>
  <c r="Z61" i="102" s="1"/>
  <c r="P61" i="102"/>
  <c r="X61" i="102" s="1"/>
  <c r="L61" i="102"/>
  <c r="N61" i="102" s="1"/>
  <c r="H61" i="102"/>
  <c r="D61" i="102"/>
  <c r="B61" i="102"/>
  <c r="Z60" i="102"/>
  <c r="X60" i="102"/>
  <c r="N60" i="102"/>
  <c r="L60" i="102"/>
  <c r="J60" i="102"/>
  <c r="B60" i="102"/>
  <c r="Z59" i="102"/>
  <c r="X59" i="102"/>
  <c r="T59" i="102"/>
  <c r="P59" i="102"/>
  <c r="H59" i="102"/>
  <c r="D59" i="102"/>
  <c r="B59" i="102"/>
  <c r="Z58" i="102"/>
  <c r="X58" i="102"/>
  <c r="L58" i="102"/>
  <c r="N58" i="102" s="1"/>
  <c r="B58" i="102"/>
  <c r="Z57" i="102"/>
  <c r="X57" i="102"/>
  <c r="L57" i="102"/>
  <c r="N57" i="102" s="1"/>
  <c r="B57" i="102"/>
  <c r="X56" i="102"/>
  <c r="Z56" i="102" s="1"/>
  <c r="V56" i="102"/>
  <c r="T56" i="102"/>
  <c r="P56" i="102"/>
  <c r="H56" i="102"/>
  <c r="D56" i="102"/>
  <c r="L56" i="102" s="1"/>
  <c r="N56" i="102" s="1"/>
  <c r="B56" i="102"/>
  <c r="Z55" i="102"/>
  <c r="X55" i="102"/>
  <c r="N55" i="102"/>
  <c r="L55" i="102"/>
  <c r="B55" i="102"/>
  <c r="V54" i="102"/>
  <c r="T54" i="102"/>
  <c r="P54" i="102"/>
  <c r="L54" i="102"/>
  <c r="H54" i="102"/>
  <c r="N54" i="102" s="1"/>
  <c r="D54" i="102"/>
  <c r="B54" i="102"/>
  <c r="Z53" i="102"/>
  <c r="X53" i="102"/>
  <c r="N53" i="102"/>
  <c r="L53" i="102"/>
  <c r="B53" i="102"/>
  <c r="T52" i="102"/>
  <c r="P52" i="102"/>
  <c r="N52" i="102"/>
  <c r="H52" i="102"/>
  <c r="L52" i="102" s="1"/>
  <c r="D52" i="102"/>
  <c r="B52" i="102"/>
  <c r="X51" i="102"/>
  <c r="Z51" i="102" s="1"/>
  <c r="L51" i="102"/>
  <c r="N51" i="102" s="1"/>
  <c r="B51" i="102"/>
  <c r="Z50" i="102"/>
  <c r="T50" i="102"/>
  <c r="P50" i="102"/>
  <c r="X50" i="102" s="1"/>
  <c r="L50" i="102"/>
  <c r="N50" i="102" s="1"/>
  <c r="J50" i="102"/>
  <c r="H50" i="102"/>
  <c r="D50" i="102"/>
  <c r="B50" i="102"/>
  <c r="Z49" i="102"/>
  <c r="X49" i="102"/>
  <c r="N49" i="102"/>
  <c r="L49" i="102"/>
  <c r="J49" i="102"/>
  <c r="B49" i="102"/>
  <c r="Z48" i="102"/>
  <c r="X48" i="102"/>
  <c r="V48" i="102"/>
  <c r="N48" i="102"/>
  <c r="L48" i="102"/>
  <c r="B48" i="102"/>
  <c r="Z47" i="102"/>
  <c r="X47" i="102"/>
  <c r="N47" i="102"/>
  <c r="L47" i="102"/>
  <c r="B47" i="102"/>
  <c r="X46" i="102"/>
  <c r="Z46" i="102" s="1"/>
  <c r="V46" i="102"/>
  <c r="N46" i="102"/>
  <c r="L46" i="102"/>
  <c r="B46" i="102"/>
  <c r="Z45" i="102"/>
  <c r="X45" i="102"/>
  <c r="N45" i="102"/>
  <c r="L45" i="102"/>
  <c r="B45" i="102"/>
  <c r="Z44" i="102"/>
  <c r="X44" i="102"/>
  <c r="V44" i="102"/>
  <c r="N44" i="102"/>
  <c r="L44" i="102"/>
  <c r="B44" i="102"/>
  <c r="Z43" i="102"/>
  <c r="X43" i="102"/>
  <c r="L43" i="102"/>
  <c r="N43" i="102" s="1"/>
  <c r="B43" i="102"/>
  <c r="Z42" i="102"/>
  <c r="X42" i="102"/>
  <c r="V42" i="102"/>
  <c r="N42" i="102"/>
  <c r="L42" i="102"/>
  <c r="B42" i="102"/>
  <c r="X41" i="102"/>
  <c r="Z41" i="102" s="1"/>
  <c r="L41" i="102"/>
  <c r="N41" i="102" s="1"/>
  <c r="J41" i="102"/>
  <c r="B41" i="102"/>
  <c r="Z40" i="102"/>
  <c r="X40" i="102"/>
  <c r="V40" i="102"/>
  <c r="N40" i="102"/>
  <c r="L40" i="102"/>
  <c r="B40" i="102"/>
  <c r="X39" i="102"/>
  <c r="Z39" i="102" s="1"/>
  <c r="T39" i="102"/>
  <c r="P39" i="102"/>
  <c r="H39" i="102"/>
  <c r="D39" i="102"/>
  <c r="L39" i="102" s="1"/>
  <c r="B39" i="102"/>
  <c r="Z38" i="102"/>
  <c r="X38" i="102"/>
  <c r="N38" i="102"/>
  <c r="L38" i="102"/>
  <c r="B38" i="102"/>
  <c r="Z37" i="102"/>
  <c r="X37" i="102"/>
  <c r="V37" i="102"/>
  <c r="N37" i="102"/>
  <c r="L37" i="102"/>
  <c r="B37" i="102"/>
  <c r="Z36" i="102"/>
  <c r="X36" i="102"/>
  <c r="N36" i="102"/>
  <c r="L36" i="102"/>
  <c r="J36" i="102"/>
  <c r="B36" i="102"/>
  <c r="Z35" i="102"/>
  <c r="X35" i="102"/>
  <c r="N35" i="102"/>
  <c r="L35" i="102"/>
  <c r="B35" i="102"/>
  <c r="Z34" i="102"/>
  <c r="X34" i="102"/>
  <c r="N34" i="102"/>
  <c r="L34" i="102"/>
  <c r="J34" i="102"/>
  <c r="B34" i="102"/>
  <c r="Z33" i="102"/>
  <c r="X33" i="102"/>
  <c r="N33" i="102"/>
  <c r="L33" i="102"/>
  <c r="B33" i="102"/>
  <c r="Z32" i="102"/>
  <c r="X32" i="102"/>
  <c r="N32" i="102"/>
  <c r="L32" i="102"/>
  <c r="B32" i="102"/>
  <c r="Z31" i="102"/>
  <c r="X31" i="102"/>
  <c r="L31" i="102"/>
  <c r="N31" i="102" s="1"/>
  <c r="B31" i="102"/>
  <c r="Z30" i="102"/>
  <c r="X30" i="102"/>
  <c r="N30" i="102"/>
  <c r="L30" i="102"/>
  <c r="J30" i="102"/>
  <c r="B30" i="102"/>
  <c r="X29" i="102"/>
  <c r="Z29" i="102" s="1"/>
  <c r="N29" i="102"/>
  <c r="L29" i="102"/>
  <c r="J29" i="102"/>
  <c r="B29" i="102"/>
  <c r="T28" i="102"/>
  <c r="P28" i="102"/>
  <c r="N28" i="102"/>
  <c r="H28" i="102"/>
  <c r="L28" i="102" s="1"/>
  <c r="D28" i="102"/>
  <c r="B28" i="102"/>
  <c r="T27" i="102"/>
  <c r="V27" i="102" s="1"/>
  <c r="P27" i="102"/>
  <c r="X27" i="102" s="1"/>
  <c r="H27" i="102"/>
  <c r="D27" i="102"/>
  <c r="H25" i="102"/>
  <c r="Z23" i="102"/>
  <c r="X23" i="102"/>
  <c r="V23" i="102"/>
  <c r="N23" i="102"/>
  <c r="L23" i="102"/>
  <c r="B23" i="102"/>
  <c r="Z22" i="102"/>
  <c r="X22" i="102"/>
  <c r="N22" i="102"/>
  <c r="L22" i="102"/>
  <c r="B22" i="102"/>
  <c r="Z21" i="102"/>
  <c r="X21" i="102"/>
  <c r="V21" i="102"/>
  <c r="L21" i="102"/>
  <c r="N21" i="102" s="1"/>
  <c r="B21" i="102"/>
  <c r="X20" i="102"/>
  <c r="Z20" i="102" s="1"/>
  <c r="T20" i="102"/>
  <c r="P20" i="102"/>
  <c r="N20" i="102"/>
  <c r="J20" i="102"/>
  <c r="H20" i="102"/>
  <c r="D20" i="102"/>
  <c r="L20" i="102" s="1"/>
  <c r="Z18" i="102"/>
  <c r="X18" i="102"/>
  <c r="P18" i="102"/>
  <c r="N18" i="102"/>
  <c r="D18" i="102"/>
  <c r="B18" i="102"/>
  <c r="Z17" i="102"/>
  <c r="X17" i="102"/>
  <c r="P17" i="102"/>
  <c r="N17" i="102"/>
  <c r="D17" i="102"/>
  <c r="L17" i="102" s="1"/>
  <c r="B17" i="102"/>
  <c r="Z16" i="102"/>
  <c r="X16" i="102"/>
  <c r="P16" i="102"/>
  <c r="N16" i="102"/>
  <c r="L16" i="102"/>
  <c r="D16" i="102"/>
  <c r="B16" i="102"/>
  <c r="Z15" i="102"/>
  <c r="P15" i="102"/>
  <c r="X15" i="102" s="1"/>
  <c r="N15" i="102"/>
  <c r="L15" i="102"/>
  <c r="D15" i="102"/>
  <c r="B15" i="102"/>
  <c r="Z14" i="102"/>
  <c r="P14" i="102"/>
  <c r="X14" i="102" s="1"/>
  <c r="N14" i="102"/>
  <c r="L14" i="102"/>
  <c r="D14" i="102"/>
  <c r="B14" i="102"/>
  <c r="P13" i="102"/>
  <c r="N13" i="102"/>
  <c r="L13" i="102"/>
  <c r="D13" i="102"/>
  <c r="B13" i="102"/>
  <c r="T12" i="102"/>
  <c r="V53" i="102" s="1"/>
  <c r="H12" i="102"/>
  <c r="J58" i="102" s="1"/>
  <c r="D6" i="102"/>
  <c r="D4" i="102"/>
  <c r="X80" i="101"/>
  <c r="Z80" i="101" s="1"/>
  <c r="N80" i="101"/>
  <c r="L80" i="101"/>
  <c r="X76" i="101"/>
  <c r="Z76" i="101" s="1"/>
  <c r="P76" i="101"/>
  <c r="L76" i="101"/>
  <c r="N76" i="101" s="1"/>
  <c r="D76" i="101"/>
  <c r="B76" i="101"/>
  <c r="X75" i="101"/>
  <c r="Z75" i="101" s="1"/>
  <c r="T75" i="101"/>
  <c r="P75" i="101"/>
  <c r="H75" i="101"/>
  <c r="D75" i="101"/>
  <c r="L75" i="101" s="1"/>
  <c r="Z73" i="101"/>
  <c r="X73" i="101"/>
  <c r="N73" i="101"/>
  <c r="L73" i="101"/>
  <c r="B73" i="101"/>
  <c r="Z72" i="101"/>
  <c r="X72" i="101"/>
  <c r="L72" i="101"/>
  <c r="N72" i="101" s="1"/>
  <c r="B72" i="101"/>
  <c r="T71" i="101"/>
  <c r="P71" i="101"/>
  <c r="X71" i="101" s="1"/>
  <c r="H71" i="101"/>
  <c r="L71" i="101" s="1"/>
  <c r="D71" i="101"/>
  <c r="B71" i="101"/>
  <c r="Z70" i="101"/>
  <c r="X70" i="101"/>
  <c r="N70" i="101"/>
  <c r="L70" i="101"/>
  <c r="B70" i="101"/>
  <c r="Z69" i="101"/>
  <c r="X69" i="101"/>
  <c r="L69" i="101"/>
  <c r="N69" i="101" s="1"/>
  <c r="B69" i="101"/>
  <c r="X68" i="101"/>
  <c r="Z68" i="101" s="1"/>
  <c r="L68" i="101"/>
  <c r="N68" i="101" s="1"/>
  <c r="B68" i="101"/>
  <c r="X67" i="101"/>
  <c r="Z67" i="101" s="1"/>
  <c r="L67" i="101"/>
  <c r="N67" i="101" s="1"/>
  <c r="B67" i="101"/>
  <c r="Z66" i="101"/>
  <c r="X66" i="101"/>
  <c r="N66" i="101"/>
  <c r="L66" i="101"/>
  <c r="J66" i="101"/>
  <c r="B66" i="101"/>
  <c r="T65" i="101"/>
  <c r="P65" i="101"/>
  <c r="X65" i="101" s="1"/>
  <c r="H65" i="101"/>
  <c r="D65" i="101"/>
  <c r="B65" i="101"/>
  <c r="X64" i="101"/>
  <c r="Z64" i="101" s="1"/>
  <c r="N64" i="101"/>
  <c r="L64" i="101"/>
  <c r="B64" i="101"/>
  <c r="X63" i="101"/>
  <c r="Z63" i="101" s="1"/>
  <c r="T63" i="101"/>
  <c r="P63" i="101"/>
  <c r="H63" i="101"/>
  <c r="D63" i="101"/>
  <c r="B63" i="101"/>
  <c r="Z62" i="101"/>
  <c r="X62" i="101"/>
  <c r="N62" i="101"/>
  <c r="L62" i="101"/>
  <c r="B62" i="101"/>
  <c r="X61" i="101"/>
  <c r="Z61" i="101" s="1"/>
  <c r="N61" i="101"/>
  <c r="L61" i="101"/>
  <c r="J61" i="101"/>
  <c r="B61" i="101"/>
  <c r="Z60" i="101"/>
  <c r="X60" i="101"/>
  <c r="N60" i="101"/>
  <c r="L60" i="101"/>
  <c r="J60" i="101"/>
  <c r="B60" i="101"/>
  <c r="T59" i="101"/>
  <c r="P59" i="101"/>
  <c r="H59" i="101"/>
  <c r="D59" i="101"/>
  <c r="B59" i="101"/>
  <c r="Z58" i="101"/>
  <c r="X58" i="101"/>
  <c r="N58" i="101"/>
  <c r="L58" i="101"/>
  <c r="B58" i="101"/>
  <c r="Z57" i="101"/>
  <c r="X57" i="101"/>
  <c r="N57" i="101"/>
  <c r="L57" i="101"/>
  <c r="B57" i="101"/>
  <c r="T56" i="101"/>
  <c r="P56" i="101"/>
  <c r="X56" i="101" s="1"/>
  <c r="J56" i="101"/>
  <c r="H56" i="101"/>
  <c r="D56" i="101"/>
  <c r="L56" i="101" s="1"/>
  <c r="N56" i="101" s="1"/>
  <c r="B56" i="101"/>
  <c r="Z55" i="101"/>
  <c r="X55" i="101"/>
  <c r="N55" i="101"/>
  <c r="L55" i="101"/>
  <c r="B55" i="101"/>
  <c r="Z54" i="101"/>
  <c r="T54" i="101"/>
  <c r="P54" i="101"/>
  <c r="X54" i="101" s="1"/>
  <c r="N54" i="101"/>
  <c r="L54" i="101"/>
  <c r="J54" i="101"/>
  <c r="H54" i="101"/>
  <c r="D54" i="101"/>
  <c r="B54" i="101"/>
  <c r="X53" i="101"/>
  <c r="Z53" i="101" s="1"/>
  <c r="N53" i="101"/>
  <c r="L53" i="101"/>
  <c r="B53" i="101"/>
  <c r="Z52" i="101"/>
  <c r="T52" i="101"/>
  <c r="P52" i="101"/>
  <c r="X52" i="101" s="1"/>
  <c r="L52" i="101"/>
  <c r="H52" i="101"/>
  <c r="N52" i="101" s="1"/>
  <c r="D52" i="101"/>
  <c r="B52" i="101"/>
  <c r="Z51" i="101"/>
  <c r="X51" i="101"/>
  <c r="N51" i="101"/>
  <c r="L51" i="101"/>
  <c r="B51" i="101"/>
  <c r="T50" i="101"/>
  <c r="Z50" i="101" s="1"/>
  <c r="P50" i="101"/>
  <c r="X50" i="101" s="1"/>
  <c r="H50" i="101"/>
  <c r="D50" i="101"/>
  <c r="B50" i="101"/>
  <c r="X49" i="101"/>
  <c r="Z49" i="101" s="1"/>
  <c r="L49" i="101"/>
  <c r="N49" i="101" s="1"/>
  <c r="J49" i="101"/>
  <c r="B49" i="101"/>
  <c r="T48" i="101"/>
  <c r="P48" i="101"/>
  <c r="X48" i="101" s="1"/>
  <c r="H48" i="101"/>
  <c r="D48" i="101"/>
  <c r="B48" i="101"/>
  <c r="X47" i="101"/>
  <c r="Z47" i="101" s="1"/>
  <c r="L47" i="101"/>
  <c r="N47" i="101" s="1"/>
  <c r="B47" i="101"/>
  <c r="Z46" i="101"/>
  <c r="X46" i="101"/>
  <c r="T46" i="101"/>
  <c r="P46" i="101"/>
  <c r="H46" i="101"/>
  <c r="D46" i="101"/>
  <c r="B46" i="101"/>
  <c r="Z45" i="101"/>
  <c r="X45" i="101"/>
  <c r="N45" i="101"/>
  <c r="L45" i="101"/>
  <c r="J45" i="101"/>
  <c r="B45" i="101"/>
  <c r="Z44" i="101"/>
  <c r="X44" i="101"/>
  <c r="N44" i="101"/>
  <c r="L44" i="101"/>
  <c r="J44" i="101"/>
  <c r="B44" i="101"/>
  <c r="Z43" i="101"/>
  <c r="X43" i="101"/>
  <c r="L43" i="101"/>
  <c r="N43" i="101" s="1"/>
  <c r="J43" i="101"/>
  <c r="B43" i="101"/>
  <c r="Z42" i="101"/>
  <c r="X42" i="101"/>
  <c r="N42" i="101"/>
  <c r="L42" i="101"/>
  <c r="B42" i="101"/>
  <c r="Z41" i="101"/>
  <c r="X41" i="101"/>
  <c r="N41" i="101"/>
  <c r="L41" i="101"/>
  <c r="J41" i="101"/>
  <c r="B41" i="101"/>
  <c r="Z40" i="101"/>
  <c r="X40" i="101"/>
  <c r="N40" i="101"/>
  <c r="L40" i="101"/>
  <c r="J40" i="101"/>
  <c r="B40" i="101"/>
  <c r="Z39" i="101"/>
  <c r="X39" i="101"/>
  <c r="N39" i="101"/>
  <c r="L39" i="101"/>
  <c r="J39" i="101"/>
  <c r="B39" i="101"/>
  <c r="Z38" i="101"/>
  <c r="X38" i="101"/>
  <c r="N38" i="101"/>
  <c r="L38" i="101"/>
  <c r="B38" i="101"/>
  <c r="Z37" i="101"/>
  <c r="X37" i="101"/>
  <c r="N37" i="101"/>
  <c r="L37" i="101"/>
  <c r="J37" i="101"/>
  <c r="B37" i="101"/>
  <c r="Z36" i="101"/>
  <c r="X36" i="101"/>
  <c r="N36" i="101"/>
  <c r="L36" i="101"/>
  <c r="J36" i="101"/>
  <c r="B36" i="101"/>
  <c r="V35" i="101"/>
  <c r="T35" i="101"/>
  <c r="P35" i="101"/>
  <c r="X35" i="101" s="1"/>
  <c r="Z35" i="101" s="1"/>
  <c r="H35" i="101"/>
  <c r="D35" i="101"/>
  <c r="L35" i="101" s="1"/>
  <c r="N35" i="101" s="1"/>
  <c r="B35" i="101"/>
  <c r="X34" i="101"/>
  <c r="Z34" i="101" s="1"/>
  <c r="L34" i="101"/>
  <c r="N34" i="101" s="1"/>
  <c r="J34" i="101"/>
  <c r="B34" i="101"/>
  <c r="Z33" i="101"/>
  <c r="X33" i="101"/>
  <c r="N33" i="101"/>
  <c r="L33" i="101"/>
  <c r="B33" i="101"/>
  <c r="Z32" i="101"/>
  <c r="X32" i="101"/>
  <c r="N32" i="101"/>
  <c r="L32" i="101"/>
  <c r="B32" i="101"/>
  <c r="Z31" i="101"/>
  <c r="X31" i="101"/>
  <c r="N31" i="101"/>
  <c r="L31" i="101"/>
  <c r="J31" i="101"/>
  <c r="B31" i="101"/>
  <c r="X30" i="101"/>
  <c r="Z30" i="101" s="1"/>
  <c r="L30" i="101"/>
  <c r="N30" i="101" s="1"/>
  <c r="J30" i="101"/>
  <c r="B30" i="101"/>
  <c r="Z29" i="101"/>
  <c r="X29" i="101"/>
  <c r="N29" i="101"/>
  <c r="L29" i="101"/>
  <c r="B29" i="101"/>
  <c r="Z28" i="101"/>
  <c r="X28" i="101"/>
  <c r="N28" i="101"/>
  <c r="L28" i="101"/>
  <c r="B28" i="101"/>
  <c r="Z27" i="101"/>
  <c r="X27" i="101"/>
  <c r="N27" i="101"/>
  <c r="L27" i="101"/>
  <c r="J27" i="101"/>
  <c r="B27" i="101"/>
  <c r="T26" i="101"/>
  <c r="P26" i="101"/>
  <c r="X26" i="101" s="1"/>
  <c r="Z26" i="101" s="1"/>
  <c r="J26" i="101"/>
  <c r="H26" i="101"/>
  <c r="D26" i="101"/>
  <c r="L26" i="101" s="1"/>
  <c r="N26" i="101" s="1"/>
  <c r="B26" i="101"/>
  <c r="T25" i="101"/>
  <c r="Z25" i="101" s="1"/>
  <c r="P25" i="101"/>
  <c r="X25" i="101" s="1"/>
  <c r="H25" i="101"/>
  <c r="D25" i="101"/>
  <c r="H23" i="101"/>
  <c r="Z21" i="101"/>
  <c r="X21" i="101"/>
  <c r="N21" i="101"/>
  <c r="L21" i="101"/>
  <c r="B21" i="101"/>
  <c r="Z20" i="101"/>
  <c r="X20" i="101"/>
  <c r="N20" i="101"/>
  <c r="L20" i="101"/>
  <c r="J20" i="101"/>
  <c r="B20" i="101"/>
  <c r="X19" i="101"/>
  <c r="Z19" i="101" s="1"/>
  <c r="N19" i="101"/>
  <c r="L19" i="101"/>
  <c r="J19" i="101"/>
  <c r="B19" i="101"/>
  <c r="X18" i="101"/>
  <c r="Z18" i="101" s="1"/>
  <c r="T18" i="101"/>
  <c r="P18" i="101"/>
  <c r="H18" i="101"/>
  <c r="D18" i="101"/>
  <c r="Z16" i="101"/>
  <c r="X16" i="101"/>
  <c r="P16" i="101"/>
  <c r="N16" i="101"/>
  <c r="L16" i="101"/>
  <c r="D16" i="101"/>
  <c r="B16" i="101"/>
  <c r="Z15" i="101"/>
  <c r="P15" i="101"/>
  <c r="X15" i="101" s="1"/>
  <c r="D15" i="101"/>
  <c r="L15" i="101" s="1"/>
  <c r="N15" i="101" s="1"/>
  <c r="B15" i="101"/>
  <c r="Z14" i="101"/>
  <c r="P14" i="101"/>
  <c r="X14" i="101" s="1"/>
  <c r="N14" i="101"/>
  <c r="D14" i="101"/>
  <c r="L14" i="101" s="1"/>
  <c r="B14" i="101"/>
  <c r="Z13" i="101"/>
  <c r="X13" i="101"/>
  <c r="P13" i="101"/>
  <c r="N13" i="101"/>
  <c r="L13" i="101"/>
  <c r="D13" i="101"/>
  <c r="B13" i="101"/>
  <c r="T12" i="101"/>
  <c r="H12" i="101"/>
  <c r="J62" i="101" s="1"/>
  <c r="D6" i="101"/>
  <c r="D4" i="101"/>
  <c r="V60" i="100"/>
  <c r="F60" i="100"/>
  <c r="R57" i="100"/>
  <c r="F57" i="100"/>
  <c r="Z55" i="100"/>
  <c r="X55" i="100"/>
  <c r="N55" i="100"/>
  <c r="L55" i="100"/>
  <c r="F55" i="100"/>
  <c r="R53" i="100"/>
  <c r="P51" i="100"/>
  <c r="X51" i="100" s="1"/>
  <c r="Z51" i="100" s="1"/>
  <c r="L51" i="100"/>
  <c r="N51" i="100" s="1"/>
  <c r="F51" i="100"/>
  <c r="D51" i="100"/>
  <c r="D50" i="100" s="1"/>
  <c r="B51" i="100"/>
  <c r="Z50" i="100"/>
  <c r="T50" i="100"/>
  <c r="R50" i="100"/>
  <c r="P50" i="100"/>
  <c r="X50" i="100" s="1"/>
  <c r="L50" i="100"/>
  <c r="H50" i="100"/>
  <c r="F50" i="100"/>
  <c r="Z48" i="100"/>
  <c r="X48" i="100"/>
  <c r="L48" i="100"/>
  <c r="N48" i="100" s="1"/>
  <c r="F48" i="100"/>
  <c r="B48" i="100"/>
  <c r="Z47" i="100"/>
  <c r="X47" i="100"/>
  <c r="T47" i="100"/>
  <c r="P47" i="100"/>
  <c r="L47" i="100"/>
  <c r="N47" i="100" s="1"/>
  <c r="J47" i="100"/>
  <c r="H47" i="100"/>
  <c r="F47" i="100"/>
  <c r="D47" i="100"/>
  <c r="B47" i="100"/>
  <c r="Z46" i="100"/>
  <c r="X46" i="100"/>
  <c r="V46" i="100"/>
  <c r="N46" i="100"/>
  <c r="L46" i="100"/>
  <c r="F46" i="100"/>
  <c r="B46" i="100"/>
  <c r="T45" i="100"/>
  <c r="Z45" i="100" s="1"/>
  <c r="P45" i="100"/>
  <c r="X45" i="100" s="1"/>
  <c r="H45" i="100"/>
  <c r="N45" i="100" s="1"/>
  <c r="F45" i="100"/>
  <c r="D45" i="100"/>
  <c r="B45" i="100"/>
  <c r="X44" i="100"/>
  <c r="Z44" i="100" s="1"/>
  <c r="V44" i="100"/>
  <c r="N44" i="100"/>
  <c r="L44" i="100"/>
  <c r="F44" i="100"/>
  <c r="B44" i="100"/>
  <c r="Z43" i="100"/>
  <c r="T43" i="100"/>
  <c r="R43" i="100"/>
  <c r="P43" i="100"/>
  <c r="X43" i="100" s="1"/>
  <c r="N43" i="100"/>
  <c r="L43" i="100"/>
  <c r="H43" i="100"/>
  <c r="F43" i="100"/>
  <c r="D43" i="100"/>
  <c r="B43" i="100"/>
  <c r="X42" i="100"/>
  <c r="Z42" i="100" s="1"/>
  <c r="V42" i="100"/>
  <c r="N42" i="100"/>
  <c r="L42" i="100"/>
  <c r="B42" i="100"/>
  <c r="V41" i="100"/>
  <c r="T41" i="100"/>
  <c r="P41" i="100"/>
  <c r="X41" i="100" s="1"/>
  <c r="Z41" i="100" s="1"/>
  <c r="N41" i="100"/>
  <c r="H41" i="100"/>
  <c r="L41" i="100" s="1"/>
  <c r="D41" i="100"/>
  <c r="B41" i="100"/>
  <c r="Z40" i="100"/>
  <c r="X40" i="100"/>
  <c r="N40" i="100"/>
  <c r="L40" i="100"/>
  <c r="B40" i="100"/>
  <c r="Z39" i="100"/>
  <c r="X39" i="100"/>
  <c r="V39" i="100"/>
  <c r="R39" i="100"/>
  <c r="N39" i="100"/>
  <c r="L39" i="100"/>
  <c r="F39" i="100"/>
  <c r="B39" i="100"/>
  <c r="Z38" i="100"/>
  <c r="X38" i="100"/>
  <c r="V38" i="100"/>
  <c r="N38" i="100"/>
  <c r="L38" i="100"/>
  <c r="F38" i="100"/>
  <c r="B38" i="100"/>
  <c r="Z37" i="100"/>
  <c r="X37" i="100"/>
  <c r="V37" i="100"/>
  <c r="R37" i="100"/>
  <c r="N37" i="100"/>
  <c r="L37" i="100"/>
  <c r="B37" i="100"/>
  <c r="Z36" i="100"/>
  <c r="X36" i="100"/>
  <c r="R36" i="100"/>
  <c r="N36" i="100"/>
  <c r="L36" i="100"/>
  <c r="B36" i="100"/>
  <c r="Z35" i="100"/>
  <c r="X35" i="100"/>
  <c r="N35" i="100"/>
  <c r="L35" i="100"/>
  <c r="F35" i="100"/>
  <c r="B35" i="100"/>
  <c r="Z34" i="100"/>
  <c r="X34" i="100"/>
  <c r="V34" i="100"/>
  <c r="N34" i="100"/>
  <c r="L34" i="100"/>
  <c r="F34" i="100"/>
  <c r="B34" i="100"/>
  <c r="Z33" i="100"/>
  <c r="X33" i="100"/>
  <c r="V33" i="100"/>
  <c r="R33" i="100"/>
  <c r="N33" i="100"/>
  <c r="L33" i="100"/>
  <c r="B33" i="100"/>
  <c r="Z32" i="100"/>
  <c r="X32" i="100"/>
  <c r="N32" i="100"/>
  <c r="L32" i="100"/>
  <c r="B32" i="100"/>
  <c r="Z31" i="100"/>
  <c r="X31" i="100"/>
  <c r="V31" i="100"/>
  <c r="N31" i="100"/>
  <c r="L31" i="100"/>
  <c r="J31" i="100"/>
  <c r="F31" i="100"/>
  <c r="B31" i="100"/>
  <c r="V30" i="100"/>
  <c r="T30" i="100"/>
  <c r="P30" i="100"/>
  <c r="X30" i="100" s="1"/>
  <c r="Z30" i="100" s="1"/>
  <c r="N30" i="100"/>
  <c r="L30" i="100"/>
  <c r="H30" i="100"/>
  <c r="F30" i="100"/>
  <c r="D30" i="100"/>
  <c r="B30" i="100"/>
  <c r="X29" i="100"/>
  <c r="Z29" i="100" s="1"/>
  <c r="L29" i="100"/>
  <c r="N29" i="100" s="1"/>
  <c r="B29" i="100"/>
  <c r="Z28" i="100"/>
  <c r="X28" i="100"/>
  <c r="V28" i="100"/>
  <c r="N28" i="100"/>
  <c r="L28" i="100"/>
  <c r="F28" i="100"/>
  <c r="B28" i="100"/>
  <c r="Z27" i="100"/>
  <c r="X27" i="100"/>
  <c r="V27" i="100"/>
  <c r="R27" i="100"/>
  <c r="L27" i="100"/>
  <c r="N27" i="100" s="1"/>
  <c r="F27" i="100"/>
  <c r="B27" i="100"/>
  <c r="Z26" i="100"/>
  <c r="X26" i="100"/>
  <c r="V26" i="100"/>
  <c r="R26" i="100"/>
  <c r="N26" i="100"/>
  <c r="L26" i="100"/>
  <c r="F26" i="100"/>
  <c r="B26" i="100"/>
  <c r="X25" i="100"/>
  <c r="Z25" i="100" s="1"/>
  <c r="N25" i="100"/>
  <c r="L25" i="100"/>
  <c r="B25" i="100"/>
  <c r="X24" i="100"/>
  <c r="Z24" i="100" s="1"/>
  <c r="N24" i="100"/>
  <c r="L24" i="100"/>
  <c r="F24" i="100"/>
  <c r="B24" i="100"/>
  <c r="Z23" i="100"/>
  <c r="X23" i="100"/>
  <c r="V23" i="100"/>
  <c r="N23" i="100"/>
  <c r="L23" i="100"/>
  <c r="F23" i="100"/>
  <c r="B23" i="100"/>
  <c r="X22" i="100"/>
  <c r="Z22" i="100" s="1"/>
  <c r="V22" i="100"/>
  <c r="R22" i="100"/>
  <c r="L22" i="100"/>
  <c r="N22" i="100" s="1"/>
  <c r="F22" i="100"/>
  <c r="B22" i="100"/>
  <c r="X21" i="100"/>
  <c r="Z21" i="100" s="1"/>
  <c r="N21" i="100"/>
  <c r="L21" i="100"/>
  <c r="J21" i="100"/>
  <c r="B21" i="100"/>
  <c r="X20" i="100"/>
  <c r="Z20" i="100" s="1"/>
  <c r="V20" i="100"/>
  <c r="T20" i="100"/>
  <c r="R20" i="100"/>
  <c r="P20" i="100"/>
  <c r="L20" i="100"/>
  <c r="H20" i="100"/>
  <c r="D20" i="100"/>
  <c r="B20" i="100"/>
  <c r="T19" i="100"/>
  <c r="P19" i="100"/>
  <c r="H19" i="100"/>
  <c r="F19" i="100"/>
  <c r="D19" i="100"/>
  <c r="L19" i="100" s="1"/>
  <c r="N19" i="100" s="1"/>
  <c r="F17" i="100"/>
  <c r="D17" i="100"/>
  <c r="Z15" i="100"/>
  <c r="X15" i="100"/>
  <c r="N15" i="100"/>
  <c r="L15" i="100"/>
  <c r="J15" i="100"/>
  <c r="F15" i="100"/>
  <c r="B15" i="100"/>
  <c r="X14" i="100"/>
  <c r="V14" i="100"/>
  <c r="T14" i="100"/>
  <c r="Z14" i="100" s="1"/>
  <c r="R14" i="100"/>
  <c r="P14" i="100"/>
  <c r="N14" i="100"/>
  <c r="H14" i="100"/>
  <c r="F14" i="100"/>
  <c r="D14" i="100"/>
  <c r="L14" i="100" s="1"/>
  <c r="X12" i="100"/>
  <c r="T12" i="100"/>
  <c r="V57" i="100" s="1"/>
  <c r="P12" i="100"/>
  <c r="N12" i="100"/>
  <c r="H12" i="100"/>
  <c r="J45" i="100" s="1"/>
  <c r="D12" i="100"/>
  <c r="F29" i="100" s="1"/>
  <c r="D6" i="100"/>
  <c r="D4" i="100"/>
  <c r="Z52" i="99"/>
  <c r="X52" i="99"/>
  <c r="N52" i="99"/>
  <c r="L52" i="99"/>
  <c r="T48" i="99"/>
  <c r="Z48" i="99" s="1"/>
  <c r="P48" i="99"/>
  <c r="L48" i="99"/>
  <c r="H48" i="99"/>
  <c r="N48" i="99" s="1"/>
  <c r="D48" i="99"/>
  <c r="Z46" i="99"/>
  <c r="X46" i="99"/>
  <c r="N46" i="99"/>
  <c r="L46" i="99"/>
  <c r="B46" i="99"/>
  <c r="Z45" i="99"/>
  <c r="X45" i="99"/>
  <c r="T45" i="99"/>
  <c r="P45" i="99"/>
  <c r="N45" i="99"/>
  <c r="H45" i="99"/>
  <c r="D45" i="99"/>
  <c r="L45" i="99" s="1"/>
  <c r="B45" i="99"/>
  <c r="Z44" i="99"/>
  <c r="X44" i="99"/>
  <c r="N44" i="99"/>
  <c r="L44" i="99"/>
  <c r="B44" i="99"/>
  <c r="Z43" i="99"/>
  <c r="X43" i="99"/>
  <c r="V43" i="99"/>
  <c r="N43" i="99"/>
  <c r="L43" i="99"/>
  <c r="B43" i="99"/>
  <c r="Z42" i="99"/>
  <c r="T42" i="99"/>
  <c r="P42" i="99"/>
  <c r="X42" i="99" s="1"/>
  <c r="N42" i="99"/>
  <c r="H42" i="99"/>
  <c r="D42" i="99"/>
  <c r="L42" i="99" s="1"/>
  <c r="B42" i="99"/>
  <c r="Z41" i="99"/>
  <c r="X41" i="99"/>
  <c r="N41" i="99"/>
  <c r="L41" i="99"/>
  <c r="B41" i="99"/>
  <c r="V40" i="99"/>
  <c r="T40" i="99"/>
  <c r="Z40" i="99" s="1"/>
  <c r="P40" i="99"/>
  <c r="X40" i="99" s="1"/>
  <c r="N40" i="99"/>
  <c r="L40" i="99"/>
  <c r="H40" i="99"/>
  <c r="D40" i="99"/>
  <c r="B40" i="99"/>
  <c r="Z39" i="99"/>
  <c r="X39" i="99"/>
  <c r="V39" i="99"/>
  <c r="N39" i="99"/>
  <c r="L39" i="99"/>
  <c r="B39" i="99"/>
  <c r="T38" i="99"/>
  <c r="Z38" i="99" s="1"/>
  <c r="P38" i="99"/>
  <c r="X38" i="99" s="1"/>
  <c r="H38" i="99"/>
  <c r="N38" i="99" s="1"/>
  <c r="D38" i="99"/>
  <c r="B38" i="99"/>
  <c r="Z37" i="99"/>
  <c r="X37" i="99"/>
  <c r="N37" i="99"/>
  <c r="L37" i="99"/>
  <c r="B37" i="99"/>
  <c r="Z36" i="99"/>
  <c r="V36" i="99"/>
  <c r="T36" i="99"/>
  <c r="P36" i="99"/>
  <c r="X36" i="99" s="1"/>
  <c r="L36" i="99"/>
  <c r="H36" i="99"/>
  <c r="N36" i="99" s="1"/>
  <c r="D36" i="99"/>
  <c r="B36" i="99"/>
  <c r="Z35" i="99"/>
  <c r="X35" i="99"/>
  <c r="N35" i="99"/>
  <c r="L35" i="99"/>
  <c r="B35" i="99"/>
  <c r="Z34" i="99"/>
  <c r="X34" i="99"/>
  <c r="N34" i="99"/>
  <c r="L34" i="99"/>
  <c r="B34" i="99"/>
  <c r="Z33" i="99"/>
  <c r="X33" i="99"/>
  <c r="V33" i="99"/>
  <c r="N33" i="99"/>
  <c r="L33" i="99"/>
  <c r="B33" i="99"/>
  <c r="Z32" i="99"/>
  <c r="X32" i="99"/>
  <c r="V32" i="99"/>
  <c r="N32" i="99"/>
  <c r="L32" i="99"/>
  <c r="B32" i="99"/>
  <c r="Z31" i="99"/>
  <c r="X31" i="99"/>
  <c r="T31" i="99"/>
  <c r="P31" i="99"/>
  <c r="H31" i="99"/>
  <c r="N31" i="99" s="1"/>
  <c r="D31" i="99"/>
  <c r="B31" i="99"/>
  <c r="Z30" i="99"/>
  <c r="X30" i="99"/>
  <c r="N30" i="99"/>
  <c r="L30" i="99"/>
  <c r="B30" i="99"/>
  <c r="Z29" i="99"/>
  <c r="X29" i="99"/>
  <c r="N29" i="99"/>
  <c r="L29" i="99"/>
  <c r="B29" i="99"/>
  <c r="Z28" i="99"/>
  <c r="X28" i="99"/>
  <c r="N28" i="99"/>
  <c r="L28" i="99"/>
  <c r="B28" i="99"/>
  <c r="Z27" i="99"/>
  <c r="X27" i="99"/>
  <c r="N27" i="99"/>
  <c r="L27" i="99"/>
  <c r="B27" i="99"/>
  <c r="Z26" i="99"/>
  <c r="X26" i="99"/>
  <c r="N26" i="99"/>
  <c r="L26" i="99"/>
  <c r="B26" i="99"/>
  <c r="Z25" i="99"/>
  <c r="X25" i="99"/>
  <c r="N25" i="99"/>
  <c r="L25" i="99"/>
  <c r="B25" i="99"/>
  <c r="Z24" i="99"/>
  <c r="X24" i="99"/>
  <c r="N24" i="99"/>
  <c r="L24" i="99"/>
  <c r="B24" i="99"/>
  <c r="Z23" i="99"/>
  <c r="X23" i="99"/>
  <c r="N23" i="99"/>
  <c r="L23" i="99"/>
  <c r="B23" i="99"/>
  <c r="Z22" i="99"/>
  <c r="X22" i="99"/>
  <c r="T22" i="99"/>
  <c r="P22" i="99"/>
  <c r="N22" i="99"/>
  <c r="H22" i="99"/>
  <c r="D22" i="99"/>
  <c r="L22" i="99" s="1"/>
  <c r="B22" i="99"/>
  <c r="T21" i="99"/>
  <c r="Z21" i="99" s="1"/>
  <c r="P21" i="99"/>
  <c r="X21" i="99" s="1"/>
  <c r="H21" i="99"/>
  <c r="N21" i="99" s="1"/>
  <c r="D21" i="99"/>
  <c r="L21" i="99" s="1"/>
  <c r="Z17" i="99"/>
  <c r="X17" i="99"/>
  <c r="N17" i="99"/>
  <c r="L17" i="99"/>
  <c r="B17" i="99"/>
  <c r="Z16" i="99"/>
  <c r="V16" i="99"/>
  <c r="T16" i="99"/>
  <c r="X16" i="99" s="1"/>
  <c r="P16" i="99"/>
  <c r="N16" i="99"/>
  <c r="H16" i="99"/>
  <c r="D16" i="99"/>
  <c r="L16" i="99" s="1"/>
  <c r="Z14" i="99"/>
  <c r="P14" i="99"/>
  <c r="X14" i="99" s="1"/>
  <c r="N14" i="99"/>
  <c r="L14" i="99"/>
  <c r="D14" i="99"/>
  <c r="B14" i="99"/>
  <c r="Z13" i="99"/>
  <c r="X13" i="99"/>
  <c r="P13" i="99"/>
  <c r="N13" i="99"/>
  <c r="D13" i="99"/>
  <c r="L13" i="99" s="1"/>
  <c r="B13" i="99"/>
  <c r="Z12" i="99"/>
  <c r="T12" i="99"/>
  <c r="V37" i="99" s="1"/>
  <c r="H12" i="99"/>
  <c r="D6" i="99"/>
  <c r="D4" i="99"/>
  <c r="Z98" i="98"/>
  <c r="X98" i="98"/>
  <c r="N98" i="98"/>
  <c r="L98" i="98"/>
  <c r="T94" i="98"/>
  <c r="Z94" i="98" s="1"/>
  <c r="P94" i="98"/>
  <c r="X94" i="98" s="1"/>
  <c r="N94" i="98"/>
  <c r="L94" i="98"/>
  <c r="H94" i="98"/>
  <c r="D94" i="98"/>
  <c r="Z92" i="98"/>
  <c r="X92" i="98"/>
  <c r="N92" i="98"/>
  <c r="L92" i="98"/>
  <c r="B92" i="98"/>
  <c r="T91" i="98"/>
  <c r="P91" i="98"/>
  <c r="N91" i="98"/>
  <c r="L91" i="98"/>
  <c r="H91" i="98"/>
  <c r="D91" i="98"/>
  <c r="B91" i="98"/>
  <c r="Z90" i="98"/>
  <c r="X90" i="98"/>
  <c r="N90" i="98"/>
  <c r="L90" i="98"/>
  <c r="B90" i="98"/>
  <c r="T89" i="98"/>
  <c r="P89" i="98"/>
  <c r="X89" i="98" s="1"/>
  <c r="Z89" i="98" s="1"/>
  <c r="H89" i="98"/>
  <c r="N89" i="98" s="1"/>
  <c r="D89" i="98"/>
  <c r="B89" i="98"/>
  <c r="Z88" i="98"/>
  <c r="X88" i="98"/>
  <c r="N88" i="98"/>
  <c r="L88" i="98"/>
  <c r="B88" i="98"/>
  <c r="X87" i="98"/>
  <c r="V87" i="98"/>
  <c r="T87" i="98"/>
  <c r="P87" i="98"/>
  <c r="H87" i="98"/>
  <c r="D87" i="98"/>
  <c r="L87" i="98" s="1"/>
  <c r="B87" i="98"/>
  <c r="X86" i="98"/>
  <c r="Z86" i="98" s="1"/>
  <c r="N86" i="98"/>
  <c r="L86" i="98"/>
  <c r="J86" i="98"/>
  <c r="B86" i="98"/>
  <c r="Z85" i="98"/>
  <c r="X85" i="98"/>
  <c r="N85" i="98"/>
  <c r="L85" i="98"/>
  <c r="B85" i="98"/>
  <c r="Z84" i="98"/>
  <c r="X84" i="98"/>
  <c r="N84" i="98"/>
  <c r="L84" i="98"/>
  <c r="B84" i="98"/>
  <c r="X83" i="98"/>
  <c r="Z83" i="98" s="1"/>
  <c r="L83" i="98"/>
  <c r="N83" i="98" s="1"/>
  <c r="B83" i="98"/>
  <c r="Z82" i="98"/>
  <c r="X82" i="98"/>
  <c r="N82" i="98"/>
  <c r="L82" i="98"/>
  <c r="J82" i="98"/>
  <c r="B82" i="98"/>
  <c r="Z81" i="98"/>
  <c r="X81" i="98"/>
  <c r="N81" i="98"/>
  <c r="L81" i="98"/>
  <c r="B81" i="98"/>
  <c r="Z80" i="98"/>
  <c r="X80" i="98"/>
  <c r="N80" i="98"/>
  <c r="L80" i="98"/>
  <c r="B80" i="98"/>
  <c r="T79" i="98"/>
  <c r="P79" i="98"/>
  <c r="H79" i="98"/>
  <c r="D79" i="98"/>
  <c r="B79" i="98"/>
  <c r="Z78" i="98"/>
  <c r="X78" i="98"/>
  <c r="L78" i="98"/>
  <c r="N78" i="98" s="1"/>
  <c r="B78" i="98"/>
  <c r="Z77" i="98"/>
  <c r="X77" i="98"/>
  <c r="N77" i="98"/>
  <c r="L77" i="98"/>
  <c r="B77" i="98"/>
  <c r="V76" i="98"/>
  <c r="T76" i="98"/>
  <c r="X76" i="98" s="1"/>
  <c r="P76" i="98"/>
  <c r="H76" i="98"/>
  <c r="D76" i="98"/>
  <c r="L76" i="98" s="1"/>
  <c r="N76" i="98" s="1"/>
  <c r="B76" i="98"/>
  <c r="X75" i="98"/>
  <c r="Z75" i="98" s="1"/>
  <c r="L75" i="98"/>
  <c r="N75" i="98" s="1"/>
  <c r="B75" i="98"/>
  <c r="X74" i="98"/>
  <c r="Z74" i="98" s="1"/>
  <c r="N74" i="98"/>
  <c r="L74" i="98"/>
  <c r="B74" i="98"/>
  <c r="X73" i="98"/>
  <c r="Z73" i="98" s="1"/>
  <c r="L73" i="98"/>
  <c r="N73" i="98" s="1"/>
  <c r="B73" i="98"/>
  <c r="T72" i="98"/>
  <c r="X72" i="98" s="1"/>
  <c r="Z72" i="98" s="1"/>
  <c r="P72" i="98"/>
  <c r="L72" i="98"/>
  <c r="N72" i="98" s="1"/>
  <c r="H72" i="98"/>
  <c r="D72" i="98"/>
  <c r="B72" i="98"/>
  <c r="X71" i="98"/>
  <c r="Z71" i="98" s="1"/>
  <c r="L71" i="98"/>
  <c r="N71" i="98" s="1"/>
  <c r="B71" i="98"/>
  <c r="Z70" i="98"/>
  <c r="X70" i="98"/>
  <c r="N70" i="98"/>
  <c r="L70" i="98"/>
  <c r="J70" i="98"/>
  <c r="B70" i="98"/>
  <c r="Z69" i="98"/>
  <c r="X69" i="98"/>
  <c r="N69" i="98"/>
  <c r="L69" i="98"/>
  <c r="B69" i="98"/>
  <c r="T68" i="98"/>
  <c r="P68" i="98"/>
  <c r="N68" i="98"/>
  <c r="L68" i="98"/>
  <c r="J68" i="98"/>
  <c r="H68" i="98"/>
  <c r="D68" i="98"/>
  <c r="B68" i="98"/>
  <c r="Z67" i="98"/>
  <c r="X67" i="98"/>
  <c r="N67" i="98"/>
  <c r="L67" i="98"/>
  <c r="J67" i="98"/>
  <c r="B67" i="98"/>
  <c r="Z66" i="98"/>
  <c r="X66" i="98"/>
  <c r="L66" i="98"/>
  <c r="N66" i="98" s="1"/>
  <c r="B66" i="98"/>
  <c r="T65" i="98"/>
  <c r="P65" i="98"/>
  <c r="X65" i="98" s="1"/>
  <c r="Z65" i="98" s="1"/>
  <c r="H65" i="98"/>
  <c r="D65" i="98"/>
  <c r="B65" i="98"/>
  <c r="Z64" i="98"/>
  <c r="X64" i="98"/>
  <c r="N64" i="98"/>
  <c r="L64" i="98"/>
  <c r="B64" i="98"/>
  <c r="X63" i="98"/>
  <c r="V63" i="98"/>
  <c r="T63" i="98"/>
  <c r="P63" i="98"/>
  <c r="H63" i="98"/>
  <c r="D63" i="98"/>
  <c r="L63" i="98" s="1"/>
  <c r="B63" i="98"/>
  <c r="X62" i="98"/>
  <c r="Z62" i="98" s="1"/>
  <c r="N62" i="98"/>
  <c r="L62" i="98"/>
  <c r="B62" i="98"/>
  <c r="X61" i="98"/>
  <c r="Z61" i="98" s="1"/>
  <c r="T61" i="98"/>
  <c r="P61" i="98"/>
  <c r="H61" i="98"/>
  <c r="D61" i="98"/>
  <c r="B61" i="98"/>
  <c r="Z60" i="98"/>
  <c r="X60" i="98"/>
  <c r="N60" i="98"/>
  <c r="L60" i="98"/>
  <c r="B60" i="98"/>
  <c r="T59" i="98"/>
  <c r="Z59" i="98" s="1"/>
  <c r="P59" i="98"/>
  <c r="N59" i="98"/>
  <c r="H59" i="98"/>
  <c r="D59" i="98"/>
  <c r="L59" i="98" s="1"/>
  <c r="B59" i="98"/>
  <c r="Z58" i="98"/>
  <c r="X58" i="98"/>
  <c r="N58" i="98"/>
  <c r="L58" i="98"/>
  <c r="B58" i="98"/>
  <c r="T57" i="98"/>
  <c r="Z57" i="98" s="1"/>
  <c r="P57" i="98"/>
  <c r="X57" i="98" s="1"/>
  <c r="J57" i="98"/>
  <c r="H57" i="98"/>
  <c r="N57" i="98" s="1"/>
  <c r="D57" i="98"/>
  <c r="B57" i="98"/>
  <c r="Z56" i="98"/>
  <c r="X56" i="98"/>
  <c r="N56" i="98"/>
  <c r="L56" i="98"/>
  <c r="B56" i="98"/>
  <c r="X55" i="98"/>
  <c r="Z55" i="98" s="1"/>
  <c r="L55" i="98"/>
  <c r="N55" i="98" s="1"/>
  <c r="B55" i="98"/>
  <c r="X54" i="98"/>
  <c r="Z54" i="98" s="1"/>
  <c r="N54" i="98"/>
  <c r="L54" i="98"/>
  <c r="B54" i="98"/>
  <c r="X53" i="98"/>
  <c r="Z53" i="98" s="1"/>
  <c r="T53" i="98"/>
  <c r="P53" i="98"/>
  <c r="H53" i="98"/>
  <c r="D53" i="98"/>
  <c r="B53" i="98"/>
  <c r="Z52" i="98"/>
  <c r="X52" i="98"/>
  <c r="N52" i="98"/>
  <c r="L52" i="98"/>
  <c r="B52" i="98"/>
  <c r="T51" i="98"/>
  <c r="P51" i="98"/>
  <c r="H51" i="98"/>
  <c r="D51" i="98"/>
  <c r="L51" i="98" s="1"/>
  <c r="N51" i="98" s="1"/>
  <c r="B51" i="98"/>
  <c r="X50" i="98"/>
  <c r="Z50" i="98" s="1"/>
  <c r="N50" i="98"/>
  <c r="L50" i="98"/>
  <c r="J50" i="98"/>
  <c r="B50" i="98"/>
  <c r="X49" i="98"/>
  <c r="T49" i="98"/>
  <c r="Z49" i="98" s="1"/>
  <c r="P49" i="98"/>
  <c r="H49" i="98"/>
  <c r="D49" i="98"/>
  <c r="B49" i="98"/>
  <c r="Z48" i="98"/>
  <c r="X48" i="98"/>
  <c r="N48" i="98"/>
  <c r="L48" i="98"/>
  <c r="B48" i="98"/>
  <c r="T47" i="98"/>
  <c r="P47" i="98"/>
  <c r="L47" i="98"/>
  <c r="N47" i="98" s="1"/>
  <c r="H47" i="98"/>
  <c r="D47" i="98"/>
  <c r="B47" i="98"/>
  <c r="Z46" i="98"/>
  <c r="X46" i="98"/>
  <c r="N46" i="98"/>
  <c r="L46" i="98"/>
  <c r="J46" i="98"/>
  <c r="B46" i="98"/>
  <c r="Z45" i="98"/>
  <c r="X45" i="98"/>
  <c r="N45" i="98"/>
  <c r="L45" i="98"/>
  <c r="B45" i="98"/>
  <c r="Z44" i="98"/>
  <c r="X44" i="98"/>
  <c r="N44" i="98"/>
  <c r="L44" i="98"/>
  <c r="B44" i="98"/>
  <c r="X43" i="98"/>
  <c r="Z43" i="98" s="1"/>
  <c r="N43" i="98"/>
  <c r="L43" i="98"/>
  <c r="B43" i="98"/>
  <c r="Z42" i="98"/>
  <c r="X42" i="98"/>
  <c r="V42" i="98"/>
  <c r="N42" i="98"/>
  <c r="L42" i="98"/>
  <c r="B42" i="98"/>
  <c r="Z41" i="98"/>
  <c r="X41" i="98"/>
  <c r="L41" i="98"/>
  <c r="N41" i="98" s="1"/>
  <c r="B41" i="98"/>
  <c r="Z40" i="98"/>
  <c r="X40" i="98"/>
  <c r="N40" i="98"/>
  <c r="L40" i="98"/>
  <c r="B40" i="98"/>
  <c r="Z39" i="98"/>
  <c r="X39" i="98"/>
  <c r="N39" i="98"/>
  <c r="L39" i="98"/>
  <c r="J39" i="98"/>
  <c r="B39" i="98"/>
  <c r="Z38" i="98"/>
  <c r="X38" i="98"/>
  <c r="L38" i="98"/>
  <c r="N38" i="98" s="1"/>
  <c r="B38" i="98"/>
  <c r="Z37" i="98"/>
  <c r="X37" i="98"/>
  <c r="N37" i="98"/>
  <c r="L37" i="98"/>
  <c r="B37" i="98"/>
  <c r="Z36" i="98"/>
  <c r="T36" i="98"/>
  <c r="X36" i="98" s="1"/>
  <c r="P36" i="98"/>
  <c r="H36" i="98"/>
  <c r="D36" i="98"/>
  <c r="L36" i="98" s="1"/>
  <c r="N36" i="98" s="1"/>
  <c r="B36" i="98"/>
  <c r="X35" i="98"/>
  <c r="Z35" i="98" s="1"/>
  <c r="V35" i="98"/>
  <c r="L35" i="98"/>
  <c r="N35" i="98" s="1"/>
  <c r="B35" i="98"/>
  <c r="X34" i="98"/>
  <c r="Z34" i="98" s="1"/>
  <c r="N34" i="98"/>
  <c r="L34" i="98"/>
  <c r="B34" i="98"/>
  <c r="X33" i="98"/>
  <c r="Z33" i="98" s="1"/>
  <c r="N33" i="98"/>
  <c r="L33" i="98"/>
  <c r="B33" i="98"/>
  <c r="Z32" i="98"/>
  <c r="X32" i="98"/>
  <c r="N32" i="98"/>
  <c r="L32" i="98"/>
  <c r="B32" i="98"/>
  <c r="X31" i="98"/>
  <c r="Z31" i="98" s="1"/>
  <c r="L31" i="98"/>
  <c r="N31" i="98" s="1"/>
  <c r="B31" i="98"/>
  <c r="X30" i="98"/>
  <c r="Z30" i="98" s="1"/>
  <c r="N30" i="98"/>
  <c r="L30" i="98"/>
  <c r="B30" i="98"/>
  <c r="X29" i="98"/>
  <c r="Z29" i="98" s="1"/>
  <c r="L29" i="98"/>
  <c r="N29" i="98" s="1"/>
  <c r="B29" i="98"/>
  <c r="Z28" i="98"/>
  <c r="X28" i="98"/>
  <c r="N28" i="98"/>
  <c r="L28" i="98"/>
  <c r="B28" i="98"/>
  <c r="X27" i="98"/>
  <c r="Z27" i="98" s="1"/>
  <c r="L27" i="98"/>
  <c r="N27" i="98" s="1"/>
  <c r="B27" i="98"/>
  <c r="X26" i="98"/>
  <c r="Z26" i="98" s="1"/>
  <c r="T26" i="98"/>
  <c r="P26" i="98"/>
  <c r="N26" i="98"/>
  <c r="J26" i="98"/>
  <c r="H26" i="98"/>
  <c r="L26" i="98" s="1"/>
  <c r="D26" i="98"/>
  <c r="B26" i="98"/>
  <c r="T25" i="98"/>
  <c r="P25" i="98"/>
  <c r="X25" i="98" s="1"/>
  <c r="Z25" i="98" s="1"/>
  <c r="H25" i="98"/>
  <c r="D25" i="98"/>
  <c r="Z21" i="98"/>
  <c r="X21" i="98"/>
  <c r="N21" i="98"/>
  <c r="L21" i="98"/>
  <c r="B21" i="98"/>
  <c r="Z20" i="98"/>
  <c r="X20" i="98"/>
  <c r="N20" i="98"/>
  <c r="L20" i="98"/>
  <c r="B20" i="98"/>
  <c r="X19" i="98"/>
  <c r="Z19" i="98" s="1"/>
  <c r="L19" i="98"/>
  <c r="N19" i="98" s="1"/>
  <c r="J19" i="98"/>
  <c r="B19" i="98"/>
  <c r="X18" i="98"/>
  <c r="Z18" i="98" s="1"/>
  <c r="T18" i="98"/>
  <c r="P18" i="98"/>
  <c r="J18" i="98"/>
  <c r="H18" i="98"/>
  <c r="D18" i="98"/>
  <c r="L18" i="98" s="1"/>
  <c r="N18" i="98" s="1"/>
  <c r="Z16" i="98"/>
  <c r="P16" i="98"/>
  <c r="X16" i="98" s="1"/>
  <c r="N16" i="98"/>
  <c r="L16" i="98"/>
  <c r="D16" i="98"/>
  <c r="B16" i="98"/>
  <c r="P15" i="98"/>
  <c r="X15" i="98" s="1"/>
  <c r="Z15" i="98" s="1"/>
  <c r="D15" i="98"/>
  <c r="L15" i="98" s="1"/>
  <c r="N15" i="98" s="1"/>
  <c r="B15" i="98"/>
  <c r="Z14" i="98"/>
  <c r="P14" i="98"/>
  <c r="X14" i="98" s="1"/>
  <c r="N14" i="98"/>
  <c r="L14" i="98"/>
  <c r="D14" i="98"/>
  <c r="B14" i="98"/>
  <c r="Z13" i="98"/>
  <c r="X13" i="98"/>
  <c r="P13" i="98"/>
  <c r="P12" i="98" s="1"/>
  <c r="R60" i="98" s="1"/>
  <c r="L13" i="98"/>
  <c r="N13" i="98" s="1"/>
  <c r="D13" i="98"/>
  <c r="B13" i="98"/>
  <c r="T12" i="98"/>
  <c r="V18" i="98" s="1"/>
  <c r="H12" i="98"/>
  <c r="J48" i="98" s="1"/>
  <c r="D6" i="98"/>
  <c r="D4" i="98"/>
  <c r="Z105" i="96"/>
  <c r="X105" i="96"/>
  <c r="N105" i="96"/>
  <c r="L105" i="96"/>
  <c r="Z101" i="96"/>
  <c r="P101" i="96"/>
  <c r="X101" i="96" s="1"/>
  <c r="N101" i="96"/>
  <c r="J101" i="96"/>
  <c r="D101" i="96"/>
  <c r="L101" i="96" s="1"/>
  <c r="B101" i="96"/>
  <c r="T100" i="96"/>
  <c r="Z100" i="96" s="1"/>
  <c r="H100" i="96"/>
  <c r="N100" i="96" s="1"/>
  <c r="X98" i="96"/>
  <c r="Z98" i="96" s="1"/>
  <c r="N98" i="96"/>
  <c r="L98" i="96"/>
  <c r="B98" i="96"/>
  <c r="Z97" i="96"/>
  <c r="T97" i="96"/>
  <c r="P97" i="96"/>
  <c r="X97" i="96" s="1"/>
  <c r="N97" i="96"/>
  <c r="L97" i="96"/>
  <c r="H97" i="96"/>
  <c r="D97" i="96"/>
  <c r="B97" i="96"/>
  <c r="Z96" i="96"/>
  <c r="X96" i="96"/>
  <c r="N96" i="96"/>
  <c r="L96" i="96"/>
  <c r="B96" i="96"/>
  <c r="Z95" i="96"/>
  <c r="X95" i="96"/>
  <c r="N95" i="96"/>
  <c r="L95" i="96"/>
  <c r="B95" i="96"/>
  <c r="T94" i="96"/>
  <c r="P94" i="96"/>
  <c r="X94" i="96" s="1"/>
  <c r="H94" i="96"/>
  <c r="D94" i="96"/>
  <c r="L94" i="96" s="1"/>
  <c r="B94" i="96"/>
  <c r="Z93" i="96"/>
  <c r="X93" i="96"/>
  <c r="N93" i="96"/>
  <c r="L93" i="96"/>
  <c r="J93" i="96"/>
  <c r="B93" i="96"/>
  <c r="Z92" i="96"/>
  <c r="X92" i="96"/>
  <c r="T92" i="96"/>
  <c r="P92" i="96"/>
  <c r="L92" i="96"/>
  <c r="H92" i="96"/>
  <c r="N92" i="96" s="1"/>
  <c r="D92" i="96"/>
  <c r="B92" i="96"/>
  <c r="Z91" i="96"/>
  <c r="X91" i="96"/>
  <c r="N91" i="96"/>
  <c r="L91" i="96"/>
  <c r="B91" i="96"/>
  <c r="X90" i="96"/>
  <c r="T90" i="96"/>
  <c r="P90" i="96"/>
  <c r="H90" i="96"/>
  <c r="D90" i="96"/>
  <c r="B90" i="96"/>
  <c r="Z89" i="96"/>
  <c r="X89" i="96"/>
  <c r="N89" i="96"/>
  <c r="L89" i="96"/>
  <c r="B89" i="96"/>
  <c r="X88" i="96"/>
  <c r="Z88" i="96" s="1"/>
  <c r="N88" i="96"/>
  <c r="L88" i="96"/>
  <c r="B88" i="96"/>
  <c r="Z87" i="96"/>
  <c r="X87" i="96"/>
  <c r="N87" i="96"/>
  <c r="L87" i="96"/>
  <c r="B87" i="96"/>
  <c r="Z86" i="96"/>
  <c r="X86" i="96"/>
  <c r="R86" i="96"/>
  <c r="L86" i="96"/>
  <c r="N86" i="96" s="1"/>
  <c r="B86" i="96"/>
  <c r="Z85" i="96"/>
  <c r="X85" i="96"/>
  <c r="L85" i="96"/>
  <c r="N85" i="96" s="1"/>
  <c r="B85" i="96"/>
  <c r="X84" i="96"/>
  <c r="Z84" i="96" s="1"/>
  <c r="L84" i="96"/>
  <c r="N84" i="96" s="1"/>
  <c r="B84" i="96"/>
  <c r="Z83" i="96"/>
  <c r="X83" i="96"/>
  <c r="N83" i="96"/>
  <c r="L83" i="96"/>
  <c r="B83" i="96"/>
  <c r="Z82" i="96"/>
  <c r="X82" i="96"/>
  <c r="R82" i="96"/>
  <c r="L82" i="96"/>
  <c r="N82" i="96" s="1"/>
  <c r="B82" i="96"/>
  <c r="Z81" i="96"/>
  <c r="X81" i="96"/>
  <c r="N81" i="96"/>
  <c r="L81" i="96"/>
  <c r="J81" i="96"/>
  <c r="B81" i="96"/>
  <c r="X80" i="96"/>
  <c r="T80" i="96"/>
  <c r="P80" i="96"/>
  <c r="H80" i="96"/>
  <c r="D80" i="96"/>
  <c r="B80" i="96"/>
  <c r="Z79" i="96"/>
  <c r="X79" i="96"/>
  <c r="N79" i="96"/>
  <c r="L79" i="96"/>
  <c r="B79" i="96"/>
  <c r="Z78" i="96"/>
  <c r="X78" i="96"/>
  <c r="N78" i="96"/>
  <c r="L78" i="96"/>
  <c r="B78" i="96"/>
  <c r="X77" i="96"/>
  <c r="T77" i="96"/>
  <c r="Z77" i="96" s="1"/>
  <c r="P77" i="96"/>
  <c r="N77" i="96"/>
  <c r="J77" i="96"/>
  <c r="H77" i="96"/>
  <c r="D77" i="96"/>
  <c r="L77" i="96" s="1"/>
  <c r="B77" i="96"/>
  <c r="X76" i="96"/>
  <c r="Z76" i="96" s="1"/>
  <c r="L76" i="96"/>
  <c r="N76" i="96" s="1"/>
  <c r="B76" i="96"/>
  <c r="Z75" i="96"/>
  <c r="X75" i="96"/>
  <c r="N75" i="96"/>
  <c r="L75" i="96"/>
  <c r="J75" i="96"/>
  <c r="B75" i="96"/>
  <c r="X74" i="96"/>
  <c r="Z74" i="96" s="1"/>
  <c r="N74" i="96"/>
  <c r="L74" i="96"/>
  <c r="B74" i="96"/>
  <c r="Z73" i="96"/>
  <c r="X73" i="96"/>
  <c r="N73" i="96"/>
  <c r="L73" i="96"/>
  <c r="B73" i="96"/>
  <c r="X72" i="96"/>
  <c r="Z72" i="96" s="1"/>
  <c r="L72" i="96"/>
  <c r="N72" i="96" s="1"/>
  <c r="B72" i="96"/>
  <c r="X71" i="96"/>
  <c r="Z71" i="96" s="1"/>
  <c r="T71" i="96"/>
  <c r="P71" i="96"/>
  <c r="H71" i="96"/>
  <c r="D71" i="96"/>
  <c r="L71" i="96" s="1"/>
  <c r="N71" i="96" s="1"/>
  <c r="B71" i="96"/>
  <c r="Z70" i="96"/>
  <c r="X70" i="96"/>
  <c r="L70" i="96"/>
  <c r="N70" i="96" s="1"/>
  <c r="B70" i="96"/>
  <c r="Z69" i="96"/>
  <c r="X69" i="96"/>
  <c r="N69" i="96"/>
  <c r="L69" i="96"/>
  <c r="J69" i="96"/>
  <c r="B69" i="96"/>
  <c r="Z68" i="96"/>
  <c r="X68" i="96"/>
  <c r="N68" i="96"/>
  <c r="L68" i="96"/>
  <c r="B68" i="96"/>
  <c r="Z67" i="96"/>
  <c r="X67" i="96"/>
  <c r="N67" i="96"/>
  <c r="L67" i="96"/>
  <c r="J67" i="96"/>
  <c r="B67" i="96"/>
  <c r="T66" i="96"/>
  <c r="P66" i="96"/>
  <c r="L66" i="96"/>
  <c r="H66" i="96"/>
  <c r="D66" i="96"/>
  <c r="B66" i="96"/>
  <c r="X65" i="96"/>
  <c r="Z65" i="96" s="1"/>
  <c r="V65" i="96"/>
  <c r="N65" i="96"/>
  <c r="L65" i="96"/>
  <c r="B65" i="96"/>
  <c r="T64" i="96"/>
  <c r="P64" i="96"/>
  <c r="X64" i="96" s="1"/>
  <c r="Z64" i="96" s="1"/>
  <c r="H64" i="96"/>
  <c r="D64" i="96"/>
  <c r="B64" i="96"/>
  <c r="X63" i="96"/>
  <c r="Z63" i="96" s="1"/>
  <c r="N63" i="96"/>
  <c r="L63" i="96"/>
  <c r="B63" i="96"/>
  <c r="X62" i="96"/>
  <c r="T62" i="96"/>
  <c r="P62" i="96"/>
  <c r="H62" i="96"/>
  <c r="D62" i="96"/>
  <c r="B62" i="96"/>
  <c r="Z61" i="96"/>
  <c r="X61" i="96"/>
  <c r="N61" i="96"/>
  <c r="L61" i="96"/>
  <c r="B61" i="96"/>
  <c r="T60" i="96"/>
  <c r="P60" i="96"/>
  <c r="N60" i="96"/>
  <c r="H60" i="96"/>
  <c r="D60" i="96"/>
  <c r="L60" i="96" s="1"/>
  <c r="B60" i="96"/>
  <c r="Z59" i="96"/>
  <c r="X59" i="96"/>
  <c r="L59" i="96"/>
  <c r="N59" i="96" s="1"/>
  <c r="B59" i="96"/>
  <c r="X58" i="96"/>
  <c r="T58" i="96"/>
  <c r="P58" i="96"/>
  <c r="J58" i="96"/>
  <c r="H58" i="96"/>
  <c r="D58" i="96"/>
  <c r="L58" i="96" s="1"/>
  <c r="N58" i="96" s="1"/>
  <c r="B58" i="96"/>
  <c r="Z57" i="96"/>
  <c r="X57" i="96"/>
  <c r="V57" i="96"/>
  <c r="N57" i="96"/>
  <c r="L57" i="96"/>
  <c r="J57" i="96"/>
  <c r="B57" i="96"/>
  <c r="X56" i="96"/>
  <c r="T56" i="96"/>
  <c r="P56" i="96"/>
  <c r="L56" i="96"/>
  <c r="H56" i="96"/>
  <c r="D56" i="96"/>
  <c r="B56" i="96"/>
  <c r="Z55" i="96"/>
  <c r="X55" i="96"/>
  <c r="N55" i="96"/>
  <c r="L55" i="96"/>
  <c r="B55" i="96"/>
  <c r="Z54" i="96"/>
  <c r="X54" i="96"/>
  <c r="L54" i="96"/>
  <c r="N54" i="96" s="1"/>
  <c r="B54" i="96"/>
  <c r="Z53" i="96"/>
  <c r="X53" i="96"/>
  <c r="L53" i="96"/>
  <c r="N53" i="96" s="1"/>
  <c r="B53" i="96"/>
  <c r="T52" i="96"/>
  <c r="P52" i="96"/>
  <c r="N52" i="96"/>
  <c r="H52" i="96"/>
  <c r="D52" i="96"/>
  <c r="L52" i="96" s="1"/>
  <c r="B52" i="96"/>
  <c r="Z51" i="96"/>
  <c r="X51" i="96"/>
  <c r="N51" i="96"/>
  <c r="L51" i="96"/>
  <c r="B51" i="96"/>
  <c r="T50" i="96"/>
  <c r="P50" i="96"/>
  <c r="X50" i="96" s="1"/>
  <c r="N50" i="96"/>
  <c r="L50" i="96"/>
  <c r="H50" i="96"/>
  <c r="D50" i="96"/>
  <c r="B50" i="96"/>
  <c r="Z49" i="96"/>
  <c r="X49" i="96"/>
  <c r="V49" i="96"/>
  <c r="N49" i="96"/>
  <c r="L49" i="96"/>
  <c r="J49" i="96"/>
  <c r="B49" i="96"/>
  <c r="T48" i="96"/>
  <c r="P48" i="96"/>
  <c r="X48" i="96" s="1"/>
  <c r="Z48" i="96" s="1"/>
  <c r="L48" i="96"/>
  <c r="H48" i="96"/>
  <c r="N48" i="96" s="1"/>
  <c r="D48" i="96"/>
  <c r="B48" i="96"/>
  <c r="Z47" i="96"/>
  <c r="X47" i="96"/>
  <c r="N47" i="96"/>
  <c r="L47" i="96"/>
  <c r="J47" i="96"/>
  <c r="B47" i="96"/>
  <c r="T46" i="96"/>
  <c r="P46" i="96"/>
  <c r="L46" i="96"/>
  <c r="H46" i="96"/>
  <c r="D46" i="96"/>
  <c r="B46" i="96"/>
  <c r="Z45" i="96"/>
  <c r="X45" i="96"/>
  <c r="N45" i="96"/>
  <c r="L45" i="96"/>
  <c r="J45" i="96"/>
  <c r="B45" i="96"/>
  <c r="Z44" i="96"/>
  <c r="X44" i="96"/>
  <c r="N44" i="96"/>
  <c r="L44" i="96"/>
  <c r="B44" i="96"/>
  <c r="Z43" i="96"/>
  <c r="X43" i="96"/>
  <c r="V43" i="96"/>
  <c r="L43" i="96"/>
  <c r="N43" i="96" s="1"/>
  <c r="B43" i="96"/>
  <c r="X42" i="96"/>
  <c r="Z42" i="96" s="1"/>
  <c r="N42" i="96"/>
  <c r="L42" i="96"/>
  <c r="B42" i="96"/>
  <c r="Z41" i="96"/>
  <c r="X41" i="96"/>
  <c r="N41" i="96"/>
  <c r="L41" i="96"/>
  <c r="B41" i="96"/>
  <c r="X40" i="96"/>
  <c r="Z40" i="96" s="1"/>
  <c r="V40" i="96"/>
  <c r="L40" i="96"/>
  <c r="N40" i="96" s="1"/>
  <c r="B40" i="96"/>
  <c r="X39" i="96"/>
  <c r="Z39" i="96" s="1"/>
  <c r="L39" i="96"/>
  <c r="N39" i="96" s="1"/>
  <c r="B39" i="96"/>
  <c r="Z38" i="96"/>
  <c r="X38" i="96"/>
  <c r="R38" i="96"/>
  <c r="N38" i="96"/>
  <c r="L38" i="96"/>
  <c r="B38" i="96"/>
  <c r="X37" i="96"/>
  <c r="Z37" i="96" s="1"/>
  <c r="N37" i="96"/>
  <c r="L37" i="96"/>
  <c r="B37" i="96"/>
  <c r="Z36" i="96"/>
  <c r="X36" i="96"/>
  <c r="V36" i="96"/>
  <c r="N36" i="96"/>
  <c r="L36" i="96"/>
  <c r="B36" i="96"/>
  <c r="T35" i="96"/>
  <c r="P35" i="96"/>
  <c r="X35" i="96" s="1"/>
  <c r="Z35" i="96" s="1"/>
  <c r="L35" i="96"/>
  <c r="J35" i="96"/>
  <c r="H35" i="96"/>
  <c r="D35" i="96"/>
  <c r="B35" i="96"/>
  <c r="Z34" i="96"/>
  <c r="X34" i="96"/>
  <c r="N34" i="96"/>
  <c r="L34" i="96"/>
  <c r="J34" i="96"/>
  <c r="B34" i="96"/>
  <c r="Z33" i="96"/>
  <c r="X33" i="96"/>
  <c r="N33" i="96"/>
  <c r="L33" i="96"/>
  <c r="B33" i="96"/>
  <c r="Z32" i="96"/>
  <c r="X32" i="96"/>
  <c r="L32" i="96"/>
  <c r="N32" i="96" s="1"/>
  <c r="J32" i="96"/>
  <c r="B32" i="96"/>
  <c r="Z31" i="96"/>
  <c r="X31" i="96"/>
  <c r="N31" i="96"/>
  <c r="L31" i="96"/>
  <c r="J31" i="96"/>
  <c r="B31" i="96"/>
  <c r="Z30" i="96"/>
  <c r="X30" i="96"/>
  <c r="R30" i="96"/>
  <c r="N30" i="96"/>
  <c r="L30" i="96"/>
  <c r="J30" i="96"/>
  <c r="B30" i="96"/>
  <c r="Z29" i="96"/>
  <c r="X29" i="96"/>
  <c r="V29" i="96"/>
  <c r="N29" i="96"/>
  <c r="L29" i="96"/>
  <c r="J29" i="96"/>
  <c r="B29" i="96"/>
  <c r="Z28" i="96"/>
  <c r="X28" i="96"/>
  <c r="L28" i="96"/>
  <c r="N28" i="96" s="1"/>
  <c r="B28" i="96"/>
  <c r="Z27" i="96"/>
  <c r="X27" i="96"/>
  <c r="R27" i="96"/>
  <c r="N27" i="96"/>
  <c r="L27" i="96"/>
  <c r="J27" i="96"/>
  <c r="B27" i="96"/>
  <c r="X26" i="96"/>
  <c r="Z26" i="96" s="1"/>
  <c r="N26" i="96"/>
  <c r="L26" i="96"/>
  <c r="J26" i="96"/>
  <c r="B26" i="96"/>
  <c r="T25" i="96"/>
  <c r="P25" i="96"/>
  <c r="N25" i="96"/>
  <c r="H25" i="96"/>
  <c r="L25" i="96" s="1"/>
  <c r="D25" i="96"/>
  <c r="B25" i="96"/>
  <c r="T24" i="96"/>
  <c r="P24" i="96"/>
  <c r="X24" i="96" s="1"/>
  <c r="H24" i="96"/>
  <c r="D24" i="96"/>
  <c r="T22" i="96"/>
  <c r="Z20" i="96"/>
  <c r="X20" i="96"/>
  <c r="V20" i="96"/>
  <c r="N20" i="96"/>
  <c r="L20" i="96"/>
  <c r="J20" i="96"/>
  <c r="B20" i="96"/>
  <c r="Z19" i="96"/>
  <c r="X19" i="96"/>
  <c r="N19" i="96"/>
  <c r="L19" i="96"/>
  <c r="B19" i="96"/>
  <c r="Z18" i="96"/>
  <c r="X18" i="96"/>
  <c r="L18" i="96"/>
  <c r="N18" i="96" s="1"/>
  <c r="B18" i="96"/>
  <c r="V17" i="96"/>
  <c r="T17" i="96"/>
  <c r="P17" i="96"/>
  <c r="N17" i="96"/>
  <c r="L17" i="96"/>
  <c r="J17" i="96"/>
  <c r="H17" i="96"/>
  <c r="D17" i="96"/>
  <c r="Z15" i="96"/>
  <c r="X15" i="96"/>
  <c r="P15" i="96"/>
  <c r="N15" i="96"/>
  <c r="D15" i="96"/>
  <c r="L15" i="96" s="1"/>
  <c r="B15" i="96"/>
  <c r="Z14" i="96"/>
  <c r="X14" i="96"/>
  <c r="P14" i="96"/>
  <c r="L14" i="96"/>
  <c r="N14" i="96" s="1"/>
  <c r="D14" i="96"/>
  <c r="B14" i="96"/>
  <c r="Z13" i="96"/>
  <c r="X13" i="96"/>
  <c r="P13" i="96"/>
  <c r="N13" i="96"/>
  <c r="D13" i="96"/>
  <c r="B13" i="96"/>
  <c r="X12" i="96"/>
  <c r="T12" i="96"/>
  <c r="V95" i="96" s="1"/>
  <c r="P12" i="96"/>
  <c r="R78" i="96" s="1"/>
  <c r="H12" i="96"/>
  <c r="J91" i="96" s="1"/>
  <c r="D6" i="96"/>
  <c r="D4" i="96"/>
  <c r="Z88" i="95"/>
  <c r="X88" i="95"/>
  <c r="N88" i="95"/>
  <c r="L88" i="95"/>
  <c r="F88" i="95"/>
  <c r="V84" i="95"/>
  <c r="T84" i="95"/>
  <c r="Z84" i="95" s="1"/>
  <c r="P84" i="95"/>
  <c r="X84" i="95" s="1"/>
  <c r="H84" i="95"/>
  <c r="N84" i="95" s="1"/>
  <c r="D84" i="95"/>
  <c r="Z82" i="95"/>
  <c r="X82" i="95"/>
  <c r="N82" i="95"/>
  <c r="L82" i="95"/>
  <c r="B82" i="95"/>
  <c r="T81" i="95"/>
  <c r="X81" i="95" s="1"/>
  <c r="Z81" i="95" s="1"/>
  <c r="P81" i="95"/>
  <c r="N81" i="95"/>
  <c r="J81" i="95"/>
  <c r="H81" i="95"/>
  <c r="L81" i="95" s="1"/>
  <c r="D81" i="95"/>
  <c r="B81" i="95"/>
  <c r="Z80" i="95"/>
  <c r="X80" i="95"/>
  <c r="L80" i="95"/>
  <c r="N80" i="95" s="1"/>
  <c r="F80" i="95"/>
  <c r="B80" i="95"/>
  <c r="T79" i="95"/>
  <c r="P79" i="95"/>
  <c r="X79" i="95" s="1"/>
  <c r="Z79" i="95" s="1"/>
  <c r="J79" i="95"/>
  <c r="H79" i="95"/>
  <c r="F79" i="95"/>
  <c r="D79" i="95"/>
  <c r="L79" i="95" s="1"/>
  <c r="N79" i="95" s="1"/>
  <c r="B79" i="95"/>
  <c r="Z78" i="95"/>
  <c r="X78" i="95"/>
  <c r="N78" i="95"/>
  <c r="L78" i="95"/>
  <c r="B78" i="95"/>
  <c r="Z77" i="95"/>
  <c r="X77" i="95"/>
  <c r="N77" i="95"/>
  <c r="L77" i="95"/>
  <c r="B77" i="95"/>
  <c r="Z76" i="95"/>
  <c r="X76" i="95"/>
  <c r="N76" i="95"/>
  <c r="L76" i="95"/>
  <c r="B76" i="95"/>
  <c r="X75" i="95"/>
  <c r="Z75" i="95" s="1"/>
  <c r="N75" i="95"/>
  <c r="L75" i="95"/>
  <c r="J75" i="95"/>
  <c r="B75" i="95"/>
  <c r="X74" i="95"/>
  <c r="Z74" i="95" s="1"/>
  <c r="N74" i="95"/>
  <c r="L74" i="95"/>
  <c r="F74" i="95"/>
  <c r="B74" i="95"/>
  <c r="Z73" i="95"/>
  <c r="X73" i="95"/>
  <c r="N73" i="95"/>
  <c r="L73" i="95"/>
  <c r="B73" i="95"/>
  <c r="Z72" i="95"/>
  <c r="X72" i="95"/>
  <c r="N72" i="95"/>
  <c r="L72" i="95"/>
  <c r="B72" i="95"/>
  <c r="X71" i="95"/>
  <c r="Z71" i="95" s="1"/>
  <c r="T71" i="95"/>
  <c r="P71" i="95"/>
  <c r="N71" i="95"/>
  <c r="L71" i="95"/>
  <c r="J71" i="95"/>
  <c r="H71" i="95"/>
  <c r="D71" i="95"/>
  <c r="B71" i="95"/>
  <c r="Z70" i="95"/>
  <c r="X70" i="95"/>
  <c r="N70" i="95"/>
  <c r="L70" i="95"/>
  <c r="J70" i="95"/>
  <c r="B70" i="95"/>
  <c r="Z69" i="95"/>
  <c r="T69" i="95"/>
  <c r="X69" i="95" s="1"/>
  <c r="P69" i="95"/>
  <c r="N69" i="95"/>
  <c r="J69" i="95"/>
  <c r="H69" i="95"/>
  <c r="L69" i="95" s="1"/>
  <c r="D69" i="95"/>
  <c r="B69" i="95"/>
  <c r="Z68" i="95"/>
  <c r="X68" i="95"/>
  <c r="L68" i="95"/>
  <c r="N68" i="95" s="1"/>
  <c r="B68" i="95"/>
  <c r="T67" i="95"/>
  <c r="P67" i="95"/>
  <c r="X67" i="95" s="1"/>
  <c r="Z67" i="95" s="1"/>
  <c r="J67" i="95"/>
  <c r="H67" i="95"/>
  <c r="D67" i="95"/>
  <c r="L67" i="95" s="1"/>
  <c r="N67" i="95" s="1"/>
  <c r="B67" i="95"/>
  <c r="X66" i="95"/>
  <c r="Z66" i="95" s="1"/>
  <c r="N66" i="95"/>
  <c r="L66" i="95"/>
  <c r="B66" i="95"/>
  <c r="Z65" i="95"/>
  <c r="X65" i="95"/>
  <c r="T65" i="95"/>
  <c r="P65" i="95"/>
  <c r="L65" i="95"/>
  <c r="N65" i="95" s="1"/>
  <c r="J65" i="95"/>
  <c r="H65" i="95"/>
  <c r="F65" i="95"/>
  <c r="D65" i="95"/>
  <c r="B65" i="95"/>
  <c r="X64" i="95"/>
  <c r="Z64" i="95" s="1"/>
  <c r="N64" i="95"/>
  <c r="L64" i="95"/>
  <c r="J64" i="95"/>
  <c r="B64" i="95"/>
  <c r="Z63" i="95"/>
  <c r="X63" i="95"/>
  <c r="V63" i="95"/>
  <c r="N63" i="95"/>
  <c r="L63" i="95"/>
  <c r="J63" i="95"/>
  <c r="B63" i="95"/>
  <c r="T62" i="95"/>
  <c r="P62" i="95"/>
  <c r="H62" i="95"/>
  <c r="D62" i="95"/>
  <c r="B62" i="95"/>
  <c r="Z61" i="95"/>
  <c r="X61" i="95"/>
  <c r="V61" i="95"/>
  <c r="N61" i="95"/>
  <c r="L61" i="95"/>
  <c r="J61" i="95"/>
  <c r="B61" i="95"/>
  <c r="T60" i="95"/>
  <c r="Z60" i="95" s="1"/>
  <c r="P60" i="95"/>
  <c r="X60" i="95" s="1"/>
  <c r="L60" i="95"/>
  <c r="H60" i="95"/>
  <c r="J60" i="95" s="1"/>
  <c r="D60" i="95"/>
  <c r="B60" i="95"/>
  <c r="Z59" i="95"/>
  <c r="X59" i="95"/>
  <c r="N59" i="95"/>
  <c r="L59" i="95"/>
  <c r="J59" i="95"/>
  <c r="B59" i="95"/>
  <c r="X58" i="95"/>
  <c r="T58" i="95"/>
  <c r="Z58" i="95" s="1"/>
  <c r="P58" i="95"/>
  <c r="L58" i="95"/>
  <c r="H58" i="95"/>
  <c r="N58" i="95" s="1"/>
  <c r="D58" i="95"/>
  <c r="B58" i="95"/>
  <c r="Z57" i="95"/>
  <c r="X57" i="95"/>
  <c r="N57" i="95"/>
  <c r="L57" i="95"/>
  <c r="J57" i="95"/>
  <c r="B57" i="95"/>
  <c r="T56" i="95"/>
  <c r="P56" i="95"/>
  <c r="H56" i="95"/>
  <c r="N56" i="95" s="1"/>
  <c r="D56" i="95"/>
  <c r="B56" i="95"/>
  <c r="Z55" i="95"/>
  <c r="X55" i="95"/>
  <c r="L55" i="95"/>
  <c r="N55" i="95" s="1"/>
  <c r="J55" i="95"/>
  <c r="B55" i="95"/>
  <c r="X54" i="95"/>
  <c r="Z54" i="95" s="1"/>
  <c r="L54" i="95"/>
  <c r="N54" i="95" s="1"/>
  <c r="J54" i="95"/>
  <c r="B54" i="95"/>
  <c r="V53" i="95"/>
  <c r="T53" i="95"/>
  <c r="P53" i="95"/>
  <c r="X53" i="95" s="1"/>
  <c r="Z53" i="95" s="1"/>
  <c r="J53" i="95"/>
  <c r="H53" i="95"/>
  <c r="D53" i="95"/>
  <c r="L53" i="95" s="1"/>
  <c r="N53" i="95" s="1"/>
  <c r="B53" i="95"/>
  <c r="X52" i="95"/>
  <c r="Z52" i="95" s="1"/>
  <c r="L52" i="95"/>
  <c r="N52" i="95" s="1"/>
  <c r="B52" i="95"/>
  <c r="X51" i="95"/>
  <c r="Z51" i="95" s="1"/>
  <c r="T51" i="95"/>
  <c r="P51" i="95"/>
  <c r="N51" i="95"/>
  <c r="L51" i="95"/>
  <c r="J51" i="95"/>
  <c r="H51" i="95"/>
  <c r="D51" i="95"/>
  <c r="B51" i="95"/>
  <c r="Z50" i="95"/>
  <c r="X50" i="95"/>
  <c r="L50" i="95"/>
  <c r="N50" i="95" s="1"/>
  <c r="J50" i="95"/>
  <c r="B50" i="95"/>
  <c r="T49" i="95"/>
  <c r="X49" i="95" s="1"/>
  <c r="Z49" i="95" s="1"/>
  <c r="P49" i="95"/>
  <c r="J49" i="95"/>
  <c r="H49" i="95"/>
  <c r="L49" i="95" s="1"/>
  <c r="N49" i="95" s="1"/>
  <c r="D49" i="95"/>
  <c r="B49" i="95"/>
  <c r="Z48" i="95"/>
  <c r="X48" i="95"/>
  <c r="L48" i="95"/>
  <c r="N48" i="95" s="1"/>
  <c r="F48" i="95"/>
  <c r="B48" i="95"/>
  <c r="T47" i="95"/>
  <c r="P47" i="95"/>
  <c r="X47" i="95" s="1"/>
  <c r="Z47" i="95" s="1"/>
  <c r="J47" i="95"/>
  <c r="H47" i="95"/>
  <c r="F47" i="95"/>
  <c r="D47" i="95"/>
  <c r="L47" i="95" s="1"/>
  <c r="N47" i="95" s="1"/>
  <c r="B47" i="95"/>
  <c r="Z46" i="95"/>
  <c r="X46" i="95"/>
  <c r="N46" i="95"/>
  <c r="L46" i="95"/>
  <c r="B46" i="95"/>
  <c r="Z45" i="95"/>
  <c r="X45" i="95"/>
  <c r="N45" i="95"/>
  <c r="L45" i="95"/>
  <c r="B45" i="95"/>
  <c r="X44" i="95"/>
  <c r="Z44" i="95" s="1"/>
  <c r="L44" i="95"/>
  <c r="N44" i="95" s="1"/>
  <c r="B44" i="95"/>
  <c r="X43" i="95"/>
  <c r="Z43" i="95" s="1"/>
  <c r="N43" i="95"/>
  <c r="L43" i="95"/>
  <c r="J43" i="95"/>
  <c r="B43" i="95"/>
  <c r="Z42" i="95"/>
  <c r="X42" i="95"/>
  <c r="N42" i="95"/>
  <c r="L42" i="95"/>
  <c r="F42" i="95"/>
  <c r="B42" i="95"/>
  <c r="Z41" i="95"/>
  <c r="X41" i="95"/>
  <c r="N41" i="95"/>
  <c r="L41" i="95"/>
  <c r="B41" i="95"/>
  <c r="X40" i="95"/>
  <c r="Z40" i="95" s="1"/>
  <c r="L40" i="95"/>
  <c r="N40" i="95" s="1"/>
  <c r="B40" i="95"/>
  <c r="Z39" i="95"/>
  <c r="X39" i="95"/>
  <c r="N39" i="95"/>
  <c r="L39" i="95"/>
  <c r="J39" i="95"/>
  <c r="B39" i="95"/>
  <c r="X38" i="95"/>
  <c r="Z38" i="95" s="1"/>
  <c r="N38" i="95"/>
  <c r="L38" i="95"/>
  <c r="B38" i="95"/>
  <c r="Z37" i="95"/>
  <c r="X37" i="95"/>
  <c r="N37" i="95"/>
  <c r="L37" i="95"/>
  <c r="B37" i="95"/>
  <c r="X36" i="95"/>
  <c r="T36" i="95"/>
  <c r="P36" i="95"/>
  <c r="L36" i="95"/>
  <c r="J36" i="95"/>
  <c r="H36" i="95"/>
  <c r="N36" i="95" s="1"/>
  <c r="D36" i="95"/>
  <c r="B36" i="95"/>
  <c r="Z35" i="95"/>
  <c r="X35" i="95"/>
  <c r="V35" i="95"/>
  <c r="N35" i="95"/>
  <c r="L35" i="95"/>
  <c r="J35" i="95"/>
  <c r="B35" i="95"/>
  <c r="Z34" i="95"/>
  <c r="X34" i="95"/>
  <c r="L34" i="95"/>
  <c r="N34" i="95" s="1"/>
  <c r="J34" i="95"/>
  <c r="B34" i="95"/>
  <c r="Z33" i="95"/>
  <c r="X33" i="95"/>
  <c r="N33" i="95"/>
  <c r="L33" i="95"/>
  <c r="J33" i="95"/>
  <c r="B33" i="95"/>
  <c r="Z32" i="95"/>
  <c r="X32" i="95"/>
  <c r="N32" i="95"/>
  <c r="L32" i="95"/>
  <c r="J32" i="95"/>
  <c r="B32" i="95"/>
  <c r="Z31" i="95"/>
  <c r="X31" i="95"/>
  <c r="V31" i="95"/>
  <c r="N31" i="95"/>
  <c r="L31" i="95"/>
  <c r="J31" i="95"/>
  <c r="B31" i="95"/>
  <c r="Z30" i="95"/>
  <c r="X30" i="95"/>
  <c r="L30" i="95"/>
  <c r="N30" i="95" s="1"/>
  <c r="J30" i="95"/>
  <c r="B30" i="95"/>
  <c r="Z29" i="95"/>
  <c r="X29" i="95"/>
  <c r="N29" i="95"/>
  <c r="L29" i="95"/>
  <c r="J29" i="95"/>
  <c r="B29" i="95"/>
  <c r="X28" i="95"/>
  <c r="Z28" i="95" s="1"/>
  <c r="N28" i="95"/>
  <c r="L28" i="95"/>
  <c r="J28" i="95"/>
  <c r="B28" i="95"/>
  <c r="Z27" i="95"/>
  <c r="X27" i="95"/>
  <c r="V27" i="95"/>
  <c r="N27" i="95"/>
  <c r="L27" i="95"/>
  <c r="J27" i="95"/>
  <c r="B27" i="95"/>
  <c r="T26" i="95"/>
  <c r="P26" i="95"/>
  <c r="H26" i="95"/>
  <c r="D26" i="95"/>
  <c r="B26" i="95"/>
  <c r="T25" i="95"/>
  <c r="V25" i="95" s="1"/>
  <c r="P25" i="95"/>
  <c r="X25" i="95" s="1"/>
  <c r="Z25" i="95" s="1"/>
  <c r="H25" i="95"/>
  <c r="J25" i="95" s="1"/>
  <c r="D25" i="95"/>
  <c r="L25" i="95" s="1"/>
  <c r="N25" i="95" s="1"/>
  <c r="Z21" i="95"/>
  <c r="X21" i="95"/>
  <c r="V21" i="95"/>
  <c r="N21" i="95"/>
  <c r="L21" i="95"/>
  <c r="J21" i="95"/>
  <c r="B21" i="95"/>
  <c r="Z20" i="95"/>
  <c r="X20" i="95"/>
  <c r="N20" i="95"/>
  <c r="L20" i="95"/>
  <c r="J20" i="95"/>
  <c r="F20" i="95"/>
  <c r="B20" i="95"/>
  <c r="Z19" i="95"/>
  <c r="X19" i="95"/>
  <c r="V19" i="95"/>
  <c r="L19" i="95"/>
  <c r="N19" i="95" s="1"/>
  <c r="J19" i="95"/>
  <c r="B19" i="95"/>
  <c r="X18" i="95"/>
  <c r="T18" i="95"/>
  <c r="P18" i="95"/>
  <c r="J18" i="95"/>
  <c r="H18" i="95"/>
  <c r="H23" i="95" s="1"/>
  <c r="D18" i="95"/>
  <c r="L18" i="95" s="1"/>
  <c r="N18" i="95" s="1"/>
  <c r="Z16" i="95"/>
  <c r="X16" i="95"/>
  <c r="P16" i="95"/>
  <c r="N16" i="95"/>
  <c r="D16" i="95"/>
  <c r="L16" i="95" s="1"/>
  <c r="B16" i="95"/>
  <c r="X15" i="95"/>
  <c r="Z15" i="95" s="1"/>
  <c r="P15" i="95"/>
  <c r="L15" i="95"/>
  <c r="N15" i="95" s="1"/>
  <c r="D15" i="95"/>
  <c r="B15" i="95"/>
  <c r="Z14" i="95"/>
  <c r="X14" i="95"/>
  <c r="P14" i="95"/>
  <c r="N14" i="95"/>
  <c r="L14" i="95"/>
  <c r="D14" i="95"/>
  <c r="B14" i="95"/>
  <c r="P13" i="95"/>
  <c r="L13" i="95"/>
  <c r="N13" i="95" s="1"/>
  <c r="D13" i="95"/>
  <c r="B13" i="95"/>
  <c r="T12" i="95"/>
  <c r="V81" i="95" s="1"/>
  <c r="H12" i="95"/>
  <c r="D12" i="95"/>
  <c r="F67" i="95" s="1"/>
  <c r="D6" i="95"/>
  <c r="D4" i="95"/>
  <c r="X85" i="94"/>
  <c r="Z85" i="94" s="1"/>
  <c r="N85" i="94"/>
  <c r="L85" i="94"/>
  <c r="Z81" i="94"/>
  <c r="X81" i="94"/>
  <c r="R81" i="94"/>
  <c r="P81" i="94"/>
  <c r="N81" i="94"/>
  <c r="D81" i="94"/>
  <c r="L81" i="94" s="1"/>
  <c r="B81" i="94"/>
  <c r="Z80" i="94"/>
  <c r="V80" i="94"/>
  <c r="T80" i="94"/>
  <c r="R80" i="94"/>
  <c r="P80" i="94"/>
  <c r="X80" i="94" s="1"/>
  <c r="N80" i="94"/>
  <c r="H80" i="94"/>
  <c r="D80" i="94"/>
  <c r="L80" i="94" s="1"/>
  <c r="Z78" i="94"/>
  <c r="X78" i="94"/>
  <c r="V78" i="94"/>
  <c r="N78" i="94"/>
  <c r="L78" i="94"/>
  <c r="B78" i="94"/>
  <c r="V77" i="94"/>
  <c r="T77" i="94"/>
  <c r="P77" i="94"/>
  <c r="X77" i="94" s="1"/>
  <c r="Z77" i="94" s="1"/>
  <c r="L77" i="94"/>
  <c r="H77" i="94"/>
  <c r="N77" i="94" s="1"/>
  <c r="D77" i="94"/>
  <c r="B77" i="94"/>
  <c r="X76" i="94"/>
  <c r="Z76" i="94" s="1"/>
  <c r="N76" i="94"/>
  <c r="L76" i="94"/>
  <c r="B76" i="94"/>
  <c r="X75" i="94"/>
  <c r="Z75" i="94" s="1"/>
  <c r="V75" i="94"/>
  <c r="N75" i="94"/>
  <c r="L75" i="94"/>
  <c r="B75" i="94"/>
  <c r="V74" i="94"/>
  <c r="T74" i="94"/>
  <c r="P74" i="94"/>
  <c r="X74" i="94" s="1"/>
  <c r="Z74" i="94" s="1"/>
  <c r="L74" i="94"/>
  <c r="N74" i="94" s="1"/>
  <c r="H74" i="94"/>
  <c r="D74" i="94"/>
  <c r="B74" i="94"/>
  <c r="X73" i="94"/>
  <c r="Z73" i="94" s="1"/>
  <c r="N73" i="94"/>
  <c r="L73" i="94"/>
  <c r="B73" i="94"/>
  <c r="Z72" i="94"/>
  <c r="X72" i="94"/>
  <c r="V72" i="94"/>
  <c r="N72" i="94"/>
  <c r="L72" i="94"/>
  <c r="B72" i="94"/>
  <c r="Z71" i="94"/>
  <c r="X71" i="94"/>
  <c r="N71" i="94"/>
  <c r="L71" i="94"/>
  <c r="B71" i="94"/>
  <c r="Z70" i="94"/>
  <c r="X70" i="94"/>
  <c r="N70" i="94"/>
  <c r="L70" i="94"/>
  <c r="J70" i="94"/>
  <c r="B70" i="94"/>
  <c r="X69" i="94"/>
  <c r="Z69" i="94" s="1"/>
  <c r="N69" i="94"/>
  <c r="L69" i="94"/>
  <c r="B69" i="94"/>
  <c r="Z68" i="94"/>
  <c r="X68" i="94"/>
  <c r="V68" i="94"/>
  <c r="N68" i="94"/>
  <c r="L68" i="94"/>
  <c r="B68" i="94"/>
  <c r="Z67" i="94"/>
  <c r="X67" i="94"/>
  <c r="R67" i="94"/>
  <c r="N67" i="94"/>
  <c r="L67" i="94"/>
  <c r="B67" i="94"/>
  <c r="T66" i="94"/>
  <c r="P66" i="94"/>
  <c r="H66" i="94"/>
  <c r="L66" i="94" s="1"/>
  <c r="N66" i="94" s="1"/>
  <c r="D66" i="94"/>
  <c r="B66" i="94"/>
  <c r="Z65" i="94"/>
  <c r="X65" i="94"/>
  <c r="V65" i="94"/>
  <c r="N65" i="94"/>
  <c r="L65" i="94"/>
  <c r="B65" i="94"/>
  <c r="Z64" i="94"/>
  <c r="X64" i="94"/>
  <c r="V64" i="94"/>
  <c r="N64" i="94"/>
  <c r="L64" i="94"/>
  <c r="B64" i="94"/>
  <c r="X63" i="94"/>
  <c r="T63" i="94"/>
  <c r="P63" i="94"/>
  <c r="N63" i="94"/>
  <c r="H63" i="94"/>
  <c r="D63" i="94"/>
  <c r="L63" i="94" s="1"/>
  <c r="B63" i="94"/>
  <c r="Z62" i="94"/>
  <c r="X62" i="94"/>
  <c r="V62" i="94"/>
  <c r="N62" i="94"/>
  <c r="L62" i="94"/>
  <c r="B62" i="94"/>
  <c r="Z61" i="94"/>
  <c r="X61" i="94"/>
  <c r="R61" i="94"/>
  <c r="N61" i="94"/>
  <c r="L61" i="94"/>
  <c r="B61" i="94"/>
  <c r="Z60" i="94"/>
  <c r="X60" i="94"/>
  <c r="V60" i="94"/>
  <c r="N60" i="94"/>
  <c r="L60" i="94"/>
  <c r="J60" i="94"/>
  <c r="B60" i="94"/>
  <c r="X59" i="94"/>
  <c r="V59" i="94"/>
  <c r="T59" i="94"/>
  <c r="Z59" i="94" s="1"/>
  <c r="P59" i="94"/>
  <c r="L59" i="94"/>
  <c r="H59" i="94"/>
  <c r="N59" i="94" s="1"/>
  <c r="D59" i="94"/>
  <c r="B59" i="94"/>
  <c r="Z58" i="94"/>
  <c r="X58" i="94"/>
  <c r="N58" i="94"/>
  <c r="L58" i="94"/>
  <c r="B58" i="94"/>
  <c r="X57" i="94"/>
  <c r="T57" i="94"/>
  <c r="Z57" i="94" s="1"/>
  <c r="P57" i="94"/>
  <c r="H57" i="94"/>
  <c r="N57" i="94" s="1"/>
  <c r="D57" i="94"/>
  <c r="L57" i="94" s="1"/>
  <c r="B57" i="94"/>
  <c r="Z56" i="94"/>
  <c r="X56" i="94"/>
  <c r="V56" i="94"/>
  <c r="N56" i="94"/>
  <c r="L56" i="94"/>
  <c r="B56" i="94"/>
  <c r="X55" i="94"/>
  <c r="T55" i="94"/>
  <c r="V55" i="94" s="1"/>
  <c r="P55" i="94"/>
  <c r="N55" i="94"/>
  <c r="H55" i="94"/>
  <c r="D55" i="94"/>
  <c r="L55" i="94" s="1"/>
  <c r="B55" i="94"/>
  <c r="Z54" i="94"/>
  <c r="X54" i="94"/>
  <c r="V54" i="94"/>
  <c r="L54" i="94"/>
  <c r="N54" i="94" s="1"/>
  <c r="B54" i="94"/>
  <c r="X53" i="94"/>
  <c r="T53" i="94"/>
  <c r="P53" i="94"/>
  <c r="L53" i="94"/>
  <c r="H53" i="94"/>
  <c r="N53" i="94" s="1"/>
  <c r="D53" i="94"/>
  <c r="B53" i="94"/>
  <c r="Z52" i="94"/>
  <c r="X52" i="94"/>
  <c r="V52" i="94"/>
  <c r="N52" i="94"/>
  <c r="L52" i="94"/>
  <c r="B52" i="94"/>
  <c r="T51" i="94"/>
  <c r="P51" i="94"/>
  <c r="X51" i="94" s="1"/>
  <c r="L51" i="94"/>
  <c r="H51" i="94"/>
  <c r="N51" i="94" s="1"/>
  <c r="D51" i="94"/>
  <c r="B51" i="94"/>
  <c r="Z50" i="94"/>
  <c r="X50" i="94"/>
  <c r="V50" i="94"/>
  <c r="N50" i="94"/>
  <c r="L50" i="94"/>
  <c r="B50" i="94"/>
  <c r="V49" i="94"/>
  <c r="T49" i="94"/>
  <c r="P49" i="94"/>
  <c r="X49" i="94" s="1"/>
  <c r="Z49" i="94" s="1"/>
  <c r="L49" i="94"/>
  <c r="H49" i="94"/>
  <c r="D49" i="94"/>
  <c r="B49" i="94"/>
  <c r="X48" i="94"/>
  <c r="Z48" i="94" s="1"/>
  <c r="V48" i="94"/>
  <c r="N48" i="94"/>
  <c r="L48" i="94"/>
  <c r="B48" i="94"/>
  <c r="X47" i="94"/>
  <c r="V47" i="94"/>
  <c r="T47" i="94"/>
  <c r="Z47" i="94" s="1"/>
  <c r="P47" i="94"/>
  <c r="L47" i="94"/>
  <c r="H47" i="94"/>
  <c r="D47" i="94"/>
  <c r="B47" i="94"/>
  <c r="Z46" i="94"/>
  <c r="X46" i="94"/>
  <c r="N46" i="94"/>
  <c r="L46" i="94"/>
  <c r="J46" i="94"/>
  <c r="B46" i="94"/>
  <c r="Z45" i="94"/>
  <c r="X45" i="94"/>
  <c r="N45" i="94"/>
  <c r="L45" i="94"/>
  <c r="B45" i="94"/>
  <c r="Z44" i="94"/>
  <c r="X44" i="94"/>
  <c r="V44" i="94"/>
  <c r="N44" i="94"/>
  <c r="L44" i="94"/>
  <c r="B44" i="94"/>
  <c r="X43" i="94"/>
  <c r="Z43" i="94" s="1"/>
  <c r="R43" i="94"/>
  <c r="N43" i="94"/>
  <c r="L43" i="94"/>
  <c r="B43" i="94"/>
  <c r="Z42" i="94"/>
  <c r="X42" i="94"/>
  <c r="N42" i="94"/>
  <c r="L42" i="94"/>
  <c r="B42" i="94"/>
  <c r="X41" i="94"/>
  <c r="Z41" i="94" s="1"/>
  <c r="N41" i="94"/>
  <c r="L41" i="94"/>
  <c r="B41" i="94"/>
  <c r="Z40" i="94"/>
  <c r="X40" i="94"/>
  <c r="V40" i="94"/>
  <c r="N40" i="94"/>
  <c r="L40" i="94"/>
  <c r="B40" i="94"/>
  <c r="Z39" i="94"/>
  <c r="X39" i="94"/>
  <c r="R39" i="94"/>
  <c r="N39" i="94"/>
  <c r="L39" i="94"/>
  <c r="B39" i="94"/>
  <c r="X38" i="94"/>
  <c r="Z38" i="94" s="1"/>
  <c r="N38" i="94"/>
  <c r="L38" i="94"/>
  <c r="B38" i="94"/>
  <c r="Z37" i="94"/>
  <c r="X37" i="94"/>
  <c r="N37" i="94"/>
  <c r="L37" i="94"/>
  <c r="B37" i="94"/>
  <c r="Z36" i="94"/>
  <c r="V36" i="94"/>
  <c r="T36" i="94"/>
  <c r="X36" i="94" s="1"/>
  <c r="P36" i="94"/>
  <c r="L36" i="94"/>
  <c r="N36" i="94" s="1"/>
  <c r="H36" i="94"/>
  <c r="D36" i="94"/>
  <c r="B36" i="94"/>
  <c r="Z35" i="94"/>
  <c r="X35" i="94"/>
  <c r="V35" i="94"/>
  <c r="N35" i="94"/>
  <c r="L35" i="94"/>
  <c r="B35" i="94"/>
  <c r="Z34" i="94"/>
  <c r="X34" i="94"/>
  <c r="V34" i="94"/>
  <c r="N34" i="94"/>
  <c r="L34" i="94"/>
  <c r="B34" i="94"/>
  <c r="Z33" i="94"/>
  <c r="X33" i="94"/>
  <c r="V33" i="94"/>
  <c r="L33" i="94"/>
  <c r="N33" i="94" s="1"/>
  <c r="B33" i="94"/>
  <c r="Z32" i="94"/>
  <c r="X32" i="94"/>
  <c r="V32" i="94"/>
  <c r="N32" i="94"/>
  <c r="L32" i="94"/>
  <c r="B32" i="94"/>
  <c r="X31" i="94"/>
  <c r="Z31" i="94" s="1"/>
  <c r="V31" i="94"/>
  <c r="L31" i="94"/>
  <c r="N31" i="94" s="1"/>
  <c r="B31" i="94"/>
  <c r="Z30" i="94"/>
  <c r="X30" i="94"/>
  <c r="V30" i="94"/>
  <c r="N30" i="94"/>
  <c r="L30" i="94"/>
  <c r="B30" i="94"/>
  <c r="Z29" i="94"/>
  <c r="X29" i="94"/>
  <c r="V29" i="94"/>
  <c r="L29" i="94"/>
  <c r="N29" i="94" s="1"/>
  <c r="B29" i="94"/>
  <c r="Z28" i="94"/>
  <c r="X28" i="94"/>
  <c r="V28" i="94"/>
  <c r="R28" i="94"/>
  <c r="L28" i="94"/>
  <c r="N28" i="94" s="1"/>
  <c r="B28" i="94"/>
  <c r="X27" i="94"/>
  <c r="Z27" i="94" s="1"/>
  <c r="V27" i="94"/>
  <c r="L27" i="94"/>
  <c r="N27" i="94" s="1"/>
  <c r="J27" i="94"/>
  <c r="B27" i="94"/>
  <c r="V26" i="94"/>
  <c r="T26" i="94"/>
  <c r="R26" i="94"/>
  <c r="P26" i="94"/>
  <c r="X26" i="94" s="1"/>
  <c r="Z26" i="94" s="1"/>
  <c r="J26" i="94"/>
  <c r="H26" i="94"/>
  <c r="D26" i="94"/>
  <c r="B26" i="94"/>
  <c r="T25" i="94"/>
  <c r="P25" i="94"/>
  <c r="X25" i="94" s="1"/>
  <c r="H25" i="94"/>
  <c r="D25" i="94"/>
  <c r="L25" i="94" s="1"/>
  <c r="T23" i="94"/>
  <c r="Z21" i="94"/>
  <c r="X21" i="94"/>
  <c r="R21" i="94"/>
  <c r="N21" i="94"/>
  <c r="L21" i="94"/>
  <c r="B21" i="94"/>
  <c r="Z20" i="94"/>
  <c r="X20" i="94"/>
  <c r="V20" i="94"/>
  <c r="N20" i="94"/>
  <c r="L20" i="94"/>
  <c r="B20" i="94"/>
  <c r="X19" i="94"/>
  <c r="Z19" i="94" s="1"/>
  <c r="V19" i="94"/>
  <c r="L19" i="94"/>
  <c r="N19" i="94" s="1"/>
  <c r="B19" i="94"/>
  <c r="Z18" i="94"/>
  <c r="V18" i="94"/>
  <c r="T18" i="94"/>
  <c r="R18" i="94"/>
  <c r="P18" i="94"/>
  <c r="X18" i="94" s="1"/>
  <c r="L18" i="94"/>
  <c r="N18" i="94" s="1"/>
  <c r="H18" i="94"/>
  <c r="D18" i="94"/>
  <c r="Z16" i="94"/>
  <c r="P16" i="94"/>
  <c r="X16" i="94" s="1"/>
  <c r="N16" i="94"/>
  <c r="L16" i="94"/>
  <c r="D16" i="94"/>
  <c r="B16" i="94"/>
  <c r="X15" i="94"/>
  <c r="Z15" i="94" s="1"/>
  <c r="P15" i="94"/>
  <c r="N15" i="94"/>
  <c r="D15" i="94"/>
  <c r="L15" i="94" s="1"/>
  <c r="B15" i="94"/>
  <c r="Z14" i="94"/>
  <c r="P14" i="94"/>
  <c r="X14" i="94" s="1"/>
  <c r="N14" i="94"/>
  <c r="D14" i="94"/>
  <c r="L14" i="94" s="1"/>
  <c r="B14" i="94"/>
  <c r="X13" i="94"/>
  <c r="Z13" i="94" s="1"/>
  <c r="P13" i="94"/>
  <c r="D13" i="94"/>
  <c r="B13" i="94"/>
  <c r="X12" i="94"/>
  <c r="Z12" i="94" s="1"/>
  <c r="T12" i="94"/>
  <c r="V63" i="94" s="1"/>
  <c r="P12" i="94"/>
  <c r="H12" i="94"/>
  <c r="J66" i="94" s="1"/>
  <c r="D6" i="94"/>
  <c r="D4" i="94"/>
  <c r="Z89" i="93"/>
  <c r="X89" i="93"/>
  <c r="L89" i="93"/>
  <c r="N89" i="93" s="1"/>
  <c r="J89" i="93"/>
  <c r="Z85" i="93"/>
  <c r="T85" i="93"/>
  <c r="X85" i="93" s="1"/>
  <c r="P85" i="93"/>
  <c r="N85" i="93"/>
  <c r="L85" i="93"/>
  <c r="H85" i="93"/>
  <c r="D85" i="93"/>
  <c r="Z83" i="93"/>
  <c r="X83" i="93"/>
  <c r="V83" i="93"/>
  <c r="N83" i="93"/>
  <c r="L83" i="93"/>
  <c r="J83" i="93"/>
  <c r="B83" i="93"/>
  <c r="T82" i="93"/>
  <c r="P82" i="93"/>
  <c r="L82" i="93"/>
  <c r="H82" i="93"/>
  <c r="D82" i="93"/>
  <c r="B82" i="93"/>
  <c r="Z81" i="93"/>
  <c r="X81" i="93"/>
  <c r="N81" i="93"/>
  <c r="L81" i="93"/>
  <c r="J81" i="93"/>
  <c r="B81" i="93"/>
  <c r="T80" i="93"/>
  <c r="P80" i="93"/>
  <c r="L80" i="93"/>
  <c r="H80" i="93"/>
  <c r="D80" i="93"/>
  <c r="B80" i="93"/>
  <c r="X79" i="93"/>
  <c r="Z79" i="93" s="1"/>
  <c r="N79" i="93"/>
  <c r="L79" i="93"/>
  <c r="J79" i="93"/>
  <c r="B79" i="93"/>
  <c r="X78" i="93"/>
  <c r="T78" i="93"/>
  <c r="Z78" i="93" s="1"/>
  <c r="P78" i="93"/>
  <c r="H78" i="93"/>
  <c r="D78" i="93"/>
  <c r="L78" i="93" s="1"/>
  <c r="B78" i="93"/>
  <c r="Z77" i="93"/>
  <c r="X77" i="93"/>
  <c r="N77" i="93"/>
  <c r="L77" i="93"/>
  <c r="J77" i="93"/>
  <c r="B77" i="93"/>
  <c r="X76" i="93"/>
  <c r="Z76" i="93" s="1"/>
  <c r="N76" i="93"/>
  <c r="L76" i="93"/>
  <c r="J76" i="93"/>
  <c r="B76" i="93"/>
  <c r="Z75" i="93"/>
  <c r="X75" i="93"/>
  <c r="N75" i="93"/>
  <c r="L75" i="93"/>
  <c r="J75" i="93"/>
  <c r="B75" i="93"/>
  <c r="Z74" i="93"/>
  <c r="X74" i="93"/>
  <c r="L74" i="93"/>
  <c r="N74" i="93" s="1"/>
  <c r="J74" i="93"/>
  <c r="B74" i="93"/>
  <c r="X73" i="93"/>
  <c r="Z73" i="93" s="1"/>
  <c r="N73" i="93"/>
  <c r="L73" i="93"/>
  <c r="J73" i="93"/>
  <c r="B73" i="93"/>
  <c r="Z72" i="93"/>
  <c r="X72" i="93"/>
  <c r="N72" i="93"/>
  <c r="L72" i="93"/>
  <c r="J72" i="93"/>
  <c r="B72" i="93"/>
  <c r="T71" i="93"/>
  <c r="X71" i="93" s="1"/>
  <c r="P71" i="93"/>
  <c r="L71" i="93"/>
  <c r="H71" i="93"/>
  <c r="N71" i="93" s="1"/>
  <c r="D71" i="93"/>
  <c r="B71" i="93"/>
  <c r="X70" i="93"/>
  <c r="Z70" i="93" s="1"/>
  <c r="V70" i="93"/>
  <c r="L70" i="93"/>
  <c r="N70" i="93" s="1"/>
  <c r="J70" i="93"/>
  <c r="B70" i="93"/>
  <c r="Z69" i="93"/>
  <c r="X69" i="93"/>
  <c r="V69" i="93"/>
  <c r="N69" i="93"/>
  <c r="L69" i="93"/>
  <c r="J69" i="93"/>
  <c r="B69" i="93"/>
  <c r="Z68" i="93"/>
  <c r="X68" i="93"/>
  <c r="V68" i="93"/>
  <c r="L68" i="93"/>
  <c r="N68" i="93" s="1"/>
  <c r="B68" i="93"/>
  <c r="T67" i="93"/>
  <c r="P67" i="93"/>
  <c r="X67" i="93" s="1"/>
  <c r="Z67" i="93" s="1"/>
  <c r="J67" i="93"/>
  <c r="H67" i="93"/>
  <c r="D67" i="93"/>
  <c r="L67" i="93" s="1"/>
  <c r="N67" i="93" s="1"/>
  <c r="B67" i="93"/>
  <c r="X66" i="93"/>
  <c r="Z66" i="93" s="1"/>
  <c r="V66" i="93"/>
  <c r="N66" i="93"/>
  <c r="L66" i="93"/>
  <c r="B66" i="93"/>
  <c r="X65" i="93"/>
  <c r="Z65" i="93" s="1"/>
  <c r="T65" i="93"/>
  <c r="P65" i="93"/>
  <c r="L65" i="93"/>
  <c r="N65" i="93" s="1"/>
  <c r="J65" i="93"/>
  <c r="H65" i="93"/>
  <c r="D65" i="93"/>
  <c r="B65" i="93"/>
  <c r="X64" i="93"/>
  <c r="Z64" i="93" s="1"/>
  <c r="N64" i="93"/>
  <c r="L64" i="93"/>
  <c r="J64" i="93"/>
  <c r="B64" i="93"/>
  <c r="Z63" i="93"/>
  <c r="X63" i="93"/>
  <c r="V63" i="93"/>
  <c r="N63" i="93"/>
  <c r="L63" i="93"/>
  <c r="J63" i="93"/>
  <c r="B63" i="93"/>
  <c r="T62" i="93"/>
  <c r="P62" i="93"/>
  <c r="X62" i="93" s="1"/>
  <c r="Z62" i="93" s="1"/>
  <c r="H62" i="93"/>
  <c r="D62" i="93"/>
  <c r="B62" i="93"/>
  <c r="Z61" i="93"/>
  <c r="X61" i="93"/>
  <c r="V61" i="93"/>
  <c r="L61" i="93"/>
  <c r="N61" i="93" s="1"/>
  <c r="J61" i="93"/>
  <c r="B61" i="93"/>
  <c r="V60" i="93"/>
  <c r="T60" i="93"/>
  <c r="P60" i="93"/>
  <c r="X60" i="93" s="1"/>
  <c r="Z60" i="93" s="1"/>
  <c r="J60" i="93"/>
  <c r="H60" i="93"/>
  <c r="D60" i="93"/>
  <c r="L60" i="93" s="1"/>
  <c r="B60" i="93"/>
  <c r="X59" i="93"/>
  <c r="Z59" i="93" s="1"/>
  <c r="V59" i="93"/>
  <c r="N59" i="93"/>
  <c r="L59" i="93"/>
  <c r="J59" i="93"/>
  <c r="B59" i="93"/>
  <c r="V58" i="93"/>
  <c r="T58" i="93"/>
  <c r="P58" i="93"/>
  <c r="X58" i="93" s="1"/>
  <c r="L58" i="93"/>
  <c r="H58" i="93"/>
  <c r="D58" i="93"/>
  <c r="B58" i="93"/>
  <c r="X57" i="93"/>
  <c r="Z57" i="93" s="1"/>
  <c r="N57" i="93"/>
  <c r="L57" i="93"/>
  <c r="J57" i="93"/>
  <c r="B57" i="93"/>
  <c r="Z56" i="93"/>
  <c r="X56" i="93"/>
  <c r="T56" i="93"/>
  <c r="P56" i="93"/>
  <c r="N56" i="93"/>
  <c r="H56" i="93"/>
  <c r="D56" i="93"/>
  <c r="L56" i="93" s="1"/>
  <c r="B56" i="93"/>
  <c r="Z55" i="93"/>
  <c r="X55" i="93"/>
  <c r="V55" i="93"/>
  <c r="L55" i="93"/>
  <c r="N55" i="93" s="1"/>
  <c r="J55" i="93"/>
  <c r="B55" i="93"/>
  <c r="X54" i="93"/>
  <c r="Z54" i="93" s="1"/>
  <c r="V54" i="93"/>
  <c r="L54" i="93"/>
  <c r="N54" i="93" s="1"/>
  <c r="J54" i="93"/>
  <c r="B54" i="93"/>
  <c r="Z53" i="93"/>
  <c r="X53" i="93"/>
  <c r="V53" i="93"/>
  <c r="L53" i="93"/>
  <c r="N53" i="93" s="1"/>
  <c r="J53" i="93"/>
  <c r="B53" i="93"/>
  <c r="T52" i="93"/>
  <c r="P52" i="93"/>
  <c r="L52" i="93"/>
  <c r="H52" i="93"/>
  <c r="D52" i="93"/>
  <c r="B52" i="93"/>
  <c r="X51" i="93"/>
  <c r="Z51" i="93" s="1"/>
  <c r="V51" i="93"/>
  <c r="N51" i="93"/>
  <c r="L51" i="93"/>
  <c r="J51" i="93"/>
  <c r="B51" i="93"/>
  <c r="X50" i="93"/>
  <c r="T50" i="93"/>
  <c r="P50" i="93"/>
  <c r="H50" i="93"/>
  <c r="D50" i="93"/>
  <c r="L50" i="93" s="1"/>
  <c r="B50" i="93"/>
  <c r="Z49" i="93"/>
  <c r="X49" i="93"/>
  <c r="N49" i="93"/>
  <c r="L49" i="93"/>
  <c r="J49" i="93"/>
  <c r="B49" i="93"/>
  <c r="X48" i="93"/>
  <c r="Z48" i="93" s="1"/>
  <c r="T48" i="93"/>
  <c r="R48" i="93"/>
  <c r="P48" i="93"/>
  <c r="N48" i="93"/>
  <c r="H48" i="93"/>
  <c r="L48" i="93" s="1"/>
  <c r="D48" i="93"/>
  <c r="B48" i="93"/>
  <c r="Z47" i="93"/>
  <c r="X47" i="93"/>
  <c r="V47" i="93"/>
  <c r="N47" i="93"/>
  <c r="L47" i="93"/>
  <c r="J47" i="93"/>
  <c r="B47" i="93"/>
  <c r="V46" i="93"/>
  <c r="T46" i="93"/>
  <c r="P46" i="93"/>
  <c r="X46" i="93" s="1"/>
  <c r="N46" i="93"/>
  <c r="H46" i="93"/>
  <c r="J46" i="93" s="1"/>
  <c r="D46" i="93"/>
  <c r="L46" i="93" s="1"/>
  <c r="B46" i="93"/>
  <c r="Z45" i="93"/>
  <c r="X45" i="93"/>
  <c r="V45" i="93"/>
  <c r="N45" i="93"/>
  <c r="L45" i="93"/>
  <c r="J45" i="93"/>
  <c r="B45" i="93"/>
  <c r="Z44" i="93"/>
  <c r="X44" i="93"/>
  <c r="N44" i="93"/>
  <c r="L44" i="93"/>
  <c r="B44" i="93"/>
  <c r="Z43" i="93"/>
  <c r="X43" i="93"/>
  <c r="N43" i="93"/>
  <c r="L43" i="93"/>
  <c r="J43" i="93"/>
  <c r="B43" i="93"/>
  <c r="Z42" i="93"/>
  <c r="X42" i="93"/>
  <c r="N42" i="93"/>
  <c r="L42" i="93"/>
  <c r="B42" i="93"/>
  <c r="Z41" i="93"/>
  <c r="X41" i="93"/>
  <c r="N41" i="93"/>
  <c r="L41" i="93"/>
  <c r="J41" i="93"/>
  <c r="B41" i="93"/>
  <c r="Z40" i="93"/>
  <c r="X40" i="93"/>
  <c r="N40" i="93"/>
  <c r="L40" i="93"/>
  <c r="B40" i="93"/>
  <c r="X39" i="93"/>
  <c r="Z39" i="93" s="1"/>
  <c r="V39" i="93"/>
  <c r="N39" i="93"/>
  <c r="L39" i="93"/>
  <c r="J39" i="93"/>
  <c r="B39" i="93"/>
  <c r="Z38" i="93"/>
  <c r="X38" i="93"/>
  <c r="V38" i="93"/>
  <c r="N38" i="93"/>
  <c r="L38" i="93"/>
  <c r="B38" i="93"/>
  <c r="X37" i="93"/>
  <c r="Z37" i="93" s="1"/>
  <c r="N37" i="93"/>
  <c r="L37" i="93"/>
  <c r="J37" i="93"/>
  <c r="B37" i="93"/>
  <c r="Z36" i="93"/>
  <c r="X36" i="93"/>
  <c r="V36" i="93"/>
  <c r="N36" i="93"/>
  <c r="L36" i="93"/>
  <c r="B36" i="93"/>
  <c r="V35" i="93"/>
  <c r="T35" i="93"/>
  <c r="P35" i="93"/>
  <c r="X35" i="93" s="1"/>
  <c r="Z35" i="93" s="1"/>
  <c r="L35" i="93"/>
  <c r="N35" i="93" s="1"/>
  <c r="J35" i="93"/>
  <c r="H35" i="93"/>
  <c r="D35" i="93"/>
  <c r="B35" i="93"/>
  <c r="Z34" i="93"/>
  <c r="X34" i="93"/>
  <c r="N34" i="93"/>
  <c r="L34" i="93"/>
  <c r="J34" i="93"/>
  <c r="B34" i="93"/>
  <c r="X33" i="93"/>
  <c r="Z33" i="93" s="1"/>
  <c r="N33" i="93"/>
  <c r="L33" i="93"/>
  <c r="J33" i="93"/>
  <c r="B33" i="93"/>
  <c r="Z32" i="93"/>
  <c r="X32" i="93"/>
  <c r="N32" i="93"/>
  <c r="L32" i="93"/>
  <c r="J32" i="93"/>
  <c r="B32" i="93"/>
  <c r="Z31" i="93"/>
  <c r="X31" i="93"/>
  <c r="N31" i="93"/>
  <c r="L31" i="93"/>
  <c r="J31" i="93"/>
  <c r="B31" i="93"/>
  <c r="Z30" i="93"/>
  <c r="X30" i="93"/>
  <c r="R30" i="93"/>
  <c r="L30" i="93"/>
  <c r="N30" i="93" s="1"/>
  <c r="J30" i="93"/>
  <c r="B30" i="93"/>
  <c r="X29" i="93"/>
  <c r="Z29" i="93" s="1"/>
  <c r="N29" i="93"/>
  <c r="L29" i="93"/>
  <c r="J29" i="93"/>
  <c r="B29" i="93"/>
  <c r="Z28" i="93"/>
  <c r="X28" i="93"/>
  <c r="N28" i="93"/>
  <c r="L28" i="93"/>
  <c r="J28" i="93"/>
  <c r="B28" i="93"/>
  <c r="Z27" i="93"/>
  <c r="X27" i="93"/>
  <c r="V27" i="93"/>
  <c r="N27" i="93"/>
  <c r="L27" i="93"/>
  <c r="J27" i="93"/>
  <c r="B27" i="93"/>
  <c r="X26" i="93"/>
  <c r="Z26" i="93" s="1"/>
  <c r="N26" i="93"/>
  <c r="L26" i="93"/>
  <c r="J26" i="93"/>
  <c r="B26" i="93"/>
  <c r="X25" i="93"/>
  <c r="T25" i="93"/>
  <c r="Z25" i="93" s="1"/>
  <c r="P25" i="93"/>
  <c r="N25" i="93"/>
  <c r="L25" i="93"/>
  <c r="J25" i="93"/>
  <c r="H25" i="93"/>
  <c r="D25" i="93"/>
  <c r="B25" i="93"/>
  <c r="T24" i="93"/>
  <c r="V24" i="93" s="1"/>
  <c r="P24" i="93"/>
  <c r="H24" i="93"/>
  <c r="H87" i="93" s="1"/>
  <c r="H91" i="93" s="1"/>
  <c r="D24" i="93"/>
  <c r="H22" i="93"/>
  <c r="Z20" i="93"/>
  <c r="X20" i="93"/>
  <c r="V20" i="93"/>
  <c r="N20" i="93"/>
  <c r="L20" i="93"/>
  <c r="J20" i="93"/>
  <c r="B20" i="93"/>
  <c r="Z19" i="93"/>
  <c r="X19" i="93"/>
  <c r="R19" i="93"/>
  <c r="L19" i="93"/>
  <c r="N19" i="93" s="1"/>
  <c r="J19" i="93"/>
  <c r="B19" i="93"/>
  <c r="X18" i="93"/>
  <c r="V18" i="93"/>
  <c r="T18" i="93"/>
  <c r="Z18" i="93" s="1"/>
  <c r="P18" i="93"/>
  <c r="J18" i="93"/>
  <c r="H18" i="93"/>
  <c r="D18" i="93"/>
  <c r="L18" i="93" s="1"/>
  <c r="N18" i="93" s="1"/>
  <c r="Z16" i="93"/>
  <c r="X16" i="93"/>
  <c r="P16" i="93"/>
  <c r="N16" i="93"/>
  <c r="D16" i="93"/>
  <c r="L16" i="93" s="1"/>
  <c r="B16" i="93"/>
  <c r="X15" i="93"/>
  <c r="Z15" i="93" s="1"/>
  <c r="P15" i="93"/>
  <c r="L15" i="93"/>
  <c r="N15" i="93" s="1"/>
  <c r="D15" i="93"/>
  <c r="B15" i="93"/>
  <c r="Z14" i="93"/>
  <c r="X14" i="93"/>
  <c r="P14" i="93"/>
  <c r="N14" i="93"/>
  <c r="L14" i="93"/>
  <c r="D14" i="93"/>
  <c r="B14" i="93"/>
  <c r="Z13" i="93"/>
  <c r="P13" i="93"/>
  <c r="X13" i="93" s="1"/>
  <c r="D13" i="93"/>
  <c r="B13" i="93"/>
  <c r="X12" i="93"/>
  <c r="T12" i="93"/>
  <c r="V75" i="93" s="1"/>
  <c r="P12" i="93"/>
  <c r="R85" i="93" s="1"/>
  <c r="H12" i="93"/>
  <c r="J82" i="93" s="1"/>
  <c r="D6" i="93"/>
  <c r="D4" i="93"/>
  <c r="R103" i="92"/>
  <c r="R100" i="92"/>
  <c r="Z98" i="92"/>
  <c r="X98" i="92"/>
  <c r="N98" i="92"/>
  <c r="L98" i="92"/>
  <c r="F96" i="92"/>
  <c r="Z94" i="92"/>
  <c r="P94" i="92"/>
  <c r="X94" i="92" s="1"/>
  <c r="N94" i="92"/>
  <c r="D94" i="92"/>
  <c r="L94" i="92" s="1"/>
  <c r="B94" i="92"/>
  <c r="Z93" i="92"/>
  <c r="R93" i="92"/>
  <c r="P93" i="92"/>
  <c r="X93" i="92" s="1"/>
  <c r="D93" i="92"/>
  <c r="L93" i="92" s="1"/>
  <c r="N93" i="92" s="1"/>
  <c r="B93" i="92"/>
  <c r="T92" i="92"/>
  <c r="R92" i="92"/>
  <c r="H92" i="92"/>
  <c r="Z90" i="92"/>
  <c r="X90" i="92"/>
  <c r="N90" i="92"/>
  <c r="L90" i="92"/>
  <c r="B90" i="92"/>
  <c r="X89" i="92"/>
  <c r="T89" i="92"/>
  <c r="Z89" i="92" s="1"/>
  <c r="P89" i="92"/>
  <c r="H89" i="92"/>
  <c r="D89" i="92"/>
  <c r="B89" i="92"/>
  <c r="Z88" i="92"/>
  <c r="X88" i="92"/>
  <c r="N88" i="92"/>
  <c r="L88" i="92"/>
  <c r="B88" i="92"/>
  <c r="Z87" i="92"/>
  <c r="X87" i="92"/>
  <c r="R87" i="92"/>
  <c r="N87" i="92"/>
  <c r="L87" i="92"/>
  <c r="B87" i="92"/>
  <c r="X86" i="92"/>
  <c r="Z86" i="92" s="1"/>
  <c r="R86" i="92"/>
  <c r="N86" i="92"/>
  <c r="L86" i="92"/>
  <c r="F86" i="92"/>
  <c r="B86" i="92"/>
  <c r="T85" i="92"/>
  <c r="P85" i="92"/>
  <c r="X85" i="92" s="1"/>
  <c r="Z85" i="92" s="1"/>
  <c r="H85" i="92"/>
  <c r="N85" i="92" s="1"/>
  <c r="F85" i="92"/>
  <c r="D85" i="92"/>
  <c r="L85" i="92" s="1"/>
  <c r="B85" i="92"/>
  <c r="X84" i="92"/>
  <c r="Z84" i="92" s="1"/>
  <c r="R84" i="92"/>
  <c r="L84" i="92"/>
  <c r="N84" i="92" s="1"/>
  <c r="F84" i="92"/>
  <c r="B84" i="92"/>
  <c r="Z83" i="92"/>
  <c r="X83" i="92"/>
  <c r="V83" i="92"/>
  <c r="T83" i="92"/>
  <c r="R83" i="92"/>
  <c r="P83" i="92"/>
  <c r="N83" i="92"/>
  <c r="L83" i="92"/>
  <c r="H83" i="92"/>
  <c r="F83" i="92"/>
  <c r="D83" i="92"/>
  <c r="B83" i="92"/>
  <c r="X82" i="92"/>
  <c r="Z82" i="92" s="1"/>
  <c r="N82" i="92"/>
  <c r="L82" i="92"/>
  <c r="B82" i="92"/>
  <c r="T81" i="92"/>
  <c r="P81" i="92"/>
  <c r="L81" i="92"/>
  <c r="H81" i="92"/>
  <c r="N81" i="92" s="1"/>
  <c r="D81" i="92"/>
  <c r="B81" i="92"/>
  <c r="Z80" i="92"/>
  <c r="X80" i="92"/>
  <c r="V80" i="92"/>
  <c r="N80" i="92"/>
  <c r="L80" i="92"/>
  <c r="B80" i="92"/>
  <c r="Z79" i="92"/>
  <c r="X79" i="92"/>
  <c r="R79" i="92"/>
  <c r="N79" i="92"/>
  <c r="L79" i="92"/>
  <c r="B79" i="92"/>
  <c r="X78" i="92"/>
  <c r="Z78" i="92" s="1"/>
  <c r="R78" i="92"/>
  <c r="N78" i="92"/>
  <c r="L78" i="92"/>
  <c r="F78" i="92"/>
  <c r="B78" i="92"/>
  <c r="Z77" i="92"/>
  <c r="X77" i="92"/>
  <c r="V77" i="92"/>
  <c r="N77" i="92"/>
  <c r="L77" i="92"/>
  <c r="B77" i="92"/>
  <c r="X76" i="92"/>
  <c r="Z76" i="92" s="1"/>
  <c r="L76" i="92"/>
  <c r="N76" i="92" s="1"/>
  <c r="F76" i="92"/>
  <c r="B76" i="92"/>
  <c r="Z75" i="92"/>
  <c r="X75" i="92"/>
  <c r="R75" i="92"/>
  <c r="L75" i="92"/>
  <c r="N75" i="92" s="1"/>
  <c r="B75" i="92"/>
  <c r="Z74" i="92"/>
  <c r="X74" i="92"/>
  <c r="V74" i="92"/>
  <c r="N74" i="92"/>
  <c r="L74" i="92"/>
  <c r="B74" i="92"/>
  <c r="Z73" i="92"/>
  <c r="X73" i="92"/>
  <c r="R73" i="92"/>
  <c r="N73" i="92"/>
  <c r="L73" i="92"/>
  <c r="F73" i="92"/>
  <c r="B73" i="92"/>
  <c r="Z72" i="92"/>
  <c r="X72" i="92"/>
  <c r="T72" i="92"/>
  <c r="R72" i="92"/>
  <c r="P72" i="92"/>
  <c r="H72" i="92"/>
  <c r="L72" i="92" s="1"/>
  <c r="N72" i="92" s="1"/>
  <c r="F72" i="92"/>
  <c r="D72" i="92"/>
  <c r="B72" i="92"/>
  <c r="Z71" i="92"/>
  <c r="X71" i="92"/>
  <c r="R71" i="92"/>
  <c r="N71" i="92"/>
  <c r="L71" i="92"/>
  <c r="F71" i="92"/>
  <c r="B71" i="92"/>
  <c r="Z70" i="92"/>
  <c r="T70" i="92"/>
  <c r="P70" i="92"/>
  <c r="X70" i="92" s="1"/>
  <c r="N70" i="92"/>
  <c r="H70" i="92"/>
  <c r="F70" i="92"/>
  <c r="D70" i="92"/>
  <c r="L70" i="92" s="1"/>
  <c r="B70" i="92"/>
  <c r="X69" i="92"/>
  <c r="Z69" i="92" s="1"/>
  <c r="L69" i="92"/>
  <c r="N69" i="92" s="1"/>
  <c r="F69" i="92"/>
  <c r="B69" i="92"/>
  <c r="Z68" i="92"/>
  <c r="X68" i="92"/>
  <c r="N68" i="92"/>
  <c r="L68" i="92"/>
  <c r="B68" i="92"/>
  <c r="X67" i="92"/>
  <c r="Z67" i="92" s="1"/>
  <c r="R67" i="92"/>
  <c r="L67" i="92"/>
  <c r="N67" i="92" s="1"/>
  <c r="F67" i="92"/>
  <c r="B67" i="92"/>
  <c r="X66" i="92"/>
  <c r="Z66" i="92" s="1"/>
  <c r="N66" i="92"/>
  <c r="L66" i="92"/>
  <c r="J66" i="92"/>
  <c r="B66" i="92"/>
  <c r="X65" i="92"/>
  <c r="Z65" i="92" s="1"/>
  <c r="L65" i="92"/>
  <c r="N65" i="92" s="1"/>
  <c r="F65" i="92"/>
  <c r="B65" i="92"/>
  <c r="Z64" i="92"/>
  <c r="T64" i="92"/>
  <c r="R64" i="92"/>
  <c r="P64" i="92"/>
  <c r="X64" i="92" s="1"/>
  <c r="L64" i="92"/>
  <c r="N64" i="92" s="1"/>
  <c r="H64" i="92"/>
  <c r="F64" i="92"/>
  <c r="D64" i="92"/>
  <c r="B64" i="92"/>
  <c r="X63" i="92"/>
  <c r="Z63" i="92" s="1"/>
  <c r="R63" i="92"/>
  <c r="N63" i="92"/>
  <c r="L63" i="92"/>
  <c r="F63" i="92"/>
  <c r="B63" i="92"/>
  <c r="Z62" i="92"/>
  <c r="X62" i="92"/>
  <c r="V62" i="92"/>
  <c r="N62" i="92"/>
  <c r="L62" i="92"/>
  <c r="F62" i="92"/>
  <c r="B62" i="92"/>
  <c r="X61" i="92"/>
  <c r="Z61" i="92" s="1"/>
  <c r="R61" i="92"/>
  <c r="L61" i="92"/>
  <c r="N61" i="92" s="1"/>
  <c r="F61" i="92"/>
  <c r="B61" i="92"/>
  <c r="Z60" i="92"/>
  <c r="X60" i="92"/>
  <c r="T60" i="92"/>
  <c r="R60" i="92"/>
  <c r="P60" i="92"/>
  <c r="N60" i="92"/>
  <c r="H60" i="92"/>
  <c r="L60" i="92" s="1"/>
  <c r="F60" i="92"/>
  <c r="D60" i="92"/>
  <c r="B60" i="92"/>
  <c r="Z59" i="92"/>
  <c r="X59" i="92"/>
  <c r="R59" i="92"/>
  <c r="N59" i="92"/>
  <c r="L59" i="92"/>
  <c r="F59" i="92"/>
  <c r="B59" i="92"/>
  <c r="Z58" i="92"/>
  <c r="T58" i="92"/>
  <c r="P58" i="92"/>
  <c r="X58" i="92" s="1"/>
  <c r="N58" i="92"/>
  <c r="H58" i="92"/>
  <c r="F58" i="92"/>
  <c r="D58" i="92"/>
  <c r="L58" i="92" s="1"/>
  <c r="B58" i="92"/>
  <c r="X57" i="92"/>
  <c r="Z57" i="92" s="1"/>
  <c r="L57" i="92"/>
  <c r="N57" i="92" s="1"/>
  <c r="F57" i="92"/>
  <c r="B57" i="92"/>
  <c r="Z56" i="92"/>
  <c r="T56" i="92"/>
  <c r="R56" i="92"/>
  <c r="P56" i="92"/>
  <c r="X56" i="92" s="1"/>
  <c r="L56" i="92"/>
  <c r="N56" i="92" s="1"/>
  <c r="H56" i="92"/>
  <c r="F56" i="92"/>
  <c r="D56" i="92"/>
  <c r="B56" i="92"/>
  <c r="X55" i="92"/>
  <c r="Z55" i="92" s="1"/>
  <c r="R55" i="92"/>
  <c r="N55" i="92"/>
  <c r="L55" i="92"/>
  <c r="F55" i="92"/>
  <c r="B55" i="92"/>
  <c r="V54" i="92"/>
  <c r="T54" i="92"/>
  <c r="X54" i="92" s="1"/>
  <c r="Z54" i="92" s="1"/>
  <c r="R54" i="92"/>
  <c r="P54" i="92"/>
  <c r="N54" i="92"/>
  <c r="L54" i="92"/>
  <c r="H54" i="92"/>
  <c r="F54" i="92"/>
  <c r="D54" i="92"/>
  <c r="B54" i="92"/>
  <c r="X53" i="92"/>
  <c r="Z53" i="92" s="1"/>
  <c r="R53" i="92"/>
  <c r="L53" i="92"/>
  <c r="N53" i="92" s="1"/>
  <c r="B53" i="92"/>
  <c r="V52" i="92"/>
  <c r="T52" i="92"/>
  <c r="R52" i="92"/>
  <c r="P52" i="92"/>
  <c r="X52" i="92" s="1"/>
  <c r="Z52" i="92" s="1"/>
  <c r="H52" i="92"/>
  <c r="D52" i="92"/>
  <c r="L52" i="92" s="1"/>
  <c r="N52" i="92" s="1"/>
  <c r="B52" i="92"/>
  <c r="X51" i="92"/>
  <c r="Z51" i="92" s="1"/>
  <c r="R51" i="92"/>
  <c r="L51" i="92"/>
  <c r="N51" i="92" s="1"/>
  <c r="F51" i="92"/>
  <c r="B51" i="92"/>
  <c r="X50" i="92"/>
  <c r="Z50" i="92" s="1"/>
  <c r="T50" i="92"/>
  <c r="R50" i="92"/>
  <c r="P50" i="92"/>
  <c r="H50" i="92"/>
  <c r="F50" i="92"/>
  <c r="D50" i="92"/>
  <c r="L50" i="92" s="1"/>
  <c r="N50" i="92" s="1"/>
  <c r="B50" i="92"/>
  <c r="X49" i="92"/>
  <c r="Z49" i="92" s="1"/>
  <c r="R49" i="92"/>
  <c r="N49" i="92"/>
  <c r="L49" i="92"/>
  <c r="F49" i="92"/>
  <c r="B49" i="92"/>
  <c r="Z48" i="92"/>
  <c r="X48" i="92"/>
  <c r="T48" i="92"/>
  <c r="R48" i="92"/>
  <c r="P48" i="92"/>
  <c r="N48" i="92"/>
  <c r="H48" i="92"/>
  <c r="L48" i="92" s="1"/>
  <c r="F48" i="92"/>
  <c r="D48" i="92"/>
  <c r="B48" i="92"/>
  <c r="Z47" i="92"/>
  <c r="X47" i="92"/>
  <c r="R47" i="92"/>
  <c r="L47" i="92"/>
  <c r="N47" i="92" s="1"/>
  <c r="F47" i="92"/>
  <c r="B47" i="92"/>
  <c r="Z46" i="92"/>
  <c r="X46" i="92"/>
  <c r="R46" i="92"/>
  <c r="L46" i="92"/>
  <c r="N46" i="92" s="1"/>
  <c r="B46" i="92"/>
  <c r="X45" i="92"/>
  <c r="Z45" i="92" s="1"/>
  <c r="R45" i="92"/>
  <c r="L45" i="92"/>
  <c r="N45" i="92" s="1"/>
  <c r="B45" i="92"/>
  <c r="Z44" i="92"/>
  <c r="X44" i="92"/>
  <c r="V44" i="92"/>
  <c r="N44" i="92"/>
  <c r="L44" i="92"/>
  <c r="B44" i="92"/>
  <c r="T43" i="92"/>
  <c r="P43" i="92"/>
  <c r="X43" i="92" s="1"/>
  <c r="L43" i="92"/>
  <c r="H43" i="92"/>
  <c r="N43" i="92" s="1"/>
  <c r="D43" i="92"/>
  <c r="B43" i="92"/>
  <c r="X42" i="92"/>
  <c r="Z42" i="92" s="1"/>
  <c r="N42" i="92"/>
  <c r="L42" i="92"/>
  <c r="B42" i="92"/>
  <c r="T41" i="92"/>
  <c r="Z41" i="92" s="1"/>
  <c r="P41" i="92"/>
  <c r="X41" i="92" s="1"/>
  <c r="L41" i="92"/>
  <c r="H41" i="92"/>
  <c r="N41" i="92" s="1"/>
  <c r="D41" i="92"/>
  <c r="B41" i="92"/>
  <c r="Z40" i="92"/>
  <c r="X40" i="92"/>
  <c r="N40" i="92"/>
  <c r="L40" i="92"/>
  <c r="B40" i="92"/>
  <c r="Z39" i="92"/>
  <c r="X39" i="92"/>
  <c r="R39" i="92"/>
  <c r="N39" i="92"/>
  <c r="L39" i="92"/>
  <c r="F39" i="92"/>
  <c r="B39" i="92"/>
  <c r="Z38" i="92"/>
  <c r="X38" i="92"/>
  <c r="V38" i="92"/>
  <c r="R38" i="92"/>
  <c r="N38" i="92"/>
  <c r="L38" i="92"/>
  <c r="F38" i="92"/>
  <c r="B38" i="92"/>
  <c r="X37" i="92"/>
  <c r="Z37" i="92" s="1"/>
  <c r="R37" i="92"/>
  <c r="N37" i="92"/>
  <c r="L37" i="92"/>
  <c r="F37" i="92"/>
  <c r="B37" i="92"/>
  <c r="Z36" i="92"/>
  <c r="X36" i="92"/>
  <c r="N36" i="92"/>
  <c r="L36" i="92"/>
  <c r="B36" i="92"/>
  <c r="X35" i="92"/>
  <c r="Z35" i="92" s="1"/>
  <c r="R35" i="92"/>
  <c r="N35" i="92"/>
  <c r="L35" i="92"/>
  <c r="F35" i="92"/>
  <c r="B35" i="92"/>
  <c r="Z34" i="92"/>
  <c r="X34" i="92"/>
  <c r="V34" i="92"/>
  <c r="R34" i="92"/>
  <c r="N34" i="92"/>
  <c r="L34" i="92"/>
  <c r="F34" i="92"/>
  <c r="B34" i="92"/>
  <c r="Z33" i="92"/>
  <c r="X33" i="92"/>
  <c r="R33" i="92"/>
  <c r="N33" i="92"/>
  <c r="L33" i="92"/>
  <c r="F33" i="92"/>
  <c r="B33" i="92"/>
  <c r="X32" i="92"/>
  <c r="Z32" i="92" s="1"/>
  <c r="R32" i="92"/>
  <c r="N32" i="92"/>
  <c r="L32" i="92"/>
  <c r="J32" i="92"/>
  <c r="B32" i="92"/>
  <c r="X31" i="92"/>
  <c r="Z31" i="92" s="1"/>
  <c r="R31" i="92"/>
  <c r="N31" i="92"/>
  <c r="L31" i="92"/>
  <c r="F31" i="92"/>
  <c r="B31" i="92"/>
  <c r="V30" i="92"/>
  <c r="T30" i="92"/>
  <c r="X30" i="92" s="1"/>
  <c r="Z30" i="92" s="1"/>
  <c r="R30" i="92"/>
  <c r="P30" i="92"/>
  <c r="L30" i="92"/>
  <c r="N30" i="92" s="1"/>
  <c r="H30" i="92"/>
  <c r="F30" i="92"/>
  <c r="D30" i="92"/>
  <c r="B30" i="92"/>
  <c r="X29" i="92"/>
  <c r="Z29" i="92" s="1"/>
  <c r="R29" i="92"/>
  <c r="L29" i="92"/>
  <c r="N29" i="92" s="1"/>
  <c r="B29" i="92"/>
  <c r="Z28" i="92"/>
  <c r="X28" i="92"/>
  <c r="V28" i="92"/>
  <c r="N28" i="92"/>
  <c r="L28" i="92"/>
  <c r="B28" i="92"/>
  <c r="Z27" i="92"/>
  <c r="X27" i="92"/>
  <c r="R27" i="92"/>
  <c r="L27" i="92"/>
  <c r="N27" i="92" s="1"/>
  <c r="F27" i="92"/>
  <c r="B27" i="92"/>
  <c r="Z26" i="92"/>
  <c r="X26" i="92"/>
  <c r="R26" i="92"/>
  <c r="N26" i="92"/>
  <c r="L26" i="92"/>
  <c r="B26" i="92"/>
  <c r="Z25" i="92"/>
  <c r="X25" i="92"/>
  <c r="R25" i="92"/>
  <c r="N25" i="92"/>
  <c r="L25" i="92"/>
  <c r="B25" i="92"/>
  <c r="Z24" i="92"/>
  <c r="X24" i="92"/>
  <c r="V24" i="92"/>
  <c r="N24" i="92"/>
  <c r="L24" i="92"/>
  <c r="B24" i="92"/>
  <c r="Z23" i="92"/>
  <c r="X23" i="92"/>
  <c r="R23" i="92"/>
  <c r="L23" i="92"/>
  <c r="N23" i="92" s="1"/>
  <c r="F23" i="92"/>
  <c r="B23" i="92"/>
  <c r="Z22" i="92"/>
  <c r="X22" i="92"/>
  <c r="R22" i="92"/>
  <c r="L22" i="92"/>
  <c r="N22" i="92" s="1"/>
  <c r="B22" i="92"/>
  <c r="X21" i="92"/>
  <c r="Z21" i="92" s="1"/>
  <c r="R21" i="92"/>
  <c r="L21" i="92"/>
  <c r="N21" i="92" s="1"/>
  <c r="B21" i="92"/>
  <c r="Z20" i="92"/>
  <c r="X20" i="92"/>
  <c r="V20" i="92"/>
  <c r="N20" i="92"/>
  <c r="L20" i="92"/>
  <c r="B20" i="92"/>
  <c r="T19" i="92"/>
  <c r="Z19" i="92" s="1"/>
  <c r="P19" i="92"/>
  <c r="X19" i="92" s="1"/>
  <c r="L19" i="92"/>
  <c r="H19" i="92"/>
  <c r="N19" i="92" s="1"/>
  <c r="D19" i="92"/>
  <c r="B19" i="92"/>
  <c r="T18" i="92"/>
  <c r="R18" i="92"/>
  <c r="P18" i="92"/>
  <c r="X18" i="92" s="1"/>
  <c r="H18" i="92"/>
  <c r="N18" i="92" s="1"/>
  <c r="F18" i="92"/>
  <c r="D18" i="92"/>
  <c r="L18" i="92" s="1"/>
  <c r="R16" i="92"/>
  <c r="F16" i="92"/>
  <c r="X14" i="92"/>
  <c r="T14" i="92"/>
  <c r="Z14" i="92" s="1"/>
  <c r="R14" i="92"/>
  <c r="P14" i="92"/>
  <c r="P16" i="92" s="1"/>
  <c r="N14" i="92"/>
  <c r="H14" i="92"/>
  <c r="F14" i="92"/>
  <c r="D14" i="92"/>
  <c r="L14" i="92" s="1"/>
  <c r="T12" i="92"/>
  <c r="V86" i="92" s="1"/>
  <c r="P12" i="92"/>
  <c r="R82" i="92" s="1"/>
  <c r="H12" i="92"/>
  <c r="J42" i="92" s="1"/>
  <c r="D12" i="92"/>
  <c r="F92" i="92" s="1"/>
  <c r="D6" i="92"/>
  <c r="D4" i="92"/>
  <c r="X89" i="89"/>
  <c r="Z89" i="89" s="1"/>
  <c r="N89" i="89"/>
  <c r="L89" i="89"/>
  <c r="J89" i="89"/>
  <c r="Z85" i="89"/>
  <c r="V85" i="89"/>
  <c r="T85" i="89"/>
  <c r="P85" i="89"/>
  <c r="X85" i="89" s="1"/>
  <c r="L85" i="89"/>
  <c r="J85" i="89"/>
  <c r="H85" i="89"/>
  <c r="N85" i="89" s="1"/>
  <c r="D85" i="89"/>
  <c r="Z83" i="89"/>
  <c r="X83" i="89"/>
  <c r="V83" i="89"/>
  <c r="N83" i="89"/>
  <c r="L83" i="89"/>
  <c r="B83" i="89"/>
  <c r="T82" i="89"/>
  <c r="P82" i="89"/>
  <c r="N82" i="89"/>
  <c r="J82" i="89"/>
  <c r="H82" i="89"/>
  <c r="D82" i="89"/>
  <c r="L82" i="89" s="1"/>
  <c r="B82" i="89"/>
  <c r="Z81" i="89"/>
  <c r="X81" i="89"/>
  <c r="V81" i="89"/>
  <c r="N81" i="89"/>
  <c r="L81" i="89"/>
  <c r="J81" i="89"/>
  <c r="B81" i="89"/>
  <c r="T80" i="89"/>
  <c r="P80" i="89"/>
  <c r="X80" i="89" s="1"/>
  <c r="L80" i="89"/>
  <c r="H80" i="89"/>
  <c r="N80" i="89" s="1"/>
  <c r="D80" i="89"/>
  <c r="B80" i="89"/>
  <c r="Z79" i="89"/>
  <c r="X79" i="89"/>
  <c r="V79" i="89"/>
  <c r="N79" i="89"/>
  <c r="L79" i="89"/>
  <c r="J79" i="89"/>
  <c r="B79" i="89"/>
  <c r="Z78" i="89"/>
  <c r="X78" i="89"/>
  <c r="L78" i="89"/>
  <c r="N78" i="89" s="1"/>
  <c r="B78" i="89"/>
  <c r="T77" i="89"/>
  <c r="P77" i="89"/>
  <c r="X77" i="89" s="1"/>
  <c r="J77" i="89"/>
  <c r="H77" i="89"/>
  <c r="D77" i="89"/>
  <c r="L77" i="89" s="1"/>
  <c r="N77" i="89" s="1"/>
  <c r="B77" i="89"/>
  <c r="X76" i="89"/>
  <c r="Z76" i="89" s="1"/>
  <c r="V76" i="89"/>
  <c r="N76" i="89"/>
  <c r="L76" i="89"/>
  <c r="B76" i="89"/>
  <c r="Z75" i="89"/>
  <c r="X75" i="89"/>
  <c r="V75" i="89"/>
  <c r="N75" i="89"/>
  <c r="L75" i="89"/>
  <c r="B75" i="89"/>
  <c r="X74" i="89"/>
  <c r="Z74" i="89" s="1"/>
  <c r="R74" i="89"/>
  <c r="L74" i="89"/>
  <c r="N74" i="89" s="1"/>
  <c r="B74" i="89"/>
  <c r="Z73" i="89"/>
  <c r="X73" i="89"/>
  <c r="V73" i="89"/>
  <c r="N73" i="89"/>
  <c r="L73" i="89"/>
  <c r="J73" i="89"/>
  <c r="B73" i="89"/>
  <c r="X72" i="89"/>
  <c r="Z72" i="89" s="1"/>
  <c r="V72" i="89"/>
  <c r="N72" i="89"/>
  <c r="L72" i="89"/>
  <c r="B72" i="89"/>
  <c r="Z71" i="89"/>
  <c r="X71" i="89"/>
  <c r="V71" i="89"/>
  <c r="L71" i="89"/>
  <c r="N71" i="89" s="1"/>
  <c r="B71" i="89"/>
  <c r="X70" i="89"/>
  <c r="T70" i="89"/>
  <c r="P70" i="89"/>
  <c r="J70" i="89"/>
  <c r="H70" i="89"/>
  <c r="D70" i="89"/>
  <c r="L70" i="89" s="1"/>
  <c r="N70" i="89" s="1"/>
  <c r="B70" i="89"/>
  <c r="Z69" i="89"/>
  <c r="X69" i="89"/>
  <c r="V69" i="89"/>
  <c r="N69" i="89"/>
  <c r="L69" i="89"/>
  <c r="J69" i="89"/>
  <c r="B69" i="89"/>
  <c r="X68" i="89"/>
  <c r="Z68" i="89" s="1"/>
  <c r="L68" i="89"/>
  <c r="N68" i="89" s="1"/>
  <c r="B68" i="89"/>
  <c r="X67" i="89"/>
  <c r="Z67" i="89" s="1"/>
  <c r="N67" i="89"/>
  <c r="L67" i="89"/>
  <c r="J67" i="89"/>
  <c r="B67" i="89"/>
  <c r="X66" i="89"/>
  <c r="T66" i="89"/>
  <c r="Z66" i="89" s="1"/>
  <c r="P66" i="89"/>
  <c r="L66" i="89"/>
  <c r="H66" i="89"/>
  <c r="D66" i="89"/>
  <c r="B66" i="89"/>
  <c r="Z65" i="89"/>
  <c r="X65" i="89"/>
  <c r="V65" i="89"/>
  <c r="R65" i="89"/>
  <c r="N65" i="89"/>
  <c r="L65" i="89"/>
  <c r="J65" i="89"/>
  <c r="B65" i="89"/>
  <c r="Z64" i="89"/>
  <c r="X64" i="89"/>
  <c r="N64" i="89"/>
  <c r="L64" i="89"/>
  <c r="J64" i="89"/>
  <c r="B64" i="89"/>
  <c r="Z63" i="89"/>
  <c r="X63" i="89"/>
  <c r="V63" i="89"/>
  <c r="N63" i="89"/>
  <c r="L63" i="89"/>
  <c r="J63" i="89"/>
  <c r="B63" i="89"/>
  <c r="T62" i="89"/>
  <c r="P62" i="89"/>
  <c r="L62" i="89"/>
  <c r="H62" i="89"/>
  <c r="D62" i="89"/>
  <c r="B62" i="89"/>
  <c r="Z61" i="89"/>
  <c r="X61" i="89"/>
  <c r="V61" i="89"/>
  <c r="N61" i="89"/>
  <c r="L61" i="89"/>
  <c r="J61" i="89"/>
  <c r="B61" i="89"/>
  <c r="Z60" i="89"/>
  <c r="V60" i="89"/>
  <c r="T60" i="89"/>
  <c r="P60" i="89"/>
  <c r="X60" i="89" s="1"/>
  <c r="L60" i="89"/>
  <c r="H60" i="89"/>
  <c r="N60" i="89" s="1"/>
  <c r="D60" i="89"/>
  <c r="B60" i="89"/>
  <c r="Z59" i="89"/>
  <c r="X59" i="89"/>
  <c r="N59" i="89"/>
  <c r="L59" i="89"/>
  <c r="J59" i="89"/>
  <c r="B59" i="89"/>
  <c r="X58" i="89"/>
  <c r="T58" i="89"/>
  <c r="Z58" i="89" s="1"/>
  <c r="R58" i="89"/>
  <c r="P58" i="89"/>
  <c r="H58" i="89"/>
  <c r="N58" i="89" s="1"/>
  <c r="D58" i="89"/>
  <c r="L58" i="89" s="1"/>
  <c r="B58" i="89"/>
  <c r="Z57" i="89"/>
  <c r="X57" i="89"/>
  <c r="V57" i="89"/>
  <c r="R57" i="89"/>
  <c r="N57" i="89"/>
  <c r="L57" i="89"/>
  <c r="J57" i="89"/>
  <c r="B57" i="89"/>
  <c r="X56" i="89"/>
  <c r="T56" i="89"/>
  <c r="Z56" i="89" s="1"/>
  <c r="P56" i="89"/>
  <c r="N56" i="89"/>
  <c r="H56" i="89"/>
  <c r="D56" i="89"/>
  <c r="L56" i="89" s="1"/>
  <c r="B56" i="89"/>
  <c r="Z55" i="89"/>
  <c r="X55" i="89"/>
  <c r="V55" i="89"/>
  <c r="L55" i="89"/>
  <c r="N55" i="89" s="1"/>
  <c r="B55" i="89"/>
  <c r="X54" i="89"/>
  <c r="Z54" i="89" s="1"/>
  <c r="L54" i="89"/>
  <c r="N54" i="89" s="1"/>
  <c r="B54" i="89"/>
  <c r="X53" i="89"/>
  <c r="V53" i="89"/>
  <c r="T53" i="89"/>
  <c r="Z53" i="89" s="1"/>
  <c r="R53" i="89"/>
  <c r="P53" i="89"/>
  <c r="N53" i="89"/>
  <c r="J53" i="89"/>
  <c r="H53" i="89"/>
  <c r="D53" i="89"/>
  <c r="L53" i="89" s="1"/>
  <c r="B53" i="89"/>
  <c r="X52" i="89"/>
  <c r="Z52" i="89" s="1"/>
  <c r="L52" i="89"/>
  <c r="N52" i="89" s="1"/>
  <c r="B52" i="89"/>
  <c r="X51" i="89"/>
  <c r="Z51" i="89" s="1"/>
  <c r="T51" i="89"/>
  <c r="P51" i="89"/>
  <c r="N51" i="89"/>
  <c r="J51" i="89"/>
  <c r="H51" i="89"/>
  <c r="D51" i="89"/>
  <c r="L51" i="89" s="1"/>
  <c r="B51" i="89"/>
  <c r="Z50" i="89"/>
  <c r="X50" i="89"/>
  <c r="L50" i="89"/>
  <c r="N50" i="89" s="1"/>
  <c r="B50" i="89"/>
  <c r="T49" i="89"/>
  <c r="P49" i="89"/>
  <c r="J49" i="89"/>
  <c r="H49" i="89"/>
  <c r="D49" i="89"/>
  <c r="L49" i="89" s="1"/>
  <c r="N49" i="89" s="1"/>
  <c r="B49" i="89"/>
  <c r="X48" i="89"/>
  <c r="Z48" i="89" s="1"/>
  <c r="V48" i="89"/>
  <c r="L48" i="89"/>
  <c r="N48" i="89" s="1"/>
  <c r="B48" i="89"/>
  <c r="Z47" i="89"/>
  <c r="V47" i="89"/>
  <c r="T47" i="89"/>
  <c r="P47" i="89"/>
  <c r="X47" i="89" s="1"/>
  <c r="J47" i="89"/>
  <c r="H47" i="89"/>
  <c r="N47" i="89" s="1"/>
  <c r="D47" i="89"/>
  <c r="L47" i="89" s="1"/>
  <c r="B47" i="89"/>
  <c r="Z46" i="89"/>
  <c r="X46" i="89"/>
  <c r="N46" i="89"/>
  <c r="L46" i="89"/>
  <c r="B46" i="89"/>
  <c r="Z45" i="89"/>
  <c r="X45" i="89"/>
  <c r="V45" i="89"/>
  <c r="N45" i="89"/>
  <c r="L45" i="89"/>
  <c r="J45" i="89"/>
  <c r="B45" i="89"/>
  <c r="X44" i="89"/>
  <c r="Z44" i="89" s="1"/>
  <c r="R44" i="89"/>
  <c r="L44" i="89"/>
  <c r="N44" i="89" s="1"/>
  <c r="B44" i="89"/>
  <c r="Z43" i="89"/>
  <c r="X43" i="89"/>
  <c r="N43" i="89"/>
  <c r="L43" i="89"/>
  <c r="J43" i="89"/>
  <c r="B43" i="89"/>
  <c r="Z42" i="89"/>
  <c r="X42" i="89"/>
  <c r="N42" i="89"/>
  <c r="L42" i="89"/>
  <c r="B42" i="89"/>
  <c r="Z41" i="89"/>
  <c r="X41" i="89"/>
  <c r="V41" i="89"/>
  <c r="N41" i="89"/>
  <c r="L41" i="89"/>
  <c r="J41" i="89"/>
  <c r="B41" i="89"/>
  <c r="X40" i="89"/>
  <c r="Z40" i="89" s="1"/>
  <c r="R40" i="89"/>
  <c r="L40" i="89"/>
  <c r="N40" i="89" s="1"/>
  <c r="B40" i="89"/>
  <c r="Z39" i="89"/>
  <c r="X39" i="89"/>
  <c r="N39" i="89"/>
  <c r="L39" i="89"/>
  <c r="J39" i="89"/>
  <c r="B39" i="89"/>
  <c r="Z38" i="89"/>
  <c r="X38" i="89"/>
  <c r="N38" i="89"/>
  <c r="L38" i="89"/>
  <c r="B38" i="89"/>
  <c r="Z37" i="89"/>
  <c r="X37" i="89"/>
  <c r="V37" i="89"/>
  <c r="N37" i="89"/>
  <c r="L37" i="89"/>
  <c r="J37" i="89"/>
  <c r="B37" i="89"/>
  <c r="X36" i="89"/>
  <c r="T36" i="89"/>
  <c r="P36" i="89"/>
  <c r="L36" i="89"/>
  <c r="H36" i="89"/>
  <c r="N36" i="89" s="1"/>
  <c r="D36" i="89"/>
  <c r="B36" i="89"/>
  <c r="Z35" i="89"/>
  <c r="X35" i="89"/>
  <c r="V35" i="89"/>
  <c r="N35" i="89"/>
  <c r="L35" i="89"/>
  <c r="J35" i="89"/>
  <c r="B35" i="89"/>
  <c r="Z34" i="89"/>
  <c r="X34" i="89"/>
  <c r="R34" i="89"/>
  <c r="L34" i="89"/>
  <c r="N34" i="89" s="1"/>
  <c r="B34" i="89"/>
  <c r="Z33" i="89"/>
  <c r="X33" i="89"/>
  <c r="V33" i="89"/>
  <c r="R33" i="89"/>
  <c r="L33" i="89"/>
  <c r="N33" i="89" s="1"/>
  <c r="J33" i="89"/>
  <c r="B33" i="89"/>
  <c r="Z32" i="89"/>
  <c r="X32" i="89"/>
  <c r="N32" i="89"/>
  <c r="L32" i="89"/>
  <c r="J32" i="89"/>
  <c r="B32" i="89"/>
  <c r="Z31" i="89"/>
  <c r="X31" i="89"/>
  <c r="V31" i="89"/>
  <c r="N31" i="89"/>
  <c r="L31" i="89"/>
  <c r="J31" i="89"/>
  <c r="B31" i="89"/>
  <c r="Z30" i="89"/>
  <c r="X30" i="89"/>
  <c r="L30" i="89"/>
  <c r="N30" i="89" s="1"/>
  <c r="B30" i="89"/>
  <c r="Z29" i="89"/>
  <c r="X29" i="89"/>
  <c r="V29" i="89"/>
  <c r="N29" i="89"/>
  <c r="L29" i="89"/>
  <c r="J29" i="89"/>
  <c r="B29" i="89"/>
  <c r="X28" i="89"/>
  <c r="Z28" i="89" s="1"/>
  <c r="L28" i="89"/>
  <c r="N28" i="89" s="1"/>
  <c r="J28" i="89"/>
  <c r="B28" i="89"/>
  <c r="Z27" i="89"/>
  <c r="X27" i="89"/>
  <c r="V27" i="89"/>
  <c r="N27" i="89"/>
  <c r="L27" i="89"/>
  <c r="J27" i="89"/>
  <c r="B27" i="89"/>
  <c r="Z26" i="89"/>
  <c r="T26" i="89"/>
  <c r="P26" i="89"/>
  <c r="X26" i="89" s="1"/>
  <c r="H26" i="89"/>
  <c r="D26" i="89"/>
  <c r="L26" i="89" s="1"/>
  <c r="B26" i="89"/>
  <c r="T25" i="89"/>
  <c r="P25" i="89"/>
  <c r="X25" i="89" s="1"/>
  <c r="N25" i="89"/>
  <c r="H25" i="89"/>
  <c r="J25" i="89" s="1"/>
  <c r="D25" i="89"/>
  <c r="L25" i="89" s="1"/>
  <c r="J23" i="89"/>
  <c r="H23" i="89"/>
  <c r="Z21" i="89"/>
  <c r="X21" i="89"/>
  <c r="V21" i="89"/>
  <c r="N21" i="89"/>
  <c r="L21" i="89"/>
  <c r="J21" i="89"/>
  <c r="B21" i="89"/>
  <c r="Z20" i="89"/>
  <c r="X20" i="89"/>
  <c r="V20" i="89"/>
  <c r="N20" i="89"/>
  <c r="L20" i="89"/>
  <c r="J20" i="89"/>
  <c r="B20" i="89"/>
  <c r="Z19" i="89"/>
  <c r="X19" i="89"/>
  <c r="V19" i="89"/>
  <c r="L19" i="89"/>
  <c r="N19" i="89" s="1"/>
  <c r="B19" i="89"/>
  <c r="X18" i="89"/>
  <c r="T18" i="89"/>
  <c r="P18" i="89"/>
  <c r="L18" i="89"/>
  <c r="N18" i="89" s="1"/>
  <c r="J18" i="89"/>
  <c r="H18" i="89"/>
  <c r="D18" i="89"/>
  <c r="Z16" i="89"/>
  <c r="X16" i="89"/>
  <c r="P16" i="89"/>
  <c r="N16" i="89"/>
  <c r="D16" i="89"/>
  <c r="L16" i="89" s="1"/>
  <c r="B16" i="89"/>
  <c r="X15" i="89"/>
  <c r="Z15" i="89" s="1"/>
  <c r="P15" i="89"/>
  <c r="L15" i="89"/>
  <c r="N15" i="89" s="1"/>
  <c r="D15" i="89"/>
  <c r="B15" i="89"/>
  <c r="Z14" i="89"/>
  <c r="X14" i="89"/>
  <c r="P14" i="89"/>
  <c r="N14" i="89"/>
  <c r="D14" i="89"/>
  <c r="L14" i="89" s="1"/>
  <c r="B14" i="89"/>
  <c r="P13" i="89"/>
  <c r="X13" i="89" s="1"/>
  <c r="Z13" i="89" s="1"/>
  <c r="L13" i="89"/>
  <c r="N13" i="89" s="1"/>
  <c r="D13" i="89"/>
  <c r="B13" i="89"/>
  <c r="T12" i="89"/>
  <c r="V64" i="89" s="1"/>
  <c r="P12" i="89"/>
  <c r="R51" i="89" s="1"/>
  <c r="H12" i="89"/>
  <c r="J68" i="89" s="1"/>
  <c r="D12" i="89"/>
  <c r="D6" i="89"/>
  <c r="D4" i="89"/>
  <c r="X102" i="88"/>
  <c r="Z102" i="88" s="1"/>
  <c r="L102" i="88"/>
  <c r="N102" i="88" s="1"/>
  <c r="J102" i="88"/>
  <c r="X98" i="88"/>
  <c r="T98" i="88"/>
  <c r="Z98" i="88" s="1"/>
  <c r="P98" i="88"/>
  <c r="H98" i="88"/>
  <c r="N98" i="88" s="1"/>
  <c r="D98" i="88"/>
  <c r="X96" i="88"/>
  <c r="Z96" i="88" s="1"/>
  <c r="L96" i="88"/>
  <c r="N96" i="88" s="1"/>
  <c r="B96" i="88"/>
  <c r="Z95" i="88"/>
  <c r="X95" i="88"/>
  <c r="T95" i="88"/>
  <c r="P95" i="88"/>
  <c r="H95" i="88"/>
  <c r="D95" i="88"/>
  <c r="L95" i="88" s="1"/>
  <c r="N95" i="88" s="1"/>
  <c r="B95" i="88"/>
  <c r="Z94" i="88"/>
  <c r="X94" i="88"/>
  <c r="N94" i="88"/>
  <c r="L94" i="88"/>
  <c r="B94" i="88"/>
  <c r="T93" i="88"/>
  <c r="X93" i="88" s="1"/>
  <c r="P93" i="88"/>
  <c r="N93" i="88"/>
  <c r="J93" i="88"/>
  <c r="H93" i="88"/>
  <c r="L93" i="88" s="1"/>
  <c r="D93" i="88"/>
  <c r="B93" i="88"/>
  <c r="X92" i="88"/>
  <c r="Z92" i="88" s="1"/>
  <c r="N92" i="88"/>
  <c r="L92" i="88"/>
  <c r="B92" i="88"/>
  <c r="Z91" i="88"/>
  <c r="T91" i="88"/>
  <c r="P91" i="88"/>
  <c r="X91" i="88" s="1"/>
  <c r="H91" i="88"/>
  <c r="N91" i="88" s="1"/>
  <c r="D91" i="88"/>
  <c r="L91" i="88" s="1"/>
  <c r="B91" i="88"/>
  <c r="X90" i="88"/>
  <c r="Z90" i="88" s="1"/>
  <c r="N90" i="88"/>
  <c r="L90" i="88"/>
  <c r="B90" i="88"/>
  <c r="Z89" i="88"/>
  <c r="T89" i="88"/>
  <c r="P89" i="88"/>
  <c r="X89" i="88" s="1"/>
  <c r="L89" i="88"/>
  <c r="N89" i="88" s="1"/>
  <c r="H89" i="88"/>
  <c r="D89" i="88"/>
  <c r="B89" i="88"/>
  <c r="Z88" i="88"/>
  <c r="X88" i="88"/>
  <c r="N88" i="88"/>
  <c r="L88" i="88"/>
  <c r="B88" i="88"/>
  <c r="Z87" i="88"/>
  <c r="X87" i="88"/>
  <c r="N87" i="88"/>
  <c r="L87" i="88"/>
  <c r="J87" i="88"/>
  <c r="B87" i="88"/>
  <c r="Z86" i="88"/>
  <c r="X86" i="88"/>
  <c r="N86" i="88"/>
  <c r="L86" i="88"/>
  <c r="B86" i="88"/>
  <c r="Z85" i="88"/>
  <c r="X85" i="88"/>
  <c r="L85" i="88"/>
  <c r="N85" i="88" s="1"/>
  <c r="B85" i="88"/>
  <c r="X84" i="88"/>
  <c r="Z84" i="88" s="1"/>
  <c r="L84" i="88"/>
  <c r="N84" i="88" s="1"/>
  <c r="J84" i="88"/>
  <c r="B84" i="88"/>
  <c r="Z83" i="88"/>
  <c r="X83" i="88"/>
  <c r="N83" i="88"/>
  <c r="L83" i="88"/>
  <c r="B83" i="88"/>
  <c r="Z82" i="88"/>
  <c r="X82" i="88"/>
  <c r="L82" i="88"/>
  <c r="N82" i="88" s="1"/>
  <c r="B82" i="88"/>
  <c r="Z81" i="88"/>
  <c r="X81" i="88"/>
  <c r="N81" i="88"/>
  <c r="L81" i="88"/>
  <c r="J81" i="88"/>
  <c r="B81" i="88"/>
  <c r="X80" i="88"/>
  <c r="Z80" i="88" s="1"/>
  <c r="L80" i="88"/>
  <c r="N80" i="88" s="1"/>
  <c r="J80" i="88"/>
  <c r="B80" i="88"/>
  <c r="Z79" i="88"/>
  <c r="T79" i="88"/>
  <c r="X79" i="88" s="1"/>
  <c r="P79" i="88"/>
  <c r="N79" i="88"/>
  <c r="H79" i="88"/>
  <c r="L79" i="88" s="1"/>
  <c r="D79" i="88"/>
  <c r="B79" i="88"/>
  <c r="Z78" i="88"/>
  <c r="X78" i="88"/>
  <c r="R78" i="88"/>
  <c r="N78" i="88"/>
  <c r="L78" i="88"/>
  <c r="B78" i="88"/>
  <c r="Z77" i="88"/>
  <c r="X77" i="88"/>
  <c r="N77" i="88"/>
  <c r="L77" i="88"/>
  <c r="J77" i="88"/>
  <c r="B77" i="88"/>
  <c r="Z76" i="88"/>
  <c r="T76" i="88"/>
  <c r="P76" i="88"/>
  <c r="X76" i="88" s="1"/>
  <c r="L76" i="88"/>
  <c r="H76" i="88"/>
  <c r="N76" i="88" s="1"/>
  <c r="D76" i="88"/>
  <c r="B76" i="88"/>
  <c r="X75" i="88"/>
  <c r="Z75" i="88" s="1"/>
  <c r="N75" i="88"/>
  <c r="L75" i="88"/>
  <c r="J75" i="88"/>
  <c r="B75" i="88"/>
  <c r="X74" i="88"/>
  <c r="Z74" i="88" s="1"/>
  <c r="N74" i="88"/>
  <c r="L74" i="88"/>
  <c r="B74" i="88"/>
  <c r="Z73" i="88"/>
  <c r="X73" i="88"/>
  <c r="N73" i="88"/>
  <c r="L73" i="88"/>
  <c r="B73" i="88"/>
  <c r="X72" i="88"/>
  <c r="T72" i="88"/>
  <c r="P72" i="88"/>
  <c r="H72" i="88"/>
  <c r="D72" i="88"/>
  <c r="B72" i="88"/>
  <c r="Z71" i="88"/>
  <c r="X71" i="88"/>
  <c r="N71" i="88"/>
  <c r="L71" i="88"/>
  <c r="B71" i="88"/>
  <c r="T70" i="88"/>
  <c r="Z70" i="88" s="1"/>
  <c r="P70" i="88"/>
  <c r="X70" i="88" s="1"/>
  <c r="L70" i="88"/>
  <c r="H70" i="88"/>
  <c r="D70" i="88"/>
  <c r="B70" i="88"/>
  <c r="X69" i="88"/>
  <c r="Z69" i="88" s="1"/>
  <c r="N69" i="88"/>
  <c r="L69" i="88"/>
  <c r="J69" i="88"/>
  <c r="B69" i="88"/>
  <c r="X68" i="88"/>
  <c r="Z68" i="88" s="1"/>
  <c r="L68" i="88"/>
  <c r="N68" i="88" s="1"/>
  <c r="B68" i="88"/>
  <c r="Z67" i="88"/>
  <c r="X67" i="88"/>
  <c r="N67" i="88"/>
  <c r="L67" i="88"/>
  <c r="B67" i="88"/>
  <c r="T66" i="88"/>
  <c r="P66" i="88"/>
  <c r="X66" i="88" s="1"/>
  <c r="L66" i="88"/>
  <c r="N66" i="88" s="1"/>
  <c r="J66" i="88"/>
  <c r="H66" i="88"/>
  <c r="D66" i="88"/>
  <c r="B66" i="88"/>
  <c r="Z65" i="88"/>
  <c r="X65" i="88"/>
  <c r="N65" i="88"/>
  <c r="L65" i="88"/>
  <c r="J65" i="88"/>
  <c r="B65" i="88"/>
  <c r="X64" i="88"/>
  <c r="T64" i="88"/>
  <c r="P64" i="88"/>
  <c r="H64" i="88"/>
  <c r="D64" i="88"/>
  <c r="B64" i="88"/>
  <c r="Z63" i="88"/>
  <c r="X63" i="88"/>
  <c r="N63" i="88"/>
  <c r="L63" i="88"/>
  <c r="J63" i="88"/>
  <c r="B63" i="88"/>
  <c r="T62" i="88"/>
  <c r="P62" i="88"/>
  <c r="H62" i="88"/>
  <c r="D62" i="88"/>
  <c r="L62" i="88" s="1"/>
  <c r="B62" i="88"/>
  <c r="X61" i="88"/>
  <c r="Z61" i="88" s="1"/>
  <c r="N61" i="88"/>
  <c r="L61" i="88"/>
  <c r="B61" i="88"/>
  <c r="X60" i="88"/>
  <c r="Z60" i="88" s="1"/>
  <c r="T60" i="88"/>
  <c r="P60" i="88"/>
  <c r="H60" i="88"/>
  <c r="D60" i="88"/>
  <c r="L60" i="88" s="1"/>
  <c r="B60" i="88"/>
  <c r="Z59" i="88"/>
  <c r="X59" i="88"/>
  <c r="N59" i="88"/>
  <c r="L59" i="88"/>
  <c r="J59" i="88"/>
  <c r="B59" i="88"/>
  <c r="T58" i="88"/>
  <c r="P58" i="88"/>
  <c r="H58" i="88"/>
  <c r="D58" i="88"/>
  <c r="L58" i="88" s="1"/>
  <c r="B58" i="88"/>
  <c r="Z57" i="88"/>
  <c r="X57" i="88"/>
  <c r="N57" i="88"/>
  <c r="L57" i="88"/>
  <c r="J57" i="88"/>
  <c r="B57" i="88"/>
  <c r="T56" i="88"/>
  <c r="P56" i="88"/>
  <c r="X56" i="88" s="1"/>
  <c r="N56" i="88"/>
  <c r="H56" i="88"/>
  <c r="D56" i="88"/>
  <c r="L56" i="88" s="1"/>
  <c r="B56" i="88"/>
  <c r="Z55" i="88"/>
  <c r="X55" i="88"/>
  <c r="L55" i="88"/>
  <c r="N55" i="88" s="1"/>
  <c r="B55" i="88"/>
  <c r="X54" i="88"/>
  <c r="Z54" i="88" s="1"/>
  <c r="R54" i="88"/>
  <c r="L54" i="88"/>
  <c r="N54" i="88" s="1"/>
  <c r="B54" i="88"/>
  <c r="X53" i="88"/>
  <c r="Z53" i="88" s="1"/>
  <c r="N53" i="88"/>
  <c r="L53" i="88"/>
  <c r="J53" i="88"/>
  <c r="B53" i="88"/>
  <c r="X52" i="88"/>
  <c r="Z52" i="88" s="1"/>
  <c r="T52" i="88"/>
  <c r="P52" i="88"/>
  <c r="H52" i="88"/>
  <c r="D52" i="88"/>
  <c r="L52" i="88" s="1"/>
  <c r="B52" i="88"/>
  <c r="Z51" i="88"/>
  <c r="X51" i="88"/>
  <c r="N51" i="88"/>
  <c r="L51" i="88"/>
  <c r="J51" i="88"/>
  <c r="B51" i="88"/>
  <c r="X50" i="88"/>
  <c r="T50" i="88"/>
  <c r="Z50" i="88" s="1"/>
  <c r="P50" i="88"/>
  <c r="L50" i="88"/>
  <c r="H50" i="88"/>
  <c r="N50" i="88" s="1"/>
  <c r="D50" i="88"/>
  <c r="B50" i="88"/>
  <c r="Z49" i="88"/>
  <c r="X49" i="88"/>
  <c r="N49" i="88"/>
  <c r="L49" i="88"/>
  <c r="B49" i="88"/>
  <c r="X48" i="88"/>
  <c r="T48" i="88"/>
  <c r="P48" i="88"/>
  <c r="H48" i="88"/>
  <c r="N48" i="88" s="1"/>
  <c r="D48" i="88"/>
  <c r="L48" i="88" s="1"/>
  <c r="B48" i="88"/>
  <c r="Z47" i="88"/>
  <c r="X47" i="88"/>
  <c r="L47" i="88"/>
  <c r="N47" i="88" s="1"/>
  <c r="B47" i="88"/>
  <c r="X46" i="88"/>
  <c r="T46" i="88"/>
  <c r="P46" i="88"/>
  <c r="J46" i="88"/>
  <c r="H46" i="88"/>
  <c r="D46" i="88"/>
  <c r="L46" i="88" s="1"/>
  <c r="N46" i="88" s="1"/>
  <c r="B46" i="88"/>
  <c r="Z45" i="88"/>
  <c r="X45" i="88"/>
  <c r="N45" i="88"/>
  <c r="L45" i="88"/>
  <c r="B45" i="88"/>
  <c r="Z44" i="88"/>
  <c r="X44" i="88"/>
  <c r="N44" i="88"/>
  <c r="L44" i="88"/>
  <c r="B44" i="88"/>
  <c r="Z43" i="88"/>
  <c r="X43" i="88"/>
  <c r="N43" i="88"/>
  <c r="L43" i="88"/>
  <c r="J43" i="88"/>
  <c r="B43" i="88"/>
  <c r="X42" i="88"/>
  <c r="Z42" i="88" s="1"/>
  <c r="R42" i="88"/>
  <c r="N42" i="88"/>
  <c r="L42" i="88"/>
  <c r="B42" i="88"/>
  <c r="Z41" i="88"/>
  <c r="X41" i="88"/>
  <c r="N41" i="88"/>
  <c r="L41" i="88"/>
  <c r="J41" i="88"/>
  <c r="B41" i="88"/>
  <c r="Z40" i="88"/>
  <c r="X40" i="88"/>
  <c r="N40" i="88"/>
  <c r="L40" i="88"/>
  <c r="B40" i="88"/>
  <c r="Z39" i="88"/>
  <c r="X39" i="88"/>
  <c r="N39" i="88"/>
  <c r="L39" i="88"/>
  <c r="J39" i="88"/>
  <c r="B39" i="88"/>
  <c r="Z38" i="88"/>
  <c r="X38" i="88"/>
  <c r="N38" i="88"/>
  <c r="L38" i="88"/>
  <c r="B38" i="88"/>
  <c r="Z37" i="88"/>
  <c r="X37" i="88"/>
  <c r="N37" i="88"/>
  <c r="L37" i="88"/>
  <c r="J37" i="88"/>
  <c r="B37" i="88"/>
  <c r="Z36" i="88"/>
  <c r="X36" i="88"/>
  <c r="N36" i="88"/>
  <c r="L36" i="88"/>
  <c r="B36" i="88"/>
  <c r="X35" i="88"/>
  <c r="Z35" i="88" s="1"/>
  <c r="T35" i="88"/>
  <c r="P35" i="88"/>
  <c r="N35" i="88"/>
  <c r="J35" i="88"/>
  <c r="H35" i="88"/>
  <c r="D35" i="88"/>
  <c r="L35" i="88" s="1"/>
  <c r="B35" i="88"/>
  <c r="Z34" i="88"/>
  <c r="X34" i="88"/>
  <c r="R34" i="88"/>
  <c r="N34" i="88"/>
  <c r="L34" i="88"/>
  <c r="B34" i="88"/>
  <c r="Z33" i="88"/>
  <c r="X33" i="88"/>
  <c r="N33" i="88"/>
  <c r="L33" i="88"/>
  <c r="J33" i="88"/>
  <c r="B33" i="88"/>
  <c r="X32" i="88"/>
  <c r="Z32" i="88" s="1"/>
  <c r="L32" i="88"/>
  <c r="N32" i="88" s="1"/>
  <c r="J32" i="88"/>
  <c r="B32" i="88"/>
  <c r="Z31" i="88"/>
  <c r="X31" i="88"/>
  <c r="N31" i="88"/>
  <c r="L31" i="88"/>
  <c r="J31" i="88"/>
  <c r="B31" i="88"/>
  <c r="Z30" i="88"/>
  <c r="X30" i="88"/>
  <c r="L30" i="88"/>
  <c r="N30" i="88" s="1"/>
  <c r="B30" i="88"/>
  <c r="Z29" i="88"/>
  <c r="X29" i="88"/>
  <c r="N29" i="88"/>
  <c r="L29" i="88"/>
  <c r="J29" i="88"/>
  <c r="B29" i="88"/>
  <c r="X28" i="88"/>
  <c r="Z28" i="88" s="1"/>
  <c r="L28" i="88"/>
  <c r="N28" i="88" s="1"/>
  <c r="B28" i="88"/>
  <c r="Z27" i="88"/>
  <c r="X27" i="88"/>
  <c r="N27" i="88"/>
  <c r="L27" i="88"/>
  <c r="J27" i="88"/>
  <c r="B27" i="88"/>
  <c r="Z26" i="88"/>
  <c r="X26" i="88"/>
  <c r="L26" i="88"/>
  <c r="N26" i="88" s="1"/>
  <c r="B26" i="88"/>
  <c r="T25" i="88"/>
  <c r="P25" i="88"/>
  <c r="N25" i="88"/>
  <c r="H25" i="88"/>
  <c r="L25" i="88" s="1"/>
  <c r="D25" i="88"/>
  <c r="B25" i="88"/>
  <c r="T24" i="88"/>
  <c r="P24" i="88"/>
  <c r="X24" i="88" s="1"/>
  <c r="Z24" i="88" s="1"/>
  <c r="H24" i="88"/>
  <c r="J24" i="88" s="1"/>
  <c r="D24" i="88"/>
  <c r="L24" i="88" s="1"/>
  <c r="H22" i="88"/>
  <c r="Z20" i="88"/>
  <c r="X20" i="88"/>
  <c r="N20" i="88"/>
  <c r="L20" i="88"/>
  <c r="J20" i="88"/>
  <c r="B20" i="88"/>
  <c r="Z19" i="88"/>
  <c r="X19" i="88"/>
  <c r="N19" i="88"/>
  <c r="L19" i="88"/>
  <c r="J19" i="88"/>
  <c r="B19" i="88"/>
  <c r="X18" i="88"/>
  <c r="Z18" i="88" s="1"/>
  <c r="L18" i="88"/>
  <c r="N18" i="88" s="1"/>
  <c r="J18" i="88"/>
  <c r="B18" i="88"/>
  <c r="T17" i="88"/>
  <c r="P17" i="88"/>
  <c r="J17" i="88"/>
  <c r="H17" i="88"/>
  <c r="N17" i="88" s="1"/>
  <c r="D17" i="88"/>
  <c r="L17" i="88" s="1"/>
  <c r="Z15" i="88"/>
  <c r="P15" i="88"/>
  <c r="X15" i="88" s="1"/>
  <c r="N15" i="88"/>
  <c r="L15" i="88"/>
  <c r="D15" i="88"/>
  <c r="B15" i="88"/>
  <c r="Z14" i="88"/>
  <c r="P14" i="88"/>
  <c r="X14" i="88" s="1"/>
  <c r="N14" i="88"/>
  <c r="D14" i="88"/>
  <c r="D12" i="88" s="1"/>
  <c r="B14" i="88"/>
  <c r="P13" i="88"/>
  <c r="X13" i="88" s="1"/>
  <c r="Z13" i="88" s="1"/>
  <c r="N13" i="88"/>
  <c r="L13" i="88"/>
  <c r="D13" i="88"/>
  <c r="B13" i="88"/>
  <c r="T12" i="88"/>
  <c r="V61" i="88" s="1"/>
  <c r="P12" i="88"/>
  <c r="R49" i="88" s="1"/>
  <c r="H12" i="88"/>
  <c r="D6" i="88"/>
  <c r="D4" i="88"/>
  <c r="R29" i="87"/>
  <c r="J29" i="87"/>
  <c r="F29" i="87"/>
  <c r="R26" i="87"/>
  <c r="J26" i="87"/>
  <c r="F26" i="87"/>
  <c r="Z24" i="87"/>
  <c r="X24" i="87"/>
  <c r="V24" i="87"/>
  <c r="R24" i="87"/>
  <c r="N24" i="87"/>
  <c r="L24" i="87"/>
  <c r="F24" i="87"/>
  <c r="V22" i="87"/>
  <c r="J22" i="87"/>
  <c r="V20" i="87"/>
  <c r="T20" i="87"/>
  <c r="Z20" i="87" s="1"/>
  <c r="P20" i="87"/>
  <c r="X20" i="87" s="1"/>
  <c r="N20" i="87"/>
  <c r="H20" i="87"/>
  <c r="D20" i="87"/>
  <c r="L20" i="87" s="1"/>
  <c r="T18" i="87"/>
  <c r="Z18" i="87" s="1"/>
  <c r="P18" i="87"/>
  <c r="X18" i="87" s="1"/>
  <c r="N18" i="87"/>
  <c r="L18" i="87"/>
  <c r="J18" i="87"/>
  <c r="H18" i="87"/>
  <c r="D18" i="87"/>
  <c r="J16" i="87"/>
  <c r="H16" i="87"/>
  <c r="D16" i="87"/>
  <c r="T14" i="87"/>
  <c r="Z14" i="87" s="1"/>
  <c r="P14" i="87"/>
  <c r="P16" i="87" s="1"/>
  <c r="J14" i="87"/>
  <c r="H14" i="87"/>
  <c r="N14" i="87" s="1"/>
  <c r="D14" i="87"/>
  <c r="L14" i="87" s="1"/>
  <c r="Z12" i="87"/>
  <c r="X12" i="87"/>
  <c r="T12" i="87"/>
  <c r="V14" i="87" s="1"/>
  <c r="P12" i="87"/>
  <c r="L12" i="87"/>
  <c r="H12" i="87"/>
  <c r="J24" i="87" s="1"/>
  <c r="D12" i="87"/>
  <c r="D6" i="87"/>
  <c r="D4" i="87"/>
  <c r="Z34" i="86"/>
  <c r="X34" i="86"/>
  <c r="V34" i="86"/>
  <c r="R34" i="86"/>
  <c r="N34" i="86"/>
  <c r="L34" i="86"/>
  <c r="T30" i="86"/>
  <c r="Z30" i="86" s="1"/>
  <c r="P30" i="86"/>
  <c r="X30" i="86" s="1"/>
  <c r="N30" i="86"/>
  <c r="L30" i="86"/>
  <c r="H30" i="86"/>
  <c r="D30" i="86"/>
  <c r="Z28" i="86"/>
  <c r="X28" i="86"/>
  <c r="N28" i="86"/>
  <c r="L28" i="86"/>
  <c r="J28" i="86"/>
  <c r="B28" i="86"/>
  <c r="T27" i="86"/>
  <c r="X27" i="86" s="1"/>
  <c r="P27" i="86"/>
  <c r="H27" i="86"/>
  <c r="N27" i="86" s="1"/>
  <c r="D27" i="86"/>
  <c r="L27" i="86" s="1"/>
  <c r="B27" i="86"/>
  <c r="Z26" i="86"/>
  <c r="X26" i="86"/>
  <c r="N26" i="86"/>
  <c r="L26" i="86"/>
  <c r="B26" i="86"/>
  <c r="Z25" i="86"/>
  <c r="X25" i="86"/>
  <c r="T25" i="86"/>
  <c r="P25" i="86"/>
  <c r="H25" i="86"/>
  <c r="N25" i="86" s="1"/>
  <c r="D25" i="86"/>
  <c r="L25" i="86" s="1"/>
  <c r="B25" i="86"/>
  <c r="Z24" i="86"/>
  <c r="X24" i="86"/>
  <c r="N24" i="86"/>
  <c r="L24" i="86"/>
  <c r="B24" i="86"/>
  <c r="X23" i="86"/>
  <c r="V23" i="86"/>
  <c r="T23" i="86"/>
  <c r="P23" i="86"/>
  <c r="H23" i="86"/>
  <c r="D23" i="86"/>
  <c r="L23" i="86" s="1"/>
  <c r="N23" i="86" s="1"/>
  <c r="B23" i="86"/>
  <c r="X22" i="86"/>
  <c r="Z22" i="86" s="1"/>
  <c r="T22" i="86"/>
  <c r="P22" i="86"/>
  <c r="H22" i="86"/>
  <c r="D22" i="86"/>
  <c r="Z18" i="86"/>
  <c r="X18" i="86"/>
  <c r="N18" i="86"/>
  <c r="L18" i="86"/>
  <c r="B18" i="86"/>
  <c r="Z17" i="86"/>
  <c r="X17" i="86"/>
  <c r="R17" i="86"/>
  <c r="N17" i="86"/>
  <c r="L17" i="86"/>
  <c r="B17" i="86"/>
  <c r="T16" i="86"/>
  <c r="P16" i="86"/>
  <c r="X16" i="86" s="1"/>
  <c r="L16" i="86"/>
  <c r="N16" i="86" s="1"/>
  <c r="H16" i="86"/>
  <c r="D16" i="86"/>
  <c r="Z14" i="86"/>
  <c r="P14" i="86"/>
  <c r="X14" i="86" s="1"/>
  <c r="N14" i="86"/>
  <c r="D14" i="86"/>
  <c r="L14" i="86" s="1"/>
  <c r="B14" i="86"/>
  <c r="Z13" i="86"/>
  <c r="X13" i="86"/>
  <c r="P13" i="86"/>
  <c r="L13" i="86"/>
  <c r="N13" i="86" s="1"/>
  <c r="D13" i="86"/>
  <c r="D12" i="86" s="1"/>
  <c r="B13" i="86"/>
  <c r="X12" i="86"/>
  <c r="T12" i="86"/>
  <c r="V24" i="86" s="1"/>
  <c r="P12" i="86"/>
  <c r="H12" i="86"/>
  <c r="J34" i="86" s="1"/>
  <c r="D6" i="86"/>
  <c r="D4" i="86"/>
  <c r="Z131" i="85"/>
  <c r="X131" i="85"/>
  <c r="L131" i="85"/>
  <c r="N131" i="85" s="1"/>
  <c r="T127" i="85"/>
  <c r="Z127" i="85" s="1"/>
  <c r="P127" i="85"/>
  <c r="H127" i="85"/>
  <c r="N127" i="85" s="1"/>
  <c r="D127" i="85"/>
  <c r="L127" i="85" s="1"/>
  <c r="Z125" i="85"/>
  <c r="X125" i="85"/>
  <c r="N125" i="85"/>
  <c r="L125" i="85"/>
  <c r="B125" i="85"/>
  <c r="X124" i="85"/>
  <c r="T124" i="85"/>
  <c r="P124" i="85"/>
  <c r="H124" i="85"/>
  <c r="D124" i="85"/>
  <c r="L124" i="85" s="1"/>
  <c r="N124" i="85" s="1"/>
  <c r="B124" i="85"/>
  <c r="Z123" i="85"/>
  <c r="X123" i="85"/>
  <c r="L123" i="85"/>
  <c r="N123" i="85" s="1"/>
  <c r="B123" i="85"/>
  <c r="T122" i="85"/>
  <c r="P122" i="85"/>
  <c r="H122" i="85"/>
  <c r="L122" i="85" s="1"/>
  <c r="D122" i="85"/>
  <c r="B122" i="85"/>
  <c r="X121" i="85"/>
  <c r="Z121" i="85" s="1"/>
  <c r="N121" i="85"/>
  <c r="L121" i="85"/>
  <c r="B121" i="85"/>
  <c r="T120" i="85"/>
  <c r="P120" i="85"/>
  <c r="X120" i="85" s="1"/>
  <c r="N120" i="85"/>
  <c r="L120" i="85"/>
  <c r="H120" i="85"/>
  <c r="D120" i="85"/>
  <c r="B120" i="85"/>
  <c r="Z119" i="85"/>
  <c r="X119" i="85"/>
  <c r="N119" i="85"/>
  <c r="L119" i="85"/>
  <c r="B119" i="85"/>
  <c r="Z118" i="85"/>
  <c r="X118" i="85"/>
  <c r="N118" i="85"/>
  <c r="L118" i="85"/>
  <c r="B118" i="85"/>
  <c r="T117" i="85"/>
  <c r="P117" i="85"/>
  <c r="L117" i="85"/>
  <c r="H117" i="85"/>
  <c r="D117" i="85"/>
  <c r="B117" i="85"/>
  <c r="X116" i="85"/>
  <c r="Z116" i="85" s="1"/>
  <c r="N116" i="85"/>
  <c r="L116" i="85"/>
  <c r="B116" i="85"/>
  <c r="X115" i="85"/>
  <c r="Z115" i="85" s="1"/>
  <c r="L115" i="85"/>
  <c r="N115" i="85" s="1"/>
  <c r="B115" i="85"/>
  <c r="Z114" i="85"/>
  <c r="X114" i="85"/>
  <c r="N114" i="85"/>
  <c r="L114" i="85"/>
  <c r="B114" i="85"/>
  <c r="Z113" i="85"/>
  <c r="X113" i="85"/>
  <c r="L113" i="85"/>
  <c r="N113" i="85" s="1"/>
  <c r="B113" i="85"/>
  <c r="X112" i="85"/>
  <c r="Z112" i="85" s="1"/>
  <c r="L112" i="85"/>
  <c r="N112" i="85" s="1"/>
  <c r="B112" i="85"/>
  <c r="Z111" i="85"/>
  <c r="X111" i="85"/>
  <c r="V111" i="85"/>
  <c r="L111" i="85"/>
  <c r="N111" i="85" s="1"/>
  <c r="B111" i="85"/>
  <c r="T110" i="85"/>
  <c r="P110" i="85"/>
  <c r="H110" i="85"/>
  <c r="L110" i="85" s="1"/>
  <c r="D110" i="85"/>
  <c r="B110" i="85"/>
  <c r="X109" i="85"/>
  <c r="Z109" i="85" s="1"/>
  <c r="N109" i="85"/>
  <c r="L109" i="85"/>
  <c r="B109" i="85"/>
  <c r="X108" i="85"/>
  <c r="Z108" i="85" s="1"/>
  <c r="V108" i="85"/>
  <c r="N108" i="85"/>
  <c r="L108" i="85"/>
  <c r="B108" i="85"/>
  <c r="T107" i="85"/>
  <c r="P107" i="85"/>
  <c r="X107" i="85" s="1"/>
  <c r="Z107" i="85" s="1"/>
  <c r="L107" i="85"/>
  <c r="H107" i="85"/>
  <c r="D107" i="85"/>
  <c r="B107" i="85"/>
  <c r="Z106" i="85"/>
  <c r="X106" i="85"/>
  <c r="N106" i="85"/>
  <c r="L106" i="85"/>
  <c r="B106" i="85"/>
  <c r="Z105" i="85"/>
  <c r="X105" i="85"/>
  <c r="N105" i="85"/>
  <c r="L105" i="85"/>
  <c r="B105" i="85"/>
  <c r="X104" i="85"/>
  <c r="Z104" i="85" s="1"/>
  <c r="L104" i="85"/>
  <c r="N104" i="85" s="1"/>
  <c r="B104" i="85"/>
  <c r="X103" i="85"/>
  <c r="T103" i="85"/>
  <c r="P103" i="85"/>
  <c r="N103" i="85"/>
  <c r="H103" i="85"/>
  <c r="L103" i="85" s="1"/>
  <c r="D103" i="85"/>
  <c r="B103" i="85"/>
  <c r="Z102" i="85"/>
  <c r="X102" i="85"/>
  <c r="N102" i="85"/>
  <c r="L102" i="85"/>
  <c r="B102" i="85"/>
  <c r="Z101" i="85"/>
  <c r="X101" i="85"/>
  <c r="N101" i="85"/>
  <c r="L101" i="85"/>
  <c r="B101" i="85"/>
  <c r="T100" i="85"/>
  <c r="X100" i="85" s="1"/>
  <c r="P100" i="85"/>
  <c r="N100" i="85"/>
  <c r="L100" i="85"/>
  <c r="H100" i="85"/>
  <c r="D100" i="85"/>
  <c r="B100" i="85"/>
  <c r="X99" i="85"/>
  <c r="Z99" i="85" s="1"/>
  <c r="L99" i="85"/>
  <c r="N99" i="85" s="1"/>
  <c r="B99" i="85"/>
  <c r="Z98" i="85"/>
  <c r="X98" i="85"/>
  <c r="T98" i="85"/>
  <c r="P98" i="85"/>
  <c r="H98" i="85"/>
  <c r="D98" i="85"/>
  <c r="B98" i="85"/>
  <c r="Z97" i="85"/>
  <c r="X97" i="85"/>
  <c r="N97" i="85"/>
  <c r="L97" i="85"/>
  <c r="B97" i="85"/>
  <c r="X96" i="85"/>
  <c r="Z96" i="85" s="1"/>
  <c r="V96" i="85"/>
  <c r="T96" i="85"/>
  <c r="P96" i="85"/>
  <c r="N96" i="85"/>
  <c r="H96" i="85"/>
  <c r="D96" i="85"/>
  <c r="L96" i="85" s="1"/>
  <c r="B96" i="85"/>
  <c r="X95" i="85"/>
  <c r="Z95" i="85" s="1"/>
  <c r="L95" i="85"/>
  <c r="N95" i="85" s="1"/>
  <c r="B95" i="85"/>
  <c r="V94" i="85"/>
  <c r="T94" i="85"/>
  <c r="P94" i="85"/>
  <c r="X94" i="85" s="1"/>
  <c r="Z94" i="85" s="1"/>
  <c r="H94" i="85"/>
  <c r="D94" i="85"/>
  <c r="L94" i="85" s="1"/>
  <c r="B94" i="85"/>
  <c r="X93" i="85"/>
  <c r="Z93" i="85" s="1"/>
  <c r="N93" i="85"/>
  <c r="L93" i="85"/>
  <c r="B93" i="85"/>
  <c r="V92" i="85"/>
  <c r="T92" i="85"/>
  <c r="P92" i="85"/>
  <c r="X92" i="85" s="1"/>
  <c r="L92" i="85"/>
  <c r="N92" i="85" s="1"/>
  <c r="H92" i="85"/>
  <c r="D92" i="85"/>
  <c r="B92" i="85"/>
  <c r="X91" i="85"/>
  <c r="Z91" i="85" s="1"/>
  <c r="V91" i="85"/>
  <c r="N91" i="85"/>
  <c r="L91" i="85"/>
  <c r="B91" i="85"/>
  <c r="T90" i="85"/>
  <c r="P90" i="85"/>
  <c r="X90" i="85" s="1"/>
  <c r="Z90" i="85" s="1"/>
  <c r="L90" i="85"/>
  <c r="H90" i="85"/>
  <c r="N90" i="85" s="1"/>
  <c r="D90" i="85"/>
  <c r="B90" i="85"/>
  <c r="Z89" i="85"/>
  <c r="X89" i="85"/>
  <c r="N89" i="85"/>
  <c r="L89" i="85"/>
  <c r="B89" i="85"/>
  <c r="V88" i="85"/>
  <c r="T88" i="85"/>
  <c r="Z88" i="85" s="1"/>
  <c r="P88" i="85"/>
  <c r="X88" i="85" s="1"/>
  <c r="H88" i="85"/>
  <c r="D88" i="85"/>
  <c r="B88" i="85"/>
  <c r="X87" i="85"/>
  <c r="Z87" i="85" s="1"/>
  <c r="L87" i="85"/>
  <c r="N87" i="85" s="1"/>
  <c r="B87" i="85"/>
  <c r="X86" i="85"/>
  <c r="Z86" i="85" s="1"/>
  <c r="T86" i="85"/>
  <c r="P86" i="85"/>
  <c r="H86" i="85"/>
  <c r="D86" i="85"/>
  <c r="B86" i="85"/>
  <c r="Z85" i="85"/>
  <c r="X85" i="85"/>
  <c r="N85" i="85"/>
  <c r="L85" i="85"/>
  <c r="B85" i="85"/>
  <c r="T84" i="85"/>
  <c r="P84" i="85"/>
  <c r="N84" i="85"/>
  <c r="H84" i="85"/>
  <c r="D84" i="85"/>
  <c r="L84" i="85" s="1"/>
  <c r="B84" i="85"/>
  <c r="Z83" i="85"/>
  <c r="X83" i="85"/>
  <c r="L83" i="85"/>
  <c r="N83" i="85" s="1"/>
  <c r="B83" i="85"/>
  <c r="Z82" i="85"/>
  <c r="V82" i="85"/>
  <c r="T82" i="85"/>
  <c r="P82" i="85"/>
  <c r="X82" i="85" s="1"/>
  <c r="H82" i="85"/>
  <c r="N82" i="85" s="1"/>
  <c r="D82" i="85"/>
  <c r="L82" i="85" s="1"/>
  <c r="B82" i="85"/>
  <c r="Z81" i="85"/>
  <c r="X81" i="85"/>
  <c r="V81" i="85"/>
  <c r="N81" i="85"/>
  <c r="L81" i="85"/>
  <c r="B81" i="85"/>
  <c r="Z80" i="85"/>
  <c r="X80" i="85"/>
  <c r="V80" i="85"/>
  <c r="N80" i="85"/>
  <c r="L80" i="85"/>
  <c r="B80" i="85"/>
  <c r="T79" i="85"/>
  <c r="P79" i="85"/>
  <c r="X79" i="85" s="1"/>
  <c r="Z79" i="85" s="1"/>
  <c r="L79" i="85"/>
  <c r="N79" i="85" s="1"/>
  <c r="H79" i="85"/>
  <c r="D79" i="85"/>
  <c r="B79" i="85"/>
  <c r="Z78" i="85"/>
  <c r="X78" i="85"/>
  <c r="L78" i="85"/>
  <c r="N78" i="85" s="1"/>
  <c r="B78" i="85"/>
  <c r="Z77" i="85"/>
  <c r="T77" i="85"/>
  <c r="X77" i="85" s="1"/>
  <c r="P77" i="85"/>
  <c r="L77" i="85"/>
  <c r="H77" i="85"/>
  <c r="D77" i="85"/>
  <c r="B77" i="85"/>
  <c r="Z76" i="85"/>
  <c r="X76" i="85"/>
  <c r="V76" i="85"/>
  <c r="N76" i="85"/>
  <c r="L76" i="85"/>
  <c r="B76" i="85"/>
  <c r="Z75" i="85"/>
  <c r="X75" i="85"/>
  <c r="V75" i="85"/>
  <c r="N75" i="85"/>
  <c r="L75" i="85"/>
  <c r="B75" i="85"/>
  <c r="Z74" i="85"/>
  <c r="X74" i="85"/>
  <c r="V74" i="85"/>
  <c r="N74" i="85"/>
  <c r="L74" i="85"/>
  <c r="B74" i="85"/>
  <c r="Z73" i="85"/>
  <c r="X73" i="85"/>
  <c r="N73" i="85"/>
  <c r="L73" i="85"/>
  <c r="B73" i="85"/>
  <c r="Z72" i="85"/>
  <c r="X72" i="85"/>
  <c r="N72" i="85"/>
  <c r="L72" i="85"/>
  <c r="B72" i="85"/>
  <c r="Z71" i="85"/>
  <c r="X71" i="85"/>
  <c r="V71" i="85"/>
  <c r="N71" i="85"/>
  <c r="L71" i="85"/>
  <c r="B71" i="85"/>
  <c r="X70" i="85"/>
  <c r="Z70" i="85" s="1"/>
  <c r="V70" i="85"/>
  <c r="L70" i="85"/>
  <c r="N70" i="85" s="1"/>
  <c r="B70" i="85"/>
  <c r="Z69" i="85"/>
  <c r="X69" i="85"/>
  <c r="N69" i="85"/>
  <c r="L69" i="85"/>
  <c r="B69" i="85"/>
  <c r="X68" i="85"/>
  <c r="Z68" i="85" s="1"/>
  <c r="L68" i="85"/>
  <c r="N68" i="85" s="1"/>
  <c r="B68" i="85"/>
  <c r="Z67" i="85"/>
  <c r="X67" i="85"/>
  <c r="V67" i="85"/>
  <c r="N67" i="85"/>
  <c r="L67" i="85"/>
  <c r="B67" i="85"/>
  <c r="V66" i="85"/>
  <c r="T66" i="85"/>
  <c r="X66" i="85" s="1"/>
  <c r="Z66" i="85" s="1"/>
  <c r="P66" i="85"/>
  <c r="H66" i="85"/>
  <c r="D66" i="85"/>
  <c r="L66" i="85" s="1"/>
  <c r="B66" i="85"/>
  <c r="Z65" i="85"/>
  <c r="X65" i="85"/>
  <c r="V65" i="85"/>
  <c r="N65" i="85"/>
  <c r="L65" i="85"/>
  <c r="B65" i="85"/>
  <c r="X64" i="85"/>
  <c r="Z64" i="85" s="1"/>
  <c r="V64" i="85"/>
  <c r="N64" i="85"/>
  <c r="L64" i="85"/>
  <c r="B64" i="85"/>
  <c r="X63" i="85"/>
  <c r="Z63" i="85" s="1"/>
  <c r="V63" i="85"/>
  <c r="L63" i="85"/>
  <c r="N63" i="85" s="1"/>
  <c r="B63" i="85"/>
  <c r="Z62" i="85"/>
  <c r="X62" i="85"/>
  <c r="N62" i="85"/>
  <c r="L62" i="85"/>
  <c r="B62" i="85"/>
  <c r="X61" i="85"/>
  <c r="Z61" i="85" s="1"/>
  <c r="V61" i="85"/>
  <c r="N61" i="85"/>
  <c r="L61" i="85"/>
  <c r="B61" i="85"/>
  <c r="X60" i="85"/>
  <c r="Z60" i="85" s="1"/>
  <c r="V60" i="85"/>
  <c r="N60" i="85"/>
  <c r="L60" i="85"/>
  <c r="J60" i="85"/>
  <c r="B60" i="85"/>
  <c r="X59" i="85"/>
  <c r="Z59" i="85" s="1"/>
  <c r="L59" i="85"/>
  <c r="N59" i="85" s="1"/>
  <c r="B59" i="85"/>
  <c r="X58" i="85"/>
  <c r="Z58" i="85" s="1"/>
  <c r="L58" i="85"/>
  <c r="N58" i="85" s="1"/>
  <c r="B58" i="85"/>
  <c r="Z57" i="85"/>
  <c r="X57" i="85"/>
  <c r="N57" i="85"/>
  <c r="L57" i="85"/>
  <c r="B57" i="85"/>
  <c r="V56" i="85"/>
  <c r="T56" i="85"/>
  <c r="P56" i="85"/>
  <c r="X56" i="85" s="1"/>
  <c r="H56" i="85"/>
  <c r="D56" i="85"/>
  <c r="L56" i="85" s="1"/>
  <c r="N56" i="85" s="1"/>
  <c r="B56" i="85"/>
  <c r="T55" i="85"/>
  <c r="P55" i="85"/>
  <c r="H55" i="85"/>
  <c r="D55" i="85"/>
  <c r="T53" i="85"/>
  <c r="Z51" i="85"/>
  <c r="X51" i="85"/>
  <c r="N51" i="85"/>
  <c r="L51" i="85"/>
  <c r="B51" i="85"/>
  <c r="Z50" i="85"/>
  <c r="X50" i="85"/>
  <c r="N50" i="85"/>
  <c r="L50" i="85"/>
  <c r="B50" i="85"/>
  <c r="Z49" i="85"/>
  <c r="X49" i="85"/>
  <c r="N49" i="85"/>
  <c r="L49" i="85"/>
  <c r="B49" i="85"/>
  <c r="Z48" i="85"/>
  <c r="X48" i="85"/>
  <c r="V48" i="85"/>
  <c r="N48" i="85"/>
  <c r="L48" i="85"/>
  <c r="B48" i="85"/>
  <c r="Z47" i="85"/>
  <c r="X47" i="85"/>
  <c r="V47" i="85"/>
  <c r="N47" i="85"/>
  <c r="L47" i="85"/>
  <c r="B47" i="85"/>
  <c r="Z46" i="85"/>
  <c r="X46" i="85"/>
  <c r="N46" i="85"/>
  <c r="L46" i="85"/>
  <c r="B46" i="85"/>
  <c r="Z45" i="85"/>
  <c r="X45" i="85"/>
  <c r="N45" i="85"/>
  <c r="L45" i="85"/>
  <c r="B45" i="85"/>
  <c r="Z44" i="85"/>
  <c r="X44" i="85"/>
  <c r="V44" i="85"/>
  <c r="N44" i="85"/>
  <c r="L44" i="85"/>
  <c r="B44" i="85"/>
  <c r="Z43" i="85"/>
  <c r="X43" i="85"/>
  <c r="V43" i="85"/>
  <c r="N43" i="85"/>
  <c r="L43" i="85"/>
  <c r="B43" i="85"/>
  <c r="Z42" i="85"/>
  <c r="X42" i="85"/>
  <c r="N42" i="85"/>
  <c r="L42" i="85"/>
  <c r="B42" i="85"/>
  <c r="Z41" i="85"/>
  <c r="X41" i="85"/>
  <c r="N41" i="85"/>
  <c r="L41" i="85"/>
  <c r="B41" i="85"/>
  <c r="Z40" i="85"/>
  <c r="X40" i="85"/>
  <c r="V40" i="85"/>
  <c r="N40" i="85"/>
  <c r="L40" i="85"/>
  <c r="B40" i="85"/>
  <c r="Z39" i="85"/>
  <c r="X39" i="85"/>
  <c r="V39" i="85"/>
  <c r="N39" i="85"/>
  <c r="L39" i="85"/>
  <c r="B39" i="85"/>
  <c r="Z38" i="85"/>
  <c r="X38" i="85"/>
  <c r="N38" i="85"/>
  <c r="L38" i="85"/>
  <c r="B38" i="85"/>
  <c r="Z37" i="85"/>
  <c r="X37" i="85"/>
  <c r="N37" i="85"/>
  <c r="L37" i="85"/>
  <c r="B37" i="85"/>
  <c r="X36" i="85"/>
  <c r="Z36" i="85" s="1"/>
  <c r="V36" i="85"/>
  <c r="L36" i="85"/>
  <c r="N36" i="85" s="1"/>
  <c r="B36" i="85"/>
  <c r="V35" i="85"/>
  <c r="T35" i="85"/>
  <c r="P35" i="85"/>
  <c r="X35" i="85" s="1"/>
  <c r="Z35" i="85" s="1"/>
  <c r="H35" i="85"/>
  <c r="D35" i="85"/>
  <c r="L35" i="85" s="1"/>
  <c r="N35" i="85" s="1"/>
  <c r="Z33" i="85"/>
  <c r="X33" i="85"/>
  <c r="P33" i="85"/>
  <c r="N33" i="85"/>
  <c r="D33" i="85"/>
  <c r="L33" i="85" s="1"/>
  <c r="B33" i="85"/>
  <c r="Z32" i="85"/>
  <c r="X32" i="85"/>
  <c r="P32" i="85"/>
  <c r="N32" i="85"/>
  <c r="D32" i="85"/>
  <c r="L32" i="85" s="1"/>
  <c r="B32" i="85"/>
  <c r="Z31" i="85"/>
  <c r="P31" i="85"/>
  <c r="X31" i="85" s="1"/>
  <c r="N31" i="85"/>
  <c r="L31" i="85"/>
  <c r="D31" i="85"/>
  <c r="B31" i="85"/>
  <c r="Z30" i="85"/>
  <c r="X30" i="85"/>
  <c r="P30" i="85"/>
  <c r="N30" i="85"/>
  <c r="D30" i="85"/>
  <c r="L30" i="85" s="1"/>
  <c r="B30" i="85"/>
  <c r="Z29" i="85"/>
  <c r="P29" i="85"/>
  <c r="X29" i="85" s="1"/>
  <c r="N29" i="85"/>
  <c r="D29" i="85"/>
  <c r="L29" i="85" s="1"/>
  <c r="B29" i="85"/>
  <c r="Z28" i="85"/>
  <c r="X28" i="85"/>
  <c r="P28" i="85"/>
  <c r="N28" i="85"/>
  <c r="D28" i="85"/>
  <c r="L28" i="85" s="1"/>
  <c r="B28" i="85"/>
  <c r="Z27" i="85"/>
  <c r="P27" i="85"/>
  <c r="X27" i="85" s="1"/>
  <c r="N27" i="85"/>
  <c r="L27" i="85"/>
  <c r="D27" i="85"/>
  <c r="B27" i="85"/>
  <c r="Z26" i="85"/>
  <c r="P26" i="85"/>
  <c r="X26" i="85" s="1"/>
  <c r="N26" i="85"/>
  <c r="L26" i="85"/>
  <c r="D26" i="85"/>
  <c r="B26" i="85"/>
  <c r="Z25" i="85"/>
  <c r="P25" i="85"/>
  <c r="X25" i="85" s="1"/>
  <c r="N25" i="85"/>
  <c r="D25" i="85"/>
  <c r="L25" i="85" s="1"/>
  <c r="B25" i="85"/>
  <c r="Z24" i="85"/>
  <c r="P24" i="85"/>
  <c r="X24" i="85" s="1"/>
  <c r="N24" i="85"/>
  <c r="D24" i="85"/>
  <c r="L24" i="85" s="1"/>
  <c r="B24" i="85"/>
  <c r="Z23" i="85"/>
  <c r="P23" i="85"/>
  <c r="X23" i="85" s="1"/>
  <c r="N23" i="85"/>
  <c r="D23" i="85"/>
  <c r="L23" i="85" s="1"/>
  <c r="B23" i="85"/>
  <c r="Z22" i="85"/>
  <c r="X22" i="85"/>
  <c r="P22" i="85"/>
  <c r="N22" i="85"/>
  <c r="D22" i="85"/>
  <c r="L22" i="85" s="1"/>
  <c r="B22" i="85"/>
  <c r="Z21" i="85"/>
  <c r="X21" i="85"/>
  <c r="P21" i="85"/>
  <c r="N21" i="85"/>
  <c r="D21" i="85"/>
  <c r="L21" i="85" s="1"/>
  <c r="B21" i="85"/>
  <c r="Z20" i="85"/>
  <c r="P20" i="85"/>
  <c r="X20" i="85" s="1"/>
  <c r="N20" i="85"/>
  <c r="D20" i="85"/>
  <c r="L20" i="85" s="1"/>
  <c r="B20" i="85"/>
  <c r="Z19" i="85"/>
  <c r="P19" i="85"/>
  <c r="X19" i="85" s="1"/>
  <c r="N19" i="85"/>
  <c r="L19" i="85"/>
  <c r="D19" i="85"/>
  <c r="B19" i="85"/>
  <c r="Z18" i="85"/>
  <c r="X18" i="85"/>
  <c r="P18" i="85"/>
  <c r="N18" i="85"/>
  <c r="L18" i="85"/>
  <c r="D18" i="85"/>
  <c r="B18" i="85"/>
  <c r="Z17" i="85"/>
  <c r="P17" i="85"/>
  <c r="N17" i="85"/>
  <c r="L17" i="85"/>
  <c r="D17" i="85"/>
  <c r="B17" i="85"/>
  <c r="Z16" i="85"/>
  <c r="P16" i="85"/>
  <c r="X16" i="85" s="1"/>
  <c r="N16" i="85"/>
  <c r="D16" i="85"/>
  <c r="L16" i="85" s="1"/>
  <c r="B16" i="85"/>
  <c r="Z15" i="85"/>
  <c r="P15" i="85"/>
  <c r="X15" i="85" s="1"/>
  <c r="N15" i="85"/>
  <c r="L15" i="85"/>
  <c r="D15" i="85"/>
  <c r="B15" i="85"/>
  <c r="Z14" i="85"/>
  <c r="X14" i="85"/>
  <c r="P14" i="85"/>
  <c r="N14" i="85"/>
  <c r="L14" i="85"/>
  <c r="D14" i="85"/>
  <c r="B14" i="85"/>
  <c r="X13" i="85"/>
  <c r="Z13" i="85" s="1"/>
  <c r="P13" i="85"/>
  <c r="D13" i="85"/>
  <c r="B13" i="85"/>
  <c r="T12" i="85"/>
  <c r="H12" i="85"/>
  <c r="J80" i="85" s="1"/>
  <c r="D6" i="85"/>
  <c r="D4" i="85"/>
  <c r="Z98" i="84"/>
  <c r="X98" i="84"/>
  <c r="L98" i="84"/>
  <c r="N98" i="84" s="1"/>
  <c r="T94" i="84"/>
  <c r="Z94" i="84" s="1"/>
  <c r="P94" i="84"/>
  <c r="N94" i="84"/>
  <c r="J94" i="84"/>
  <c r="H94" i="84"/>
  <c r="D94" i="84"/>
  <c r="L94" i="84" s="1"/>
  <c r="X92" i="84"/>
  <c r="Z92" i="84" s="1"/>
  <c r="L92" i="84"/>
  <c r="N92" i="84" s="1"/>
  <c r="J92" i="84"/>
  <c r="B92" i="84"/>
  <c r="V91" i="84"/>
  <c r="T91" i="84"/>
  <c r="P91" i="84"/>
  <c r="H91" i="84"/>
  <c r="D91" i="84"/>
  <c r="B91" i="84"/>
  <c r="X90" i="84"/>
  <c r="Z90" i="84" s="1"/>
  <c r="V90" i="84"/>
  <c r="N90" i="84"/>
  <c r="L90" i="84"/>
  <c r="B90" i="84"/>
  <c r="T89" i="84"/>
  <c r="P89" i="84"/>
  <c r="X89" i="84" s="1"/>
  <c r="Z89" i="84" s="1"/>
  <c r="N89" i="84"/>
  <c r="J89" i="84"/>
  <c r="H89" i="84"/>
  <c r="D89" i="84"/>
  <c r="L89" i="84" s="1"/>
  <c r="B89" i="84"/>
  <c r="Z88" i="84"/>
  <c r="X88" i="84"/>
  <c r="N88" i="84"/>
  <c r="L88" i="84"/>
  <c r="B88" i="84"/>
  <c r="T87" i="84"/>
  <c r="X87" i="84" s="1"/>
  <c r="Z87" i="84" s="1"/>
  <c r="P87" i="84"/>
  <c r="N87" i="84"/>
  <c r="J87" i="84"/>
  <c r="H87" i="84"/>
  <c r="D87" i="84"/>
  <c r="L87" i="84" s="1"/>
  <c r="B87" i="84"/>
  <c r="X86" i="84"/>
  <c r="Z86" i="84" s="1"/>
  <c r="L86" i="84"/>
  <c r="N86" i="84" s="1"/>
  <c r="J86" i="84"/>
  <c r="B86" i="84"/>
  <c r="X85" i="84"/>
  <c r="T85" i="84"/>
  <c r="P85" i="84"/>
  <c r="H85" i="84"/>
  <c r="D85" i="84"/>
  <c r="B85" i="84"/>
  <c r="X84" i="84"/>
  <c r="Z84" i="84" s="1"/>
  <c r="N84" i="84"/>
  <c r="L84" i="84"/>
  <c r="B84" i="84"/>
  <c r="Z83" i="84"/>
  <c r="X83" i="84"/>
  <c r="N83" i="84"/>
  <c r="L83" i="84"/>
  <c r="J83" i="84"/>
  <c r="B83" i="84"/>
  <c r="X82" i="84"/>
  <c r="Z82" i="84" s="1"/>
  <c r="N82" i="84"/>
  <c r="L82" i="84"/>
  <c r="B82" i="84"/>
  <c r="Z81" i="84"/>
  <c r="X81" i="84"/>
  <c r="V81" i="84"/>
  <c r="N81" i="84"/>
  <c r="L81" i="84"/>
  <c r="J81" i="84"/>
  <c r="B81" i="84"/>
  <c r="Z80" i="84"/>
  <c r="X80" i="84"/>
  <c r="L80" i="84"/>
  <c r="N80" i="84" s="1"/>
  <c r="B80" i="84"/>
  <c r="Z79" i="84"/>
  <c r="X79" i="84"/>
  <c r="N79" i="84"/>
  <c r="L79" i="84"/>
  <c r="B79" i="84"/>
  <c r="X78" i="84"/>
  <c r="Z78" i="84" s="1"/>
  <c r="N78" i="84"/>
  <c r="L78" i="84"/>
  <c r="J78" i="84"/>
  <c r="B78" i="84"/>
  <c r="V77" i="84"/>
  <c r="T77" i="84"/>
  <c r="P77" i="84"/>
  <c r="X77" i="84" s="1"/>
  <c r="Z77" i="84" s="1"/>
  <c r="N77" i="84"/>
  <c r="H77" i="84"/>
  <c r="D77" i="84"/>
  <c r="L77" i="84" s="1"/>
  <c r="B77" i="84"/>
  <c r="Z76" i="84"/>
  <c r="X76" i="84"/>
  <c r="L76" i="84"/>
  <c r="N76" i="84" s="1"/>
  <c r="B76" i="84"/>
  <c r="T75" i="84"/>
  <c r="P75" i="84"/>
  <c r="L75" i="84"/>
  <c r="N75" i="84" s="1"/>
  <c r="H75" i="84"/>
  <c r="D75" i="84"/>
  <c r="B75" i="84"/>
  <c r="X74" i="84"/>
  <c r="Z74" i="84" s="1"/>
  <c r="L74" i="84"/>
  <c r="N74" i="84" s="1"/>
  <c r="B74" i="84"/>
  <c r="Z73" i="84"/>
  <c r="X73" i="84"/>
  <c r="V73" i="84"/>
  <c r="L73" i="84"/>
  <c r="N73" i="84" s="1"/>
  <c r="J73" i="84"/>
  <c r="B73" i="84"/>
  <c r="Z72" i="84"/>
  <c r="X72" i="84"/>
  <c r="L72" i="84"/>
  <c r="N72" i="84" s="1"/>
  <c r="J72" i="84"/>
  <c r="B72" i="84"/>
  <c r="Z71" i="84"/>
  <c r="X71" i="84"/>
  <c r="N71" i="84"/>
  <c r="L71" i="84"/>
  <c r="J71" i="84"/>
  <c r="B71" i="84"/>
  <c r="X70" i="84"/>
  <c r="Z70" i="84" s="1"/>
  <c r="T70" i="84"/>
  <c r="P70" i="84"/>
  <c r="H70" i="84"/>
  <c r="D70" i="84"/>
  <c r="L70" i="84" s="1"/>
  <c r="N70" i="84" s="1"/>
  <c r="B70" i="84"/>
  <c r="Z69" i="84"/>
  <c r="X69" i="84"/>
  <c r="V69" i="84"/>
  <c r="L69" i="84"/>
  <c r="N69" i="84" s="1"/>
  <c r="J69" i="84"/>
  <c r="B69" i="84"/>
  <c r="Z68" i="84"/>
  <c r="X68" i="84"/>
  <c r="N68" i="84"/>
  <c r="L68" i="84"/>
  <c r="B68" i="84"/>
  <c r="Z67" i="84"/>
  <c r="X67" i="84"/>
  <c r="N67" i="84"/>
  <c r="L67" i="84"/>
  <c r="B67" i="84"/>
  <c r="X66" i="84"/>
  <c r="T66" i="84"/>
  <c r="P66" i="84"/>
  <c r="H66" i="84"/>
  <c r="D66" i="84"/>
  <c r="B66" i="84"/>
  <c r="X65" i="84"/>
  <c r="Z65" i="84" s="1"/>
  <c r="N65" i="84"/>
  <c r="L65" i="84"/>
  <c r="B65" i="84"/>
  <c r="Z64" i="84"/>
  <c r="X64" i="84"/>
  <c r="T64" i="84"/>
  <c r="P64" i="84"/>
  <c r="L64" i="84"/>
  <c r="H64" i="84"/>
  <c r="D64" i="84"/>
  <c r="B64" i="84"/>
  <c r="Z63" i="84"/>
  <c r="X63" i="84"/>
  <c r="N63" i="84"/>
  <c r="L63" i="84"/>
  <c r="J63" i="84"/>
  <c r="B63" i="84"/>
  <c r="T62" i="84"/>
  <c r="Z62" i="84" s="1"/>
  <c r="P62" i="84"/>
  <c r="X62" i="84" s="1"/>
  <c r="H62" i="84"/>
  <c r="D62" i="84"/>
  <c r="L62" i="84" s="1"/>
  <c r="B62" i="84"/>
  <c r="Z61" i="84"/>
  <c r="X61" i="84"/>
  <c r="N61" i="84"/>
  <c r="L61" i="84"/>
  <c r="J61" i="84"/>
  <c r="B61" i="84"/>
  <c r="T60" i="84"/>
  <c r="P60" i="84"/>
  <c r="H60" i="84"/>
  <c r="N60" i="84" s="1"/>
  <c r="D60" i="84"/>
  <c r="L60" i="84" s="1"/>
  <c r="B60" i="84"/>
  <c r="Z59" i="84"/>
  <c r="X59" i="84"/>
  <c r="V59" i="84"/>
  <c r="N59" i="84"/>
  <c r="L59" i="84"/>
  <c r="J59" i="84"/>
  <c r="B59" i="84"/>
  <c r="T58" i="84"/>
  <c r="P58" i="84"/>
  <c r="H58" i="84"/>
  <c r="D58" i="84"/>
  <c r="B58" i="84"/>
  <c r="X57" i="84"/>
  <c r="Z57" i="84" s="1"/>
  <c r="V57" i="84"/>
  <c r="N57" i="84"/>
  <c r="L57" i="84"/>
  <c r="J57" i="84"/>
  <c r="B57" i="84"/>
  <c r="V56" i="84"/>
  <c r="T56" i="84"/>
  <c r="P56" i="84"/>
  <c r="X56" i="84" s="1"/>
  <c r="Z56" i="84" s="1"/>
  <c r="J56" i="84"/>
  <c r="H56" i="84"/>
  <c r="D56" i="84"/>
  <c r="L56" i="84" s="1"/>
  <c r="N56" i="84" s="1"/>
  <c r="B56" i="84"/>
  <c r="Z55" i="84"/>
  <c r="X55" i="84"/>
  <c r="V55" i="84"/>
  <c r="L55" i="84"/>
  <c r="N55" i="84" s="1"/>
  <c r="J55" i="84"/>
  <c r="B55" i="84"/>
  <c r="X54" i="84"/>
  <c r="Z54" i="84" s="1"/>
  <c r="L54" i="84"/>
  <c r="N54" i="84" s="1"/>
  <c r="B54" i="84"/>
  <c r="X53" i="84"/>
  <c r="Z53" i="84" s="1"/>
  <c r="N53" i="84"/>
  <c r="L53" i="84"/>
  <c r="J53" i="84"/>
  <c r="B53" i="84"/>
  <c r="T52" i="84"/>
  <c r="P52" i="84"/>
  <c r="X52" i="84" s="1"/>
  <c r="H52" i="84"/>
  <c r="D52" i="84"/>
  <c r="B52" i="84"/>
  <c r="X51" i="84"/>
  <c r="Z51" i="84" s="1"/>
  <c r="V51" i="84"/>
  <c r="N51" i="84"/>
  <c r="L51" i="84"/>
  <c r="J51" i="84"/>
  <c r="B51" i="84"/>
  <c r="X50" i="84"/>
  <c r="Z50" i="84" s="1"/>
  <c r="T50" i="84"/>
  <c r="P50" i="84"/>
  <c r="H50" i="84"/>
  <c r="D50" i="84"/>
  <c r="L50" i="84" s="1"/>
  <c r="B50" i="84"/>
  <c r="Z49" i="84"/>
  <c r="X49" i="84"/>
  <c r="N49" i="84"/>
  <c r="L49" i="84"/>
  <c r="J49" i="84"/>
  <c r="B49" i="84"/>
  <c r="X48" i="84"/>
  <c r="T48" i="84"/>
  <c r="Z48" i="84" s="1"/>
  <c r="P48" i="84"/>
  <c r="J48" i="84"/>
  <c r="H48" i="84"/>
  <c r="N48" i="84" s="1"/>
  <c r="D48" i="84"/>
  <c r="L48" i="84" s="1"/>
  <c r="B48" i="84"/>
  <c r="Z47" i="84"/>
  <c r="X47" i="84"/>
  <c r="V47" i="84"/>
  <c r="L47" i="84"/>
  <c r="N47" i="84" s="1"/>
  <c r="J47" i="84"/>
  <c r="B47" i="84"/>
  <c r="X46" i="84"/>
  <c r="T46" i="84"/>
  <c r="P46" i="84"/>
  <c r="H46" i="84"/>
  <c r="N46" i="84" s="1"/>
  <c r="D46" i="84"/>
  <c r="L46" i="84" s="1"/>
  <c r="B46" i="84"/>
  <c r="Z45" i="84"/>
  <c r="X45" i="84"/>
  <c r="V45" i="84"/>
  <c r="N45" i="84"/>
  <c r="L45" i="84"/>
  <c r="B45" i="84"/>
  <c r="Z44" i="84"/>
  <c r="X44" i="84"/>
  <c r="N44" i="84"/>
  <c r="L44" i="84"/>
  <c r="J44" i="84"/>
  <c r="B44" i="84"/>
  <c r="X43" i="84"/>
  <c r="Z43" i="84" s="1"/>
  <c r="V43" i="84"/>
  <c r="N43" i="84"/>
  <c r="L43" i="84"/>
  <c r="J43" i="84"/>
  <c r="B43" i="84"/>
  <c r="X42" i="84"/>
  <c r="Z42" i="84" s="1"/>
  <c r="N42" i="84"/>
  <c r="L42" i="84"/>
  <c r="J42" i="84"/>
  <c r="B42" i="84"/>
  <c r="Z41" i="84"/>
  <c r="X41" i="84"/>
  <c r="V41" i="84"/>
  <c r="N41" i="84"/>
  <c r="L41" i="84"/>
  <c r="B41" i="84"/>
  <c r="Z40" i="84"/>
  <c r="X40" i="84"/>
  <c r="L40" i="84"/>
  <c r="N40" i="84" s="1"/>
  <c r="J40" i="84"/>
  <c r="B40" i="84"/>
  <c r="Z39" i="84"/>
  <c r="X39" i="84"/>
  <c r="V39" i="84"/>
  <c r="N39" i="84"/>
  <c r="L39" i="84"/>
  <c r="J39" i="84"/>
  <c r="B39" i="84"/>
  <c r="Z38" i="84"/>
  <c r="X38" i="84"/>
  <c r="N38" i="84"/>
  <c r="L38" i="84"/>
  <c r="J38" i="84"/>
  <c r="B38" i="84"/>
  <c r="Z37" i="84"/>
  <c r="X37" i="84"/>
  <c r="V37" i="84"/>
  <c r="N37" i="84"/>
  <c r="L37" i="84"/>
  <c r="B37" i="84"/>
  <c r="Z36" i="84"/>
  <c r="X36" i="84"/>
  <c r="N36" i="84"/>
  <c r="L36" i="84"/>
  <c r="J36" i="84"/>
  <c r="B36" i="84"/>
  <c r="V35" i="84"/>
  <c r="T35" i="84"/>
  <c r="P35" i="84"/>
  <c r="N35" i="84"/>
  <c r="J35" i="84"/>
  <c r="H35" i="84"/>
  <c r="L35" i="84" s="1"/>
  <c r="D35" i="84"/>
  <c r="B35" i="84"/>
  <c r="X34" i="84"/>
  <c r="Z34" i="84" s="1"/>
  <c r="V34" i="84"/>
  <c r="N34" i="84"/>
  <c r="L34" i="84"/>
  <c r="B34" i="84"/>
  <c r="Z33" i="84"/>
  <c r="X33" i="84"/>
  <c r="N33" i="84"/>
  <c r="L33" i="84"/>
  <c r="J33" i="84"/>
  <c r="B33" i="84"/>
  <c r="X32" i="84"/>
  <c r="Z32" i="84" s="1"/>
  <c r="L32" i="84"/>
  <c r="N32" i="84" s="1"/>
  <c r="J32" i="84"/>
  <c r="B32" i="84"/>
  <c r="Z31" i="84"/>
  <c r="X31" i="84"/>
  <c r="V31" i="84"/>
  <c r="N31" i="84"/>
  <c r="L31" i="84"/>
  <c r="J31" i="84"/>
  <c r="B31" i="84"/>
  <c r="X30" i="84"/>
  <c r="Z30" i="84" s="1"/>
  <c r="V30" i="84"/>
  <c r="L30" i="84"/>
  <c r="N30" i="84" s="1"/>
  <c r="J30" i="84"/>
  <c r="B30" i="84"/>
  <c r="Z29" i="84"/>
  <c r="X29" i="84"/>
  <c r="N29" i="84"/>
  <c r="L29" i="84"/>
  <c r="J29" i="84"/>
  <c r="B29" i="84"/>
  <c r="X28" i="84"/>
  <c r="Z28" i="84" s="1"/>
  <c r="L28" i="84"/>
  <c r="N28" i="84" s="1"/>
  <c r="J28" i="84"/>
  <c r="B28" i="84"/>
  <c r="Z27" i="84"/>
  <c r="X27" i="84"/>
  <c r="V27" i="84"/>
  <c r="N27" i="84"/>
  <c r="L27" i="84"/>
  <c r="J27" i="84"/>
  <c r="B27" i="84"/>
  <c r="X26" i="84"/>
  <c r="Z26" i="84" s="1"/>
  <c r="V26" i="84"/>
  <c r="L26" i="84"/>
  <c r="N26" i="84" s="1"/>
  <c r="J26" i="84"/>
  <c r="B26" i="84"/>
  <c r="T25" i="84"/>
  <c r="P25" i="84"/>
  <c r="X25" i="84" s="1"/>
  <c r="Z25" i="84" s="1"/>
  <c r="J25" i="84"/>
  <c r="H25" i="84"/>
  <c r="D25" i="84"/>
  <c r="L25" i="84" s="1"/>
  <c r="N25" i="84" s="1"/>
  <c r="B25" i="84"/>
  <c r="T24" i="84"/>
  <c r="P24" i="84"/>
  <c r="X24" i="84" s="1"/>
  <c r="H24" i="84"/>
  <c r="D24" i="84"/>
  <c r="T22" i="84"/>
  <c r="H22" i="84"/>
  <c r="Z20" i="84"/>
  <c r="X20" i="84"/>
  <c r="N20" i="84"/>
  <c r="L20" i="84"/>
  <c r="B20" i="84"/>
  <c r="Z19" i="84"/>
  <c r="X19" i="84"/>
  <c r="V19" i="84"/>
  <c r="N19" i="84"/>
  <c r="L19" i="84"/>
  <c r="J19" i="84"/>
  <c r="B19" i="84"/>
  <c r="X18" i="84"/>
  <c r="Z18" i="84" s="1"/>
  <c r="L18" i="84"/>
  <c r="N18" i="84" s="1"/>
  <c r="J18" i="84"/>
  <c r="B18" i="84"/>
  <c r="Z17" i="84"/>
  <c r="X17" i="84"/>
  <c r="V17" i="84"/>
  <c r="T17" i="84"/>
  <c r="P17" i="84"/>
  <c r="J17" i="84"/>
  <c r="H17" i="84"/>
  <c r="D17" i="84"/>
  <c r="L17" i="84" s="1"/>
  <c r="N17" i="84" s="1"/>
  <c r="Z15" i="84"/>
  <c r="X15" i="84"/>
  <c r="P15" i="84"/>
  <c r="N15" i="84"/>
  <c r="L15" i="84"/>
  <c r="D15" i="84"/>
  <c r="B15" i="84"/>
  <c r="Z14" i="84"/>
  <c r="X14" i="84"/>
  <c r="P14" i="84"/>
  <c r="N14" i="84"/>
  <c r="D14" i="84"/>
  <c r="L14" i="84" s="1"/>
  <c r="B14" i="84"/>
  <c r="P13" i="84"/>
  <c r="X13" i="84" s="1"/>
  <c r="Z13" i="84" s="1"/>
  <c r="L13" i="84"/>
  <c r="N13" i="84" s="1"/>
  <c r="D13" i="84"/>
  <c r="B13" i="84"/>
  <c r="T12" i="84"/>
  <c r="H12" i="84"/>
  <c r="D6" i="84"/>
  <c r="D4" i="84"/>
  <c r="X30" i="83"/>
  <c r="Z30" i="83" s="1"/>
  <c r="L30" i="83"/>
  <c r="N30" i="83" s="1"/>
  <c r="J30" i="83"/>
  <c r="X26" i="83"/>
  <c r="T26" i="83"/>
  <c r="Z26" i="83" s="1"/>
  <c r="P26" i="83"/>
  <c r="H26" i="83"/>
  <c r="D26" i="83"/>
  <c r="L26" i="83" s="1"/>
  <c r="X24" i="83"/>
  <c r="T24" i="83"/>
  <c r="Z24" i="83" s="1"/>
  <c r="P24" i="83"/>
  <c r="H24" i="83"/>
  <c r="D24" i="83"/>
  <c r="T22" i="83"/>
  <c r="P22" i="83"/>
  <c r="H22" i="83"/>
  <c r="H28" i="83" s="1"/>
  <c r="Z20" i="83"/>
  <c r="X20" i="83"/>
  <c r="N20" i="83"/>
  <c r="L20" i="83"/>
  <c r="B20" i="83"/>
  <c r="Z19" i="83"/>
  <c r="X19" i="83"/>
  <c r="V19" i="83"/>
  <c r="N19" i="83"/>
  <c r="L19" i="83"/>
  <c r="J19" i="83"/>
  <c r="B19" i="83"/>
  <c r="X18" i="83"/>
  <c r="Z18" i="83" s="1"/>
  <c r="V18" i="83"/>
  <c r="N18" i="83"/>
  <c r="L18" i="83"/>
  <c r="B18" i="83"/>
  <c r="V17" i="83"/>
  <c r="T17" i="83"/>
  <c r="P17" i="83"/>
  <c r="X17" i="83" s="1"/>
  <c r="Z17" i="83" s="1"/>
  <c r="N17" i="83"/>
  <c r="L17" i="83"/>
  <c r="J17" i="83"/>
  <c r="H17" i="83"/>
  <c r="D17" i="83"/>
  <c r="Z15" i="83"/>
  <c r="P15" i="83"/>
  <c r="X15" i="83" s="1"/>
  <c r="D15" i="83"/>
  <c r="L15" i="83" s="1"/>
  <c r="N15" i="83" s="1"/>
  <c r="B15" i="83"/>
  <c r="Z14" i="83"/>
  <c r="X14" i="83"/>
  <c r="P14" i="83"/>
  <c r="N14" i="83"/>
  <c r="D14" i="83"/>
  <c r="L14" i="83" s="1"/>
  <c r="B14" i="83"/>
  <c r="Z13" i="83"/>
  <c r="P13" i="83"/>
  <c r="X13" i="83" s="1"/>
  <c r="N13" i="83"/>
  <c r="L13" i="83"/>
  <c r="D13" i="83"/>
  <c r="B13" i="83"/>
  <c r="X12" i="83"/>
  <c r="T12" i="83"/>
  <c r="P12" i="83"/>
  <c r="R20" i="83" s="1"/>
  <c r="H12" i="83"/>
  <c r="J20" i="83" s="1"/>
  <c r="D6" i="83"/>
  <c r="D4" i="83"/>
  <c r="X85" i="81"/>
  <c r="Z85" i="81" s="1"/>
  <c r="L85" i="81"/>
  <c r="N85" i="81" s="1"/>
  <c r="T81" i="81"/>
  <c r="Z81" i="81" s="1"/>
  <c r="P81" i="81"/>
  <c r="X81" i="81" s="1"/>
  <c r="H81" i="81"/>
  <c r="N81" i="81" s="1"/>
  <c r="D81" i="81"/>
  <c r="L81" i="81" s="1"/>
  <c r="Z79" i="81"/>
  <c r="X79" i="81"/>
  <c r="N79" i="81"/>
  <c r="L79" i="81"/>
  <c r="B79" i="81"/>
  <c r="Z78" i="81"/>
  <c r="X78" i="81"/>
  <c r="T78" i="81"/>
  <c r="P78" i="81"/>
  <c r="N78" i="81"/>
  <c r="H78" i="81"/>
  <c r="D78" i="81"/>
  <c r="L78" i="81" s="1"/>
  <c r="B78" i="81"/>
  <c r="Z77" i="81"/>
  <c r="X77" i="81"/>
  <c r="L77" i="81"/>
  <c r="N77" i="81" s="1"/>
  <c r="B77" i="81"/>
  <c r="T76" i="81"/>
  <c r="P76" i="81"/>
  <c r="H76" i="81"/>
  <c r="L76" i="81" s="1"/>
  <c r="N76" i="81" s="1"/>
  <c r="D76" i="81"/>
  <c r="B76" i="81"/>
  <c r="X75" i="81"/>
  <c r="Z75" i="81" s="1"/>
  <c r="V75" i="81"/>
  <c r="L75" i="81"/>
  <c r="N75" i="81" s="1"/>
  <c r="B75" i="81"/>
  <c r="Z74" i="81"/>
  <c r="X74" i="81"/>
  <c r="N74" i="81"/>
  <c r="L74" i="81"/>
  <c r="B74" i="81"/>
  <c r="Z73" i="81"/>
  <c r="X73" i="81"/>
  <c r="N73" i="81"/>
  <c r="L73" i="81"/>
  <c r="B73" i="81"/>
  <c r="Z72" i="81"/>
  <c r="X72" i="81"/>
  <c r="N72" i="81"/>
  <c r="L72" i="81"/>
  <c r="B72" i="81"/>
  <c r="Z71" i="81"/>
  <c r="X71" i="81"/>
  <c r="N71" i="81"/>
  <c r="L71" i="81"/>
  <c r="B71" i="81"/>
  <c r="Z70" i="81"/>
  <c r="X70" i="81"/>
  <c r="N70" i="81"/>
  <c r="L70" i="81"/>
  <c r="B70" i="81"/>
  <c r="T69" i="81"/>
  <c r="P69" i="81"/>
  <c r="L69" i="81"/>
  <c r="J69" i="81"/>
  <c r="H69" i="81"/>
  <c r="D69" i="81"/>
  <c r="B69" i="81"/>
  <c r="Z68" i="81"/>
  <c r="X68" i="81"/>
  <c r="V68" i="81"/>
  <c r="N68" i="81"/>
  <c r="L68" i="81"/>
  <c r="B68" i="81"/>
  <c r="Z67" i="81"/>
  <c r="X67" i="81"/>
  <c r="N67" i="81"/>
  <c r="L67" i="81"/>
  <c r="B67" i="81"/>
  <c r="Z66" i="81"/>
  <c r="X66" i="81"/>
  <c r="N66" i="81"/>
  <c r="L66" i="81"/>
  <c r="B66" i="81"/>
  <c r="T65" i="81"/>
  <c r="Z65" i="81" s="1"/>
  <c r="P65" i="81"/>
  <c r="L65" i="81"/>
  <c r="H65" i="81"/>
  <c r="N65" i="81" s="1"/>
  <c r="D65" i="81"/>
  <c r="B65" i="81"/>
  <c r="X64" i="81"/>
  <c r="Z64" i="81" s="1"/>
  <c r="V64" i="81"/>
  <c r="N64" i="81"/>
  <c r="L64" i="81"/>
  <c r="B64" i="81"/>
  <c r="Z63" i="81"/>
  <c r="X63" i="81"/>
  <c r="N63" i="81"/>
  <c r="L63" i="81"/>
  <c r="B63" i="81"/>
  <c r="Z62" i="81"/>
  <c r="X62" i="81"/>
  <c r="V62" i="81"/>
  <c r="N62" i="81"/>
  <c r="L62" i="81"/>
  <c r="B62" i="81"/>
  <c r="T61" i="81"/>
  <c r="X61" i="81" s="1"/>
  <c r="Z61" i="81" s="1"/>
  <c r="P61" i="81"/>
  <c r="L61" i="81"/>
  <c r="N61" i="81" s="1"/>
  <c r="H61" i="81"/>
  <c r="D61" i="81"/>
  <c r="B61" i="81"/>
  <c r="Z60" i="81"/>
  <c r="X60" i="81"/>
  <c r="N60" i="81"/>
  <c r="L60" i="81"/>
  <c r="B60" i="81"/>
  <c r="T59" i="81"/>
  <c r="P59" i="81"/>
  <c r="X59" i="81" s="1"/>
  <c r="H59" i="81"/>
  <c r="D59" i="81"/>
  <c r="B59" i="81"/>
  <c r="X58" i="81"/>
  <c r="Z58" i="81" s="1"/>
  <c r="N58" i="81"/>
  <c r="L58" i="81"/>
  <c r="B58" i="81"/>
  <c r="T57" i="81"/>
  <c r="P57" i="81"/>
  <c r="X57" i="81" s="1"/>
  <c r="L57" i="81"/>
  <c r="H57" i="81"/>
  <c r="D57" i="81"/>
  <c r="B57" i="81"/>
  <c r="Z56" i="81"/>
  <c r="X56" i="81"/>
  <c r="N56" i="81"/>
  <c r="L56" i="81"/>
  <c r="B56" i="81"/>
  <c r="Z55" i="81"/>
  <c r="T55" i="81"/>
  <c r="P55" i="81"/>
  <c r="X55" i="81" s="1"/>
  <c r="N55" i="81"/>
  <c r="L55" i="81"/>
  <c r="H55" i="81"/>
  <c r="D55" i="81"/>
  <c r="B55" i="81"/>
  <c r="Z54" i="81"/>
  <c r="X54" i="81"/>
  <c r="N54" i="81"/>
  <c r="L54" i="81"/>
  <c r="B54" i="81"/>
  <c r="X53" i="81"/>
  <c r="Z53" i="81" s="1"/>
  <c r="L53" i="81"/>
  <c r="N53" i="81" s="1"/>
  <c r="B53" i="81"/>
  <c r="Z52" i="81"/>
  <c r="T52" i="81"/>
  <c r="P52" i="81"/>
  <c r="X52" i="81" s="1"/>
  <c r="H52" i="81"/>
  <c r="F52" i="81"/>
  <c r="D52" i="81"/>
  <c r="L52" i="81" s="1"/>
  <c r="N52" i="81" s="1"/>
  <c r="B52" i="81"/>
  <c r="X51" i="81"/>
  <c r="Z51" i="81" s="1"/>
  <c r="L51" i="81"/>
  <c r="N51" i="81" s="1"/>
  <c r="B51" i="81"/>
  <c r="X50" i="81"/>
  <c r="Z50" i="81" s="1"/>
  <c r="T50" i="81"/>
  <c r="P50" i="81"/>
  <c r="N50" i="81"/>
  <c r="H50" i="81"/>
  <c r="D50" i="81"/>
  <c r="L50" i="81" s="1"/>
  <c r="B50" i="81"/>
  <c r="Z49" i="81"/>
  <c r="X49" i="81"/>
  <c r="N49" i="81"/>
  <c r="L49" i="81"/>
  <c r="B49" i="81"/>
  <c r="T48" i="81"/>
  <c r="P48" i="81"/>
  <c r="N48" i="81"/>
  <c r="H48" i="81"/>
  <c r="L48" i="81" s="1"/>
  <c r="D48" i="81"/>
  <c r="B48" i="81"/>
  <c r="Z47" i="81"/>
  <c r="X47" i="81"/>
  <c r="N47" i="81"/>
  <c r="L47" i="81"/>
  <c r="B47" i="81"/>
  <c r="Z46" i="81"/>
  <c r="T46" i="81"/>
  <c r="P46" i="81"/>
  <c r="X46" i="81" s="1"/>
  <c r="N46" i="81"/>
  <c r="J46" i="81"/>
  <c r="H46" i="81"/>
  <c r="D46" i="81"/>
  <c r="L46" i="81" s="1"/>
  <c r="B46" i="81"/>
  <c r="Z45" i="81"/>
  <c r="X45" i="81"/>
  <c r="N45" i="81"/>
  <c r="L45" i="81"/>
  <c r="B45" i="81"/>
  <c r="Z44" i="81"/>
  <c r="X44" i="81"/>
  <c r="V44" i="81"/>
  <c r="N44" i="81"/>
  <c r="L44" i="81"/>
  <c r="B44" i="81"/>
  <c r="X43" i="81"/>
  <c r="Z43" i="81" s="1"/>
  <c r="L43" i="81"/>
  <c r="N43" i="81" s="1"/>
  <c r="B43" i="81"/>
  <c r="Z42" i="81"/>
  <c r="X42" i="81"/>
  <c r="V42" i="81"/>
  <c r="N42" i="81"/>
  <c r="L42" i="81"/>
  <c r="B42" i="81"/>
  <c r="Z41" i="81"/>
  <c r="X41" i="81"/>
  <c r="N41" i="81"/>
  <c r="L41" i="81"/>
  <c r="F41" i="81"/>
  <c r="B41" i="81"/>
  <c r="Z40" i="81"/>
  <c r="X40" i="81"/>
  <c r="N40" i="81"/>
  <c r="L40" i="81"/>
  <c r="B40" i="81"/>
  <c r="Z39" i="81"/>
  <c r="X39" i="81"/>
  <c r="N39" i="81"/>
  <c r="L39" i="81"/>
  <c r="B39" i="81"/>
  <c r="Z38" i="81"/>
  <c r="X38" i="81"/>
  <c r="N38" i="81"/>
  <c r="L38" i="81"/>
  <c r="B38" i="81"/>
  <c r="Z37" i="81"/>
  <c r="X37" i="81"/>
  <c r="N37" i="81"/>
  <c r="L37" i="81"/>
  <c r="B37" i="81"/>
  <c r="Z36" i="81"/>
  <c r="X36" i="81"/>
  <c r="V36" i="81"/>
  <c r="L36" i="81"/>
  <c r="N36" i="81" s="1"/>
  <c r="B36" i="81"/>
  <c r="T35" i="81"/>
  <c r="P35" i="81"/>
  <c r="H35" i="81"/>
  <c r="D35" i="81"/>
  <c r="B35" i="81"/>
  <c r="Z34" i="81"/>
  <c r="X34" i="81"/>
  <c r="N34" i="81"/>
  <c r="L34" i="81"/>
  <c r="B34" i="81"/>
  <c r="Z33" i="81"/>
  <c r="X33" i="81"/>
  <c r="L33" i="81"/>
  <c r="N33" i="81" s="1"/>
  <c r="B33" i="81"/>
  <c r="X32" i="81"/>
  <c r="Z32" i="81" s="1"/>
  <c r="N32" i="81"/>
  <c r="L32" i="81"/>
  <c r="B32" i="81"/>
  <c r="Z31" i="81"/>
  <c r="X31" i="81"/>
  <c r="N31" i="81"/>
  <c r="L31" i="81"/>
  <c r="B31" i="81"/>
  <c r="Z30" i="81"/>
  <c r="X30" i="81"/>
  <c r="V30" i="81"/>
  <c r="N30" i="81"/>
  <c r="L30" i="81"/>
  <c r="B30" i="81"/>
  <c r="X29" i="81"/>
  <c r="Z29" i="81" s="1"/>
  <c r="L29" i="81"/>
  <c r="N29" i="81" s="1"/>
  <c r="B29" i="81"/>
  <c r="X28" i="81"/>
  <c r="Z28" i="81" s="1"/>
  <c r="N28" i="81"/>
  <c r="L28" i="81"/>
  <c r="B28" i="81"/>
  <c r="X27" i="81"/>
  <c r="Z27" i="81" s="1"/>
  <c r="L27" i="81"/>
  <c r="N27" i="81" s="1"/>
  <c r="J27" i="81"/>
  <c r="B27" i="81"/>
  <c r="Z26" i="81"/>
  <c r="X26" i="81"/>
  <c r="N26" i="81"/>
  <c r="L26" i="81"/>
  <c r="B26" i="81"/>
  <c r="T25" i="81"/>
  <c r="P25" i="81"/>
  <c r="H25" i="81"/>
  <c r="F25" i="81"/>
  <c r="D25" i="81"/>
  <c r="L25" i="81" s="1"/>
  <c r="N25" i="81" s="1"/>
  <c r="B25" i="81"/>
  <c r="T24" i="81"/>
  <c r="P24" i="81"/>
  <c r="X24" i="81" s="1"/>
  <c r="Z24" i="81" s="1"/>
  <c r="H24" i="81"/>
  <c r="D24" i="81"/>
  <c r="Z20" i="81"/>
  <c r="X20" i="81"/>
  <c r="N20" i="81"/>
  <c r="L20" i="81"/>
  <c r="B20" i="81"/>
  <c r="Z19" i="81"/>
  <c r="X19" i="81"/>
  <c r="V19" i="81"/>
  <c r="N19" i="81"/>
  <c r="L19" i="81"/>
  <c r="B19" i="81"/>
  <c r="Z18" i="81"/>
  <c r="X18" i="81"/>
  <c r="N18" i="81"/>
  <c r="L18" i="81"/>
  <c r="B18" i="81"/>
  <c r="T17" i="81"/>
  <c r="P17" i="81"/>
  <c r="J17" i="81"/>
  <c r="H17" i="81"/>
  <c r="D17" i="81"/>
  <c r="L17" i="81" s="1"/>
  <c r="Z15" i="81"/>
  <c r="P15" i="81"/>
  <c r="X15" i="81" s="1"/>
  <c r="N15" i="81"/>
  <c r="D15" i="81"/>
  <c r="L15" i="81" s="1"/>
  <c r="B15" i="81"/>
  <c r="P14" i="81"/>
  <c r="L14" i="81"/>
  <c r="N14" i="81" s="1"/>
  <c r="D14" i="81"/>
  <c r="B14" i="81"/>
  <c r="Z13" i="81"/>
  <c r="X13" i="81"/>
  <c r="P13" i="81"/>
  <c r="N13" i="81"/>
  <c r="D13" i="81"/>
  <c r="D12" i="81" s="1"/>
  <c r="F71" i="81" s="1"/>
  <c r="B13" i="81"/>
  <c r="T12" i="81"/>
  <c r="H12" i="81"/>
  <c r="J63" i="81" s="1"/>
  <c r="D6" i="81"/>
  <c r="D4" i="81"/>
  <c r="Z83" i="80"/>
  <c r="X83" i="80"/>
  <c r="N83" i="80"/>
  <c r="L83" i="80"/>
  <c r="Z79" i="80"/>
  <c r="T79" i="80"/>
  <c r="P79" i="80"/>
  <c r="N79" i="80"/>
  <c r="H79" i="80"/>
  <c r="D79" i="80"/>
  <c r="L79" i="80" s="1"/>
  <c r="Z77" i="80"/>
  <c r="X77" i="80"/>
  <c r="N77" i="80"/>
  <c r="L77" i="80"/>
  <c r="B77" i="80"/>
  <c r="X76" i="80"/>
  <c r="T76" i="80"/>
  <c r="P76" i="80"/>
  <c r="H76" i="80"/>
  <c r="D76" i="80"/>
  <c r="L76" i="80" s="1"/>
  <c r="N76" i="80" s="1"/>
  <c r="B76" i="80"/>
  <c r="Z75" i="80"/>
  <c r="X75" i="80"/>
  <c r="L75" i="80"/>
  <c r="N75" i="80" s="1"/>
  <c r="B75" i="80"/>
  <c r="T74" i="80"/>
  <c r="P74" i="80"/>
  <c r="X74" i="80" s="1"/>
  <c r="H74" i="80"/>
  <c r="D74" i="80"/>
  <c r="B74" i="80"/>
  <c r="Z73" i="80"/>
  <c r="X73" i="80"/>
  <c r="V73" i="80"/>
  <c r="N73" i="80"/>
  <c r="L73" i="80"/>
  <c r="B73" i="80"/>
  <c r="Z72" i="80"/>
  <c r="X72" i="80"/>
  <c r="N72" i="80"/>
  <c r="L72" i="80"/>
  <c r="B72" i="80"/>
  <c r="Z71" i="80"/>
  <c r="X71" i="80"/>
  <c r="V71" i="80"/>
  <c r="N71" i="80"/>
  <c r="L71" i="80"/>
  <c r="B71" i="80"/>
  <c r="X70" i="80"/>
  <c r="Z70" i="80" s="1"/>
  <c r="T70" i="80"/>
  <c r="P70" i="80"/>
  <c r="L70" i="80"/>
  <c r="H70" i="80"/>
  <c r="N70" i="80" s="1"/>
  <c r="D70" i="80"/>
  <c r="B70" i="80"/>
  <c r="Z69" i="80"/>
  <c r="X69" i="80"/>
  <c r="N69" i="80"/>
  <c r="L69" i="80"/>
  <c r="B69" i="80"/>
  <c r="X68" i="80"/>
  <c r="Z68" i="80" s="1"/>
  <c r="V68" i="80"/>
  <c r="L68" i="80"/>
  <c r="N68" i="80" s="1"/>
  <c r="B68" i="80"/>
  <c r="Z67" i="80"/>
  <c r="X67" i="80"/>
  <c r="V67" i="80"/>
  <c r="N67" i="80"/>
  <c r="L67" i="80"/>
  <c r="B67" i="80"/>
  <c r="T66" i="80"/>
  <c r="P66" i="80"/>
  <c r="X66" i="80" s="1"/>
  <c r="Z66" i="80" s="1"/>
  <c r="H66" i="80"/>
  <c r="D66" i="80"/>
  <c r="B66" i="80"/>
  <c r="X65" i="80"/>
  <c r="Z65" i="80" s="1"/>
  <c r="N65" i="80"/>
  <c r="L65" i="80"/>
  <c r="B65" i="80"/>
  <c r="Z64" i="80"/>
  <c r="X64" i="80"/>
  <c r="N64" i="80"/>
  <c r="L64" i="80"/>
  <c r="B64" i="80"/>
  <c r="V63" i="80"/>
  <c r="T63" i="80"/>
  <c r="P63" i="80"/>
  <c r="X63" i="80" s="1"/>
  <c r="Z63" i="80" s="1"/>
  <c r="N63" i="80"/>
  <c r="L63" i="80"/>
  <c r="H63" i="80"/>
  <c r="F63" i="80"/>
  <c r="D63" i="80"/>
  <c r="B63" i="80"/>
  <c r="Z62" i="80"/>
  <c r="X62" i="80"/>
  <c r="N62" i="80"/>
  <c r="L62" i="80"/>
  <c r="B62" i="80"/>
  <c r="Z61" i="80"/>
  <c r="X61" i="80"/>
  <c r="V61" i="80"/>
  <c r="N61" i="80"/>
  <c r="L61" i="80"/>
  <c r="B61" i="80"/>
  <c r="Z60" i="80"/>
  <c r="X60" i="80"/>
  <c r="N60" i="80"/>
  <c r="L60" i="80"/>
  <c r="B60" i="80"/>
  <c r="X59" i="80"/>
  <c r="T59" i="80"/>
  <c r="Z59" i="80" s="1"/>
  <c r="P59" i="80"/>
  <c r="N59" i="80"/>
  <c r="J59" i="80"/>
  <c r="H59" i="80"/>
  <c r="L59" i="80" s="1"/>
  <c r="D59" i="80"/>
  <c r="B59" i="80"/>
  <c r="Z58" i="80"/>
  <c r="X58" i="80"/>
  <c r="N58" i="80"/>
  <c r="L58" i="80"/>
  <c r="B58" i="80"/>
  <c r="Z57" i="80"/>
  <c r="T57" i="80"/>
  <c r="P57" i="80"/>
  <c r="X57" i="80" s="1"/>
  <c r="N57" i="80"/>
  <c r="J57" i="80"/>
  <c r="H57" i="80"/>
  <c r="D57" i="80"/>
  <c r="L57" i="80" s="1"/>
  <c r="B57" i="80"/>
  <c r="X56" i="80"/>
  <c r="Z56" i="80" s="1"/>
  <c r="V56" i="80"/>
  <c r="L56" i="80"/>
  <c r="N56" i="80" s="1"/>
  <c r="B56" i="80"/>
  <c r="T55" i="80"/>
  <c r="P55" i="80"/>
  <c r="X55" i="80" s="1"/>
  <c r="Z55" i="80" s="1"/>
  <c r="H55" i="80"/>
  <c r="D55" i="80"/>
  <c r="L55" i="80" s="1"/>
  <c r="N55" i="80" s="1"/>
  <c r="B55" i="80"/>
  <c r="Z54" i="80"/>
  <c r="X54" i="80"/>
  <c r="N54" i="80"/>
  <c r="L54" i="80"/>
  <c r="B54" i="80"/>
  <c r="T53" i="80"/>
  <c r="P53" i="80"/>
  <c r="H53" i="80"/>
  <c r="N53" i="80" s="1"/>
  <c r="D53" i="80"/>
  <c r="B53" i="80"/>
  <c r="Z52" i="80"/>
  <c r="X52" i="80"/>
  <c r="L52" i="80"/>
  <c r="N52" i="80" s="1"/>
  <c r="J52" i="80"/>
  <c r="B52" i="80"/>
  <c r="T51" i="80"/>
  <c r="P51" i="80"/>
  <c r="H51" i="80"/>
  <c r="N51" i="80" s="1"/>
  <c r="F51" i="80"/>
  <c r="D51" i="80"/>
  <c r="L51" i="80" s="1"/>
  <c r="B51" i="80"/>
  <c r="X50" i="80"/>
  <c r="Z50" i="80" s="1"/>
  <c r="L50" i="80"/>
  <c r="N50" i="80" s="1"/>
  <c r="B50" i="80"/>
  <c r="T49" i="80"/>
  <c r="P49" i="80"/>
  <c r="X49" i="80" s="1"/>
  <c r="Z49" i="80" s="1"/>
  <c r="J49" i="80"/>
  <c r="H49" i="80"/>
  <c r="D49" i="80"/>
  <c r="L49" i="80" s="1"/>
  <c r="N49" i="80" s="1"/>
  <c r="B49" i="80"/>
  <c r="Z48" i="80"/>
  <c r="X48" i="80"/>
  <c r="N48" i="80"/>
  <c r="L48" i="80"/>
  <c r="J48" i="80"/>
  <c r="B48" i="80"/>
  <c r="X47" i="80"/>
  <c r="T47" i="80"/>
  <c r="Z47" i="80" s="1"/>
  <c r="P47" i="80"/>
  <c r="J47" i="80"/>
  <c r="H47" i="80"/>
  <c r="N47" i="80" s="1"/>
  <c r="D47" i="80"/>
  <c r="B47" i="80"/>
  <c r="Z46" i="80"/>
  <c r="X46" i="80"/>
  <c r="N46" i="80"/>
  <c r="L46" i="80"/>
  <c r="B46" i="80"/>
  <c r="Z45" i="80"/>
  <c r="T45" i="80"/>
  <c r="P45" i="80"/>
  <c r="X45" i="80" s="1"/>
  <c r="H45" i="80"/>
  <c r="N45" i="80" s="1"/>
  <c r="D45" i="80"/>
  <c r="B45" i="80"/>
  <c r="Z44" i="80"/>
  <c r="X44" i="80"/>
  <c r="V44" i="80"/>
  <c r="N44" i="80"/>
  <c r="L44" i="80"/>
  <c r="B44" i="80"/>
  <c r="Z43" i="80"/>
  <c r="X43" i="80"/>
  <c r="N43" i="80"/>
  <c r="L43" i="80"/>
  <c r="B43" i="80"/>
  <c r="X42" i="80"/>
  <c r="Z42" i="80" s="1"/>
  <c r="V42" i="80"/>
  <c r="L42" i="80"/>
  <c r="N42" i="80" s="1"/>
  <c r="B42" i="80"/>
  <c r="X41" i="80"/>
  <c r="Z41" i="80" s="1"/>
  <c r="V41" i="80"/>
  <c r="N41" i="80"/>
  <c r="L41" i="80"/>
  <c r="B41" i="80"/>
  <c r="Z40" i="80"/>
  <c r="X40" i="80"/>
  <c r="V40" i="80"/>
  <c r="N40" i="80"/>
  <c r="L40" i="80"/>
  <c r="F40" i="80"/>
  <c r="B40" i="80"/>
  <c r="Z39" i="80"/>
  <c r="X39" i="80"/>
  <c r="N39" i="80"/>
  <c r="L39" i="80"/>
  <c r="B39" i="80"/>
  <c r="Z38" i="80"/>
  <c r="X38" i="80"/>
  <c r="V38" i="80"/>
  <c r="N38" i="80"/>
  <c r="L38" i="80"/>
  <c r="B38" i="80"/>
  <c r="Z37" i="80"/>
  <c r="X37" i="80"/>
  <c r="N37" i="80"/>
  <c r="L37" i="80"/>
  <c r="B37" i="80"/>
  <c r="Z36" i="80"/>
  <c r="X36" i="80"/>
  <c r="N36" i="80"/>
  <c r="L36" i="80"/>
  <c r="B36" i="80"/>
  <c r="Z35" i="80"/>
  <c r="X35" i="80"/>
  <c r="L35" i="80"/>
  <c r="N35" i="80" s="1"/>
  <c r="B35" i="80"/>
  <c r="V34" i="80"/>
  <c r="T34" i="80"/>
  <c r="P34" i="80"/>
  <c r="X34" i="80" s="1"/>
  <c r="H34" i="80"/>
  <c r="D34" i="80"/>
  <c r="L34" i="80" s="1"/>
  <c r="B34" i="80"/>
  <c r="Z33" i="80"/>
  <c r="X33" i="80"/>
  <c r="N33" i="80"/>
  <c r="L33" i="80"/>
  <c r="B33" i="80"/>
  <c r="X32" i="80"/>
  <c r="Z32" i="80" s="1"/>
  <c r="L32" i="80"/>
  <c r="N32" i="80" s="1"/>
  <c r="B32" i="80"/>
  <c r="Z31" i="80"/>
  <c r="X31" i="80"/>
  <c r="V31" i="80"/>
  <c r="N31" i="80"/>
  <c r="L31" i="80"/>
  <c r="J31" i="80"/>
  <c r="B31" i="80"/>
  <c r="X30" i="80"/>
  <c r="Z30" i="80" s="1"/>
  <c r="N30" i="80"/>
  <c r="L30" i="80"/>
  <c r="B30" i="80"/>
  <c r="X29" i="80"/>
  <c r="Z29" i="80" s="1"/>
  <c r="V29" i="80"/>
  <c r="N29" i="80"/>
  <c r="L29" i="80"/>
  <c r="B29" i="80"/>
  <c r="X28" i="80"/>
  <c r="Z28" i="80" s="1"/>
  <c r="N28" i="80"/>
  <c r="L28" i="80"/>
  <c r="B28" i="80"/>
  <c r="X27" i="80"/>
  <c r="Z27" i="80" s="1"/>
  <c r="N27" i="80"/>
  <c r="L27" i="80"/>
  <c r="B27" i="80"/>
  <c r="X26" i="80"/>
  <c r="Z26" i="80" s="1"/>
  <c r="V26" i="80"/>
  <c r="L26" i="80"/>
  <c r="N26" i="80" s="1"/>
  <c r="B26" i="80"/>
  <c r="V25" i="80"/>
  <c r="T25" i="80"/>
  <c r="P25" i="80"/>
  <c r="L25" i="80"/>
  <c r="H25" i="80"/>
  <c r="D25" i="80"/>
  <c r="B25" i="80"/>
  <c r="T24" i="80"/>
  <c r="P24" i="80"/>
  <c r="X24" i="80" s="1"/>
  <c r="H24" i="80"/>
  <c r="J24" i="80" s="1"/>
  <c r="D24" i="80"/>
  <c r="L24" i="80" s="1"/>
  <c r="N24" i="80" s="1"/>
  <c r="T22" i="80"/>
  <c r="T81" i="80" s="1"/>
  <c r="Z20" i="80"/>
  <c r="X20" i="80"/>
  <c r="N20" i="80"/>
  <c r="L20" i="80"/>
  <c r="F20" i="80"/>
  <c r="B20" i="80"/>
  <c r="Z19" i="80"/>
  <c r="X19" i="80"/>
  <c r="N19" i="80"/>
  <c r="L19" i="80"/>
  <c r="J19" i="80"/>
  <c r="B19" i="80"/>
  <c r="X18" i="80"/>
  <c r="Z18" i="80" s="1"/>
  <c r="L18" i="80"/>
  <c r="N18" i="80" s="1"/>
  <c r="J18" i="80"/>
  <c r="B18" i="80"/>
  <c r="Z17" i="80"/>
  <c r="X17" i="80"/>
  <c r="T17" i="80"/>
  <c r="P17" i="80"/>
  <c r="H17" i="80"/>
  <c r="H22" i="80" s="1"/>
  <c r="D17" i="80"/>
  <c r="L17" i="80" s="1"/>
  <c r="Z15" i="80"/>
  <c r="X15" i="80"/>
  <c r="P15" i="80"/>
  <c r="N15" i="80"/>
  <c r="L15" i="80"/>
  <c r="D15" i="80"/>
  <c r="B15" i="80"/>
  <c r="P14" i="80"/>
  <c r="X14" i="80" s="1"/>
  <c r="Z14" i="80" s="1"/>
  <c r="D14" i="80"/>
  <c r="L14" i="80" s="1"/>
  <c r="N14" i="80" s="1"/>
  <c r="B14" i="80"/>
  <c r="Z13" i="80"/>
  <c r="P13" i="80"/>
  <c r="N13" i="80"/>
  <c r="L13" i="80"/>
  <c r="D13" i="80"/>
  <c r="B13" i="80"/>
  <c r="T12" i="80"/>
  <c r="V64" i="80" s="1"/>
  <c r="H12" i="80"/>
  <c r="D12" i="80"/>
  <c r="D6" i="80"/>
  <c r="D4" i="80"/>
  <c r="X76" i="79"/>
  <c r="Z76" i="79" s="1"/>
  <c r="L76" i="79"/>
  <c r="N76" i="79" s="1"/>
  <c r="Z72" i="79"/>
  <c r="X72" i="79"/>
  <c r="P72" i="79"/>
  <c r="N72" i="79"/>
  <c r="D72" i="79"/>
  <c r="B72" i="79"/>
  <c r="V71" i="79"/>
  <c r="P71" i="79"/>
  <c r="X71" i="79" s="1"/>
  <c r="Z71" i="79" s="1"/>
  <c r="D71" i="79"/>
  <c r="L71" i="79" s="1"/>
  <c r="N71" i="79" s="1"/>
  <c r="B71" i="79"/>
  <c r="Z70" i="79"/>
  <c r="R70" i="79"/>
  <c r="P70" i="79"/>
  <c r="X70" i="79" s="1"/>
  <c r="N70" i="79"/>
  <c r="L70" i="79"/>
  <c r="D70" i="79"/>
  <c r="B70" i="79"/>
  <c r="Z69" i="79"/>
  <c r="P69" i="79"/>
  <c r="N69" i="79"/>
  <c r="L69" i="79"/>
  <c r="D69" i="79"/>
  <c r="B69" i="79"/>
  <c r="Z68" i="79"/>
  <c r="X68" i="79"/>
  <c r="P68" i="79"/>
  <c r="N68" i="79"/>
  <c r="D68" i="79"/>
  <c r="L68" i="79" s="1"/>
  <c r="B68" i="79"/>
  <c r="V67" i="79"/>
  <c r="T67" i="79"/>
  <c r="H67" i="79"/>
  <c r="Z65" i="79"/>
  <c r="X65" i="79"/>
  <c r="V65" i="79"/>
  <c r="N65" i="79"/>
  <c r="L65" i="79"/>
  <c r="J65" i="79"/>
  <c r="B65" i="79"/>
  <c r="V64" i="79"/>
  <c r="T64" i="79"/>
  <c r="Z64" i="79" s="1"/>
  <c r="P64" i="79"/>
  <c r="X64" i="79" s="1"/>
  <c r="H64" i="79"/>
  <c r="N64" i="79" s="1"/>
  <c r="D64" i="79"/>
  <c r="B64" i="79"/>
  <c r="X63" i="79"/>
  <c r="Z63" i="79" s="1"/>
  <c r="N63" i="79"/>
  <c r="L63" i="79"/>
  <c r="B63" i="79"/>
  <c r="Z62" i="79"/>
  <c r="X62" i="79"/>
  <c r="N62" i="79"/>
  <c r="L62" i="79"/>
  <c r="B62" i="79"/>
  <c r="X61" i="79"/>
  <c r="V61" i="79"/>
  <c r="T61" i="79"/>
  <c r="Z61" i="79" s="1"/>
  <c r="P61" i="79"/>
  <c r="L61" i="79"/>
  <c r="H61" i="79"/>
  <c r="N61" i="79" s="1"/>
  <c r="D61" i="79"/>
  <c r="B61" i="79"/>
  <c r="X60" i="79"/>
  <c r="Z60" i="79" s="1"/>
  <c r="L60" i="79"/>
  <c r="N60" i="79" s="1"/>
  <c r="B60" i="79"/>
  <c r="Z59" i="79"/>
  <c r="X59" i="79"/>
  <c r="T59" i="79"/>
  <c r="R59" i="79"/>
  <c r="P59" i="79"/>
  <c r="H59" i="79"/>
  <c r="D59" i="79"/>
  <c r="L59" i="79" s="1"/>
  <c r="N59" i="79" s="1"/>
  <c r="B59" i="79"/>
  <c r="Z58" i="79"/>
  <c r="X58" i="79"/>
  <c r="R58" i="79"/>
  <c r="L58" i="79"/>
  <c r="N58" i="79" s="1"/>
  <c r="B58" i="79"/>
  <c r="V57" i="79"/>
  <c r="T57" i="79"/>
  <c r="Z57" i="79" s="1"/>
  <c r="P57" i="79"/>
  <c r="X57" i="79" s="1"/>
  <c r="N57" i="79"/>
  <c r="H57" i="79"/>
  <c r="D57" i="79"/>
  <c r="L57" i="79" s="1"/>
  <c r="B57" i="79"/>
  <c r="Z56" i="79"/>
  <c r="X56" i="79"/>
  <c r="N56" i="79"/>
  <c r="L56" i="79"/>
  <c r="B56" i="79"/>
  <c r="X55" i="79"/>
  <c r="Z55" i="79" s="1"/>
  <c r="N55" i="79"/>
  <c r="L55" i="79"/>
  <c r="B55" i="79"/>
  <c r="X54" i="79"/>
  <c r="T54" i="79"/>
  <c r="Z54" i="79" s="1"/>
  <c r="P54" i="79"/>
  <c r="H54" i="79"/>
  <c r="D54" i="79"/>
  <c r="L54" i="79" s="1"/>
  <c r="N54" i="79" s="1"/>
  <c r="B54" i="79"/>
  <c r="Z53" i="79"/>
  <c r="X53" i="79"/>
  <c r="L53" i="79"/>
  <c r="N53" i="79" s="1"/>
  <c r="J53" i="79"/>
  <c r="B53" i="79"/>
  <c r="X52" i="79"/>
  <c r="T52" i="79"/>
  <c r="P52" i="79"/>
  <c r="H52" i="79"/>
  <c r="D52" i="79"/>
  <c r="L52" i="79" s="1"/>
  <c r="B52" i="79"/>
  <c r="Z51" i="79"/>
  <c r="X51" i="79"/>
  <c r="V51" i="79"/>
  <c r="L51" i="79"/>
  <c r="N51" i="79" s="1"/>
  <c r="B51" i="79"/>
  <c r="T50" i="79"/>
  <c r="P50" i="79"/>
  <c r="H50" i="79"/>
  <c r="D50" i="79"/>
  <c r="L50" i="79" s="1"/>
  <c r="N50" i="79" s="1"/>
  <c r="B50" i="79"/>
  <c r="Z49" i="79"/>
  <c r="X49" i="79"/>
  <c r="V49" i="79"/>
  <c r="N49" i="79"/>
  <c r="L49" i="79"/>
  <c r="B49" i="79"/>
  <c r="Z48" i="79"/>
  <c r="X48" i="79"/>
  <c r="N48" i="79"/>
  <c r="L48" i="79"/>
  <c r="B48" i="79"/>
  <c r="Z47" i="79"/>
  <c r="X47" i="79"/>
  <c r="N47" i="79"/>
  <c r="L47" i="79"/>
  <c r="B47" i="79"/>
  <c r="Z46" i="79"/>
  <c r="X46" i="79"/>
  <c r="N46" i="79"/>
  <c r="L46" i="79"/>
  <c r="B46" i="79"/>
  <c r="Z45" i="79"/>
  <c r="X45" i="79"/>
  <c r="V45" i="79"/>
  <c r="N45" i="79"/>
  <c r="L45" i="79"/>
  <c r="B45" i="79"/>
  <c r="Z44" i="79"/>
  <c r="X44" i="79"/>
  <c r="N44" i="79"/>
  <c r="L44" i="79"/>
  <c r="B44" i="79"/>
  <c r="Z43" i="79"/>
  <c r="X43" i="79"/>
  <c r="N43" i="79"/>
  <c r="L43" i="79"/>
  <c r="B43" i="79"/>
  <c r="Z42" i="79"/>
  <c r="X42" i="79"/>
  <c r="N42" i="79"/>
  <c r="L42" i="79"/>
  <c r="B42" i="79"/>
  <c r="X41" i="79"/>
  <c r="Z41" i="79" s="1"/>
  <c r="V41" i="79"/>
  <c r="N41" i="79"/>
  <c r="L41" i="79"/>
  <c r="B41" i="79"/>
  <c r="Z40" i="79"/>
  <c r="X40" i="79"/>
  <c r="V40" i="79"/>
  <c r="N40" i="79"/>
  <c r="L40" i="79"/>
  <c r="B40" i="79"/>
  <c r="X39" i="79"/>
  <c r="T39" i="79"/>
  <c r="Z39" i="79" s="1"/>
  <c r="R39" i="79"/>
  <c r="P39" i="79"/>
  <c r="L39" i="79"/>
  <c r="J39" i="79"/>
  <c r="H39" i="79"/>
  <c r="N39" i="79" s="1"/>
  <c r="D39" i="79"/>
  <c r="B39" i="79"/>
  <c r="Z38" i="79"/>
  <c r="X38" i="79"/>
  <c r="R38" i="79"/>
  <c r="N38" i="79"/>
  <c r="L38" i="79"/>
  <c r="B38" i="79"/>
  <c r="Z37" i="79"/>
  <c r="X37" i="79"/>
  <c r="L37" i="79"/>
  <c r="N37" i="79" s="1"/>
  <c r="J37" i="79"/>
  <c r="B37" i="79"/>
  <c r="Z36" i="79"/>
  <c r="X36" i="79"/>
  <c r="N36" i="79"/>
  <c r="L36" i="79"/>
  <c r="B36" i="79"/>
  <c r="Z35" i="79"/>
  <c r="X35" i="79"/>
  <c r="N35" i="79"/>
  <c r="L35" i="79"/>
  <c r="B35" i="79"/>
  <c r="Z34" i="79"/>
  <c r="X34" i="79"/>
  <c r="R34" i="79"/>
  <c r="N34" i="79"/>
  <c r="L34" i="79"/>
  <c r="B34" i="79"/>
  <c r="Z33" i="79"/>
  <c r="X33" i="79"/>
  <c r="L33" i="79"/>
  <c r="N33" i="79" s="1"/>
  <c r="J33" i="79"/>
  <c r="B33" i="79"/>
  <c r="X32" i="79"/>
  <c r="Z32" i="79" s="1"/>
  <c r="L32" i="79"/>
  <c r="N32" i="79" s="1"/>
  <c r="B32" i="79"/>
  <c r="Z31" i="79"/>
  <c r="X31" i="79"/>
  <c r="N31" i="79"/>
  <c r="L31" i="79"/>
  <c r="B31" i="79"/>
  <c r="T30" i="79"/>
  <c r="P30" i="79"/>
  <c r="L30" i="79"/>
  <c r="H30" i="79"/>
  <c r="D30" i="79"/>
  <c r="B30" i="79"/>
  <c r="T29" i="79"/>
  <c r="P29" i="79"/>
  <c r="X29" i="79" s="1"/>
  <c r="N29" i="79"/>
  <c r="H29" i="79"/>
  <c r="D29" i="79"/>
  <c r="L29" i="79" s="1"/>
  <c r="V27" i="79"/>
  <c r="T27" i="79"/>
  <c r="Z25" i="79"/>
  <c r="X25" i="79"/>
  <c r="V25" i="79"/>
  <c r="N25" i="79"/>
  <c r="L25" i="79"/>
  <c r="J25" i="79"/>
  <c r="B25" i="79"/>
  <c r="Z24" i="79"/>
  <c r="X24" i="79"/>
  <c r="V24" i="79"/>
  <c r="N24" i="79"/>
  <c r="L24" i="79"/>
  <c r="B24" i="79"/>
  <c r="Z23" i="79"/>
  <c r="X23" i="79"/>
  <c r="V23" i="79"/>
  <c r="N23" i="79"/>
  <c r="L23" i="79"/>
  <c r="B23" i="79"/>
  <c r="Z22" i="79"/>
  <c r="X22" i="79"/>
  <c r="V22" i="79"/>
  <c r="R22" i="79"/>
  <c r="N22" i="79"/>
  <c r="L22" i="79"/>
  <c r="B22" i="79"/>
  <c r="Z21" i="79"/>
  <c r="X21" i="79"/>
  <c r="V21" i="79"/>
  <c r="N21" i="79"/>
  <c r="L21" i="79"/>
  <c r="J21" i="79"/>
  <c r="B21" i="79"/>
  <c r="X20" i="79"/>
  <c r="Z20" i="79" s="1"/>
  <c r="V20" i="79"/>
  <c r="N20" i="79"/>
  <c r="L20" i="79"/>
  <c r="B20" i="79"/>
  <c r="V19" i="79"/>
  <c r="T19" i="79"/>
  <c r="P19" i="79"/>
  <c r="X19" i="79" s="1"/>
  <c r="Z19" i="79" s="1"/>
  <c r="J19" i="79"/>
  <c r="H19" i="79"/>
  <c r="N19" i="79" s="1"/>
  <c r="D19" i="79"/>
  <c r="L19" i="79" s="1"/>
  <c r="Z17" i="79"/>
  <c r="P17" i="79"/>
  <c r="X17" i="79" s="1"/>
  <c r="N17" i="79"/>
  <c r="D17" i="79"/>
  <c r="L17" i="79" s="1"/>
  <c r="B17" i="79"/>
  <c r="X16" i="79"/>
  <c r="Z16" i="79" s="1"/>
  <c r="P16" i="79"/>
  <c r="N16" i="79"/>
  <c r="D16" i="79"/>
  <c r="L16" i="79" s="1"/>
  <c r="B16" i="79"/>
  <c r="Z15" i="79"/>
  <c r="P15" i="79"/>
  <c r="X15" i="79" s="1"/>
  <c r="N15" i="79"/>
  <c r="D15" i="79"/>
  <c r="L15" i="79" s="1"/>
  <c r="B15" i="79"/>
  <c r="Z14" i="79"/>
  <c r="P14" i="79"/>
  <c r="X14" i="79" s="1"/>
  <c r="N14" i="79"/>
  <c r="D14" i="79"/>
  <c r="L14" i="79" s="1"/>
  <c r="B14" i="79"/>
  <c r="X13" i="79"/>
  <c r="Z13" i="79" s="1"/>
  <c r="P13" i="79"/>
  <c r="N13" i="79"/>
  <c r="L13" i="79"/>
  <c r="D13" i="79"/>
  <c r="D12" i="79" s="1"/>
  <c r="B13" i="79"/>
  <c r="X12" i="79"/>
  <c r="Z12" i="79" s="1"/>
  <c r="T12" i="79"/>
  <c r="P12" i="79"/>
  <c r="R71" i="79" s="1"/>
  <c r="H12" i="79"/>
  <c r="J56" i="79" s="1"/>
  <c r="D6" i="79"/>
  <c r="D4" i="79"/>
  <c r="X114" i="77"/>
  <c r="Z114" i="77" s="1"/>
  <c r="L114" i="77"/>
  <c r="N114" i="77" s="1"/>
  <c r="X110" i="77"/>
  <c r="Z110" i="77" s="1"/>
  <c r="P110" i="77"/>
  <c r="D110" i="77"/>
  <c r="L110" i="77" s="1"/>
  <c r="N110" i="77" s="1"/>
  <c r="B110" i="77"/>
  <c r="Z109" i="77"/>
  <c r="V109" i="77"/>
  <c r="P109" i="77"/>
  <c r="X109" i="77" s="1"/>
  <c r="N109" i="77"/>
  <c r="L109" i="77"/>
  <c r="D109" i="77"/>
  <c r="B109" i="77"/>
  <c r="Z108" i="77"/>
  <c r="P108" i="77"/>
  <c r="X108" i="77" s="1"/>
  <c r="N108" i="77"/>
  <c r="D108" i="77"/>
  <c r="L108" i="77" s="1"/>
  <c r="B108" i="77"/>
  <c r="Z107" i="77"/>
  <c r="P107" i="77"/>
  <c r="X107" i="77" s="1"/>
  <c r="N107" i="77"/>
  <c r="D107" i="77"/>
  <c r="L107" i="77" s="1"/>
  <c r="B107" i="77"/>
  <c r="T106" i="77"/>
  <c r="P106" i="77"/>
  <c r="X106" i="77" s="1"/>
  <c r="Z106" i="77" s="1"/>
  <c r="H106" i="77"/>
  <c r="Z104" i="77"/>
  <c r="X104" i="77"/>
  <c r="N104" i="77"/>
  <c r="L104" i="77"/>
  <c r="B104" i="77"/>
  <c r="X103" i="77"/>
  <c r="T103" i="77"/>
  <c r="Z103" i="77" s="1"/>
  <c r="P103" i="77"/>
  <c r="L103" i="77"/>
  <c r="J103" i="77"/>
  <c r="H103" i="77"/>
  <c r="N103" i="77" s="1"/>
  <c r="D103" i="77"/>
  <c r="B103" i="77"/>
  <c r="Z102" i="77"/>
  <c r="X102" i="77"/>
  <c r="N102" i="77"/>
  <c r="L102" i="77"/>
  <c r="B102" i="77"/>
  <c r="T101" i="77"/>
  <c r="P101" i="77"/>
  <c r="X101" i="77" s="1"/>
  <c r="N101" i="77"/>
  <c r="L101" i="77"/>
  <c r="H101" i="77"/>
  <c r="D101" i="77"/>
  <c r="B101" i="77"/>
  <c r="Z100" i="77"/>
  <c r="X100" i="77"/>
  <c r="N100" i="77"/>
  <c r="L100" i="77"/>
  <c r="B100" i="77"/>
  <c r="Z99" i="77"/>
  <c r="X99" i="77"/>
  <c r="L99" i="77"/>
  <c r="N99" i="77" s="1"/>
  <c r="B99" i="77"/>
  <c r="T98" i="77"/>
  <c r="P98" i="77"/>
  <c r="X98" i="77" s="1"/>
  <c r="H98" i="77"/>
  <c r="D98" i="77"/>
  <c r="L98" i="77" s="1"/>
  <c r="B98" i="77"/>
  <c r="Z97" i="77"/>
  <c r="X97" i="77"/>
  <c r="V97" i="77"/>
  <c r="N97" i="77"/>
  <c r="L97" i="77"/>
  <c r="B97" i="77"/>
  <c r="X96" i="77"/>
  <c r="Z96" i="77" s="1"/>
  <c r="L96" i="77"/>
  <c r="N96" i="77" s="1"/>
  <c r="B96" i="77"/>
  <c r="X95" i="77"/>
  <c r="Z95" i="77" s="1"/>
  <c r="T95" i="77"/>
  <c r="P95" i="77"/>
  <c r="L95" i="77"/>
  <c r="J95" i="77"/>
  <c r="H95" i="77"/>
  <c r="N95" i="77" s="1"/>
  <c r="D95" i="77"/>
  <c r="B95" i="77"/>
  <c r="Z94" i="77"/>
  <c r="X94" i="77"/>
  <c r="N94" i="77"/>
  <c r="L94" i="77"/>
  <c r="B94" i="77"/>
  <c r="T93" i="77"/>
  <c r="Z93" i="77" s="1"/>
  <c r="P93" i="77"/>
  <c r="X93" i="77" s="1"/>
  <c r="N93" i="77"/>
  <c r="L93" i="77"/>
  <c r="H93" i="77"/>
  <c r="D93" i="77"/>
  <c r="B93" i="77"/>
  <c r="Z92" i="77"/>
  <c r="X92" i="77"/>
  <c r="N92" i="77"/>
  <c r="L92" i="77"/>
  <c r="B92" i="77"/>
  <c r="Z91" i="77"/>
  <c r="T91" i="77"/>
  <c r="P91" i="77"/>
  <c r="X91" i="77" s="1"/>
  <c r="J91" i="77"/>
  <c r="H91" i="77"/>
  <c r="N91" i="77" s="1"/>
  <c r="D91" i="77"/>
  <c r="L91" i="77" s="1"/>
  <c r="B91" i="77"/>
  <c r="X90" i="77"/>
  <c r="Z90" i="77" s="1"/>
  <c r="N90" i="77"/>
  <c r="L90" i="77"/>
  <c r="B90" i="77"/>
  <c r="X89" i="77"/>
  <c r="V89" i="77"/>
  <c r="T89" i="77"/>
  <c r="Z89" i="77" s="1"/>
  <c r="P89" i="77"/>
  <c r="L89" i="77"/>
  <c r="N89" i="77" s="1"/>
  <c r="H89" i="77"/>
  <c r="D89" i="77"/>
  <c r="B89" i="77"/>
  <c r="X88" i="77"/>
  <c r="Z88" i="77" s="1"/>
  <c r="L88" i="77"/>
  <c r="N88" i="77" s="1"/>
  <c r="B88" i="77"/>
  <c r="Z87" i="77"/>
  <c r="X87" i="77"/>
  <c r="T87" i="77"/>
  <c r="P87" i="77"/>
  <c r="H87" i="77"/>
  <c r="D87" i="77"/>
  <c r="L87" i="77" s="1"/>
  <c r="B87" i="77"/>
  <c r="Z86" i="77"/>
  <c r="X86" i="77"/>
  <c r="L86" i="77"/>
  <c r="N86" i="77" s="1"/>
  <c r="B86" i="77"/>
  <c r="V85" i="77"/>
  <c r="T85" i="77"/>
  <c r="Z85" i="77" s="1"/>
  <c r="P85" i="77"/>
  <c r="X85" i="77" s="1"/>
  <c r="H85" i="77"/>
  <c r="D85" i="77"/>
  <c r="L85" i="77" s="1"/>
  <c r="N85" i="77" s="1"/>
  <c r="B85" i="77"/>
  <c r="Z84" i="77"/>
  <c r="X84" i="77"/>
  <c r="N84" i="77"/>
  <c r="L84" i="77"/>
  <c r="B84" i="77"/>
  <c r="Z83" i="77"/>
  <c r="X83" i="77"/>
  <c r="T83" i="77"/>
  <c r="P83" i="77"/>
  <c r="L83" i="77"/>
  <c r="J83" i="77"/>
  <c r="H83" i="77"/>
  <c r="N83" i="77" s="1"/>
  <c r="D83" i="77"/>
  <c r="B83" i="77"/>
  <c r="Z82" i="77"/>
  <c r="X82" i="77"/>
  <c r="N82" i="77"/>
  <c r="L82" i="77"/>
  <c r="B82" i="77"/>
  <c r="T81" i="77"/>
  <c r="Z81" i="77" s="1"/>
  <c r="P81" i="77"/>
  <c r="X81" i="77" s="1"/>
  <c r="N81" i="77"/>
  <c r="L81" i="77"/>
  <c r="H81" i="77"/>
  <c r="D81" i="77"/>
  <c r="B81" i="77"/>
  <c r="Z80" i="77"/>
  <c r="X80" i="77"/>
  <c r="V80" i="77"/>
  <c r="N80" i="77"/>
  <c r="L80" i="77"/>
  <c r="B80" i="77"/>
  <c r="Z79" i="77"/>
  <c r="X79" i="77"/>
  <c r="V79" i="77"/>
  <c r="N79" i="77"/>
  <c r="L79" i="77"/>
  <c r="B79" i="77"/>
  <c r="Z78" i="77"/>
  <c r="X78" i="77"/>
  <c r="L78" i="77"/>
  <c r="N78" i="77" s="1"/>
  <c r="B78" i="77"/>
  <c r="X77" i="77"/>
  <c r="Z77" i="77" s="1"/>
  <c r="V77" i="77"/>
  <c r="N77" i="77"/>
  <c r="L77" i="77"/>
  <c r="J77" i="77"/>
  <c r="B77" i="77"/>
  <c r="Z76" i="77"/>
  <c r="X76" i="77"/>
  <c r="V76" i="77"/>
  <c r="N76" i="77"/>
  <c r="L76" i="77"/>
  <c r="B76" i="77"/>
  <c r="Z75" i="77"/>
  <c r="X75" i="77"/>
  <c r="V75" i="77"/>
  <c r="N75" i="77"/>
  <c r="L75" i="77"/>
  <c r="B75" i="77"/>
  <c r="Z74" i="77"/>
  <c r="X74" i="77"/>
  <c r="L74" i="77"/>
  <c r="N74" i="77" s="1"/>
  <c r="B74" i="77"/>
  <c r="Z73" i="77"/>
  <c r="X73" i="77"/>
  <c r="V73" i="77"/>
  <c r="N73" i="77"/>
  <c r="L73" i="77"/>
  <c r="J73" i="77"/>
  <c r="B73" i="77"/>
  <c r="Z72" i="77"/>
  <c r="X72" i="77"/>
  <c r="V72" i="77"/>
  <c r="N72" i="77"/>
  <c r="L72" i="77"/>
  <c r="B72" i="77"/>
  <c r="Z71" i="77"/>
  <c r="X71" i="77"/>
  <c r="V71" i="77"/>
  <c r="L71" i="77"/>
  <c r="N71" i="77" s="1"/>
  <c r="B71" i="77"/>
  <c r="T70" i="77"/>
  <c r="P70" i="77"/>
  <c r="X70" i="77" s="1"/>
  <c r="J70" i="77"/>
  <c r="H70" i="77"/>
  <c r="D70" i="77"/>
  <c r="L70" i="77" s="1"/>
  <c r="N70" i="77" s="1"/>
  <c r="B70" i="77"/>
  <c r="Z69" i="77"/>
  <c r="X69" i="77"/>
  <c r="V69" i="77"/>
  <c r="N69" i="77"/>
  <c r="L69" i="77"/>
  <c r="B69" i="77"/>
  <c r="X68" i="77"/>
  <c r="Z68" i="77" s="1"/>
  <c r="L68" i="77"/>
  <c r="N68" i="77" s="1"/>
  <c r="B68" i="77"/>
  <c r="X67" i="77"/>
  <c r="Z67" i="77" s="1"/>
  <c r="N67" i="77"/>
  <c r="L67" i="77"/>
  <c r="B67" i="77"/>
  <c r="Z66" i="77"/>
  <c r="X66" i="77"/>
  <c r="N66" i="77"/>
  <c r="L66" i="77"/>
  <c r="B66" i="77"/>
  <c r="Z65" i="77"/>
  <c r="X65" i="77"/>
  <c r="V65" i="77"/>
  <c r="N65" i="77"/>
  <c r="L65" i="77"/>
  <c r="B65" i="77"/>
  <c r="X64" i="77"/>
  <c r="Z64" i="77" s="1"/>
  <c r="L64" i="77"/>
  <c r="N64" i="77" s="1"/>
  <c r="B64" i="77"/>
  <c r="X63" i="77"/>
  <c r="Z63" i="77" s="1"/>
  <c r="N63" i="77"/>
  <c r="L63" i="77"/>
  <c r="B63" i="77"/>
  <c r="X62" i="77"/>
  <c r="Z62" i="77" s="1"/>
  <c r="N62" i="77"/>
  <c r="L62" i="77"/>
  <c r="B62" i="77"/>
  <c r="X61" i="77"/>
  <c r="Z61" i="77" s="1"/>
  <c r="V61" i="77"/>
  <c r="N61" i="77"/>
  <c r="L61" i="77"/>
  <c r="B61" i="77"/>
  <c r="X60" i="77"/>
  <c r="Z60" i="77" s="1"/>
  <c r="L60" i="77"/>
  <c r="N60" i="77" s="1"/>
  <c r="B60" i="77"/>
  <c r="X59" i="77"/>
  <c r="Z59" i="77" s="1"/>
  <c r="T59" i="77"/>
  <c r="P59" i="77"/>
  <c r="L59" i="77"/>
  <c r="J59" i="77"/>
  <c r="H59" i="77"/>
  <c r="N59" i="77" s="1"/>
  <c r="D59" i="77"/>
  <c r="B59" i="77"/>
  <c r="T58" i="77"/>
  <c r="P58" i="77"/>
  <c r="L58" i="77"/>
  <c r="H58" i="77"/>
  <c r="D58" i="77"/>
  <c r="T56" i="77"/>
  <c r="Z54" i="77"/>
  <c r="X54" i="77"/>
  <c r="N54" i="77"/>
  <c r="L54" i="77"/>
  <c r="B54" i="77"/>
  <c r="Z53" i="77"/>
  <c r="X53" i="77"/>
  <c r="N53" i="77"/>
  <c r="L53" i="77"/>
  <c r="J53" i="77"/>
  <c r="B53" i="77"/>
  <c r="Z52" i="77"/>
  <c r="X52" i="77"/>
  <c r="N52" i="77"/>
  <c r="L52" i="77"/>
  <c r="J52" i="77"/>
  <c r="B52" i="77"/>
  <c r="Z51" i="77"/>
  <c r="X51" i="77"/>
  <c r="N51" i="77"/>
  <c r="L51" i="77"/>
  <c r="J51" i="77"/>
  <c r="B51" i="77"/>
  <c r="Z50" i="77"/>
  <c r="X50" i="77"/>
  <c r="N50" i="77"/>
  <c r="L50" i="77"/>
  <c r="B50" i="77"/>
  <c r="Z49" i="77"/>
  <c r="X49" i="77"/>
  <c r="N49" i="77"/>
  <c r="L49" i="77"/>
  <c r="J49" i="77"/>
  <c r="B49" i="77"/>
  <c r="Z48" i="77"/>
  <c r="X48" i="77"/>
  <c r="N48" i="77"/>
  <c r="L48" i="77"/>
  <c r="J48" i="77"/>
  <c r="B48" i="77"/>
  <c r="Z47" i="77"/>
  <c r="X47" i="77"/>
  <c r="N47" i="77"/>
  <c r="L47" i="77"/>
  <c r="J47" i="77"/>
  <c r="B47" i="77"/>
  <c r="Z46" i="77"/>
  <c r="X46" i="77"/>
  <c r="N46" i="77"/>
  <c r="L46" i="77"/>
  <c r="B46" i="77"/>
  <c r="Z45" i="77"/>
  <c r="X45" i="77"/>
  <c r="N45" i="77"/>
  <c r="L45" i="77"/>
  <c r="J45" i="77"/>
  <c r="B45" i="77"/>
  <c r="Z44" i="77"/>
  <c r="X44" i="77"/>
  <c r="N44" i="77"/>
  <c r="L44" i="77"/>
  <c r="J44" i="77"/>
  <c r="B44" i="77"/>
  <c r="Z43" i="77"/>
  <c r="X43" i="77"/>
  <c r="N43" i="77"/>
  <c r="L43" i="77"/>
  <c r="J43" i="77"/>
  <c r="B43" i="77"/>
  <c r="Z42" i="77"/>
  <c r="X42" i="77"/>
  <c r="N42" i="77"/>
  <c r="L42" i="77"/>
  <c r="B42" i="77"/>
  <c r="Z41" i="77"/>
  <c r="X41" i="77"/>
  <c r="V41" i="77"/>
  <c r="L41" i="77"/>
  <c r="N41" i="77" s="1"/>
  <c r="J41" i="77"/>
  <c r="B41" i="77"/>
  <c r="T40" i="77"/>
  <c r="P40" i="77"/>
  <c r="H40" i="77"/>
  <c r="D40" i="77"/>
  <c r="Z38" i="77"/>
  <c r="X38" i="77"/>
  <c r="P38" i="77"/>
  <c r="N38" i="77"/>
  <c r="D38" i="77"/>
  <c r="L38" i="77" s="1"/>
  <c r="B38" i="77"/>
  <c r="Z37" i="77"/>
  <c r="P37" i="77"/>
  <c r="X37" i="77" s="1"/>
  <c r="N37" i="77"/>
  <c r="D37" i="77"/>
  <c r="L37" i="77" s="1"/>
  <c r="B37" i="77"/>
  <c r="Z36" i="77"/>
  <c r="X36" i="77"/>
  <c r="P36" i="77"/>
  <c r="N36" i="77"/>
  <c r="L36" i="77"/>
  <c r="D36" i="77"/>
  <c r="B36" i="77"/>
  <c r="Z35" i="77"/>
  <c r="X35" i="77"/>
  <c r="P35" i="77"/>
  <c r="N35" i="77"/>
  <c r="L35" i="77"/>
  <c r="D35" i="77"/>
  <c r="B35" i="77"/>
  <c r="Z34" i="77"/>
  <c r="P34" i="77"/>
  <c r="X34" i="77" s="1"/>
  <c r="N34" i="77"/>
  <c r="D34" i="77"/>
  <c r="L34" i="77" s="1"/>
  <c r="B34" i="77"/>
  <c r="Z33" i="77"/>
  <c r="P33" i="77"/>
  <c r="X33" i="77" s="1"/>
  <c r="N33" i="77"/>
  <c r="L33" i="77"/>
  <c r="D33" i="77"/>
  <c r="B33" i="77"/>
  <c r="Z32" i="77"/>
  <c r="P32" i="77"/>
  <c r="X32" i="77" s="1"/>
  <c r="N32" i="77"/>
  <c r="L32" i="77"/>
  <c r="D32" i="77"/>
  <c r="B32" i="77"/>
  <c r="Z31" i="77"/>
  <c r="P31" i="77"/>
  <c r="X31" i="77" s="1"/>
  <c r="N31" i="77"/>
  <c r="D31" i="77"/>
  <c r="L31" i="77" s="1"/>
  <c r="B31" i="77"/>
  <c r="Z30" i="77"/>
  <c r="X30" i="77"/>
  <c r="P30" i="77"/>
  <c r="N30" i="77"/>
  <c r="D30" i="77"/>
  <c r="L30" i="77" s="1"/>
  <c r="B30" i="77"/>
  <c r="Z29" i="77"/>
  <c r="P29" i="77"/>
  <c r="X29" i="77" s="1"/>
  <c r="N29" i="77"/>
  <c r="D29" i="77"/>
  <c r="L29" i="77" s="1"/>
  <c r="B29" i="77"/>
  <c r="Z28" i="77"/>
  <c r="P28" i="77"/>
  <c r="X28" i="77" s="1"/>
  <c r="N28" i="77"/>
  <c r="D28" i="77"/>
  <c r="L28" i="77" s="1"/>
  <c r="B28" i="77"/>
  <c r="Z27" i="77"/>
  <c r="X27" i="77"/>
  <c r="P27" i="77"/>
  <c r="N27" i="77"/>
  <c r="L27" i="77"/>
  <c r="D27" i="77"/>
  <c r="B27" i="77"/>
  <c r="Z26" i="77"/>
  <c r="X26" i="77"/>
  <c r="P26" i="77"/>
  <c r="N26" i="77"/>
  <c r="D26" i="77"/>
  <c r="L26" i="77" s="1"/>
  <c r="B26" i="77"/>
  <c r="Z25" i="77"/>
  <c r="P25" i="77"/>
  <c r="X25" i="77" s="1"/>
  <c r="N25" i="77"/>
  <c r="D25" i="77"/>
  <c r="L25" i="77" s="1"/>
  <c r="B25" i="77"/>
  <c r="Z24" i="77"/>
  <c r="X24" i="77"/>
  <c r="P24" i="77"/>
  <c r="N24" i="77"/>
  <c r="L24" i="77"/>
  <c r="D24" i="77"/>
  <c r="B24" i="77"/>
  <c r="Z23" i="77"/>
  <c r="X23" i="77"/>
  <c r="P23" i="77"/>
  <c r="N23" i="77"/>
  <c r="L23" i="77"/>
  <c r="D23" i="77"/>
  <c r="B23" i="77"/>
  <c r="Z22" i="77"/>
  <c r="P22" i="77"/>
  <c r="X22" i="77" s="1"/>
  <c r="N22" i="77"/>
  <c r="D22" i="77"/>
  <c r="L22" i="77" s="1"/>
  <c r="B22" i="77"/>
  <c r="P21" i="77"/>
  <c r="X21" i="77" s="1"/>
  <c r="Z21" i="77" s="1"/>
  <c r="L21" i="77"/>
  <c r="N21" i="77" s="1"/>
  <c r="D21" i="77"/>
  <c r="B21" i="77"/>
  <c r="Z20" i="77"/>
  <c r="P20" i="77"/>
  <c r="X20" i="77" s="1"/>
  <c r="N20" i="77"/>
  <c r="L20" i="77"/>
  <c r="D20" i="77"/>
  <c r="B20" i="77"/>
  <c r="Z19" i="77"/>
  <c r="P19" i="77"/>
  <c r="X19" i="77" s="1"/>
  <c r="N19" i="77"/>
  <c r="D19" i="77"/>
  <c r="L19" i="77" s="1"/>
  <c r="B19" i="77"/>
  <c r="Z18" i="77"/>
  <c r="X18" i="77"/>
  <c r="P18" i="77"/>
  <c r="N18" i="77"/>
  <c r="D18" i="77"/>
  <c r="L18" i="77" s="1"/>
  <c r="B18" i="77"/>
  <c r="Z17" i="77"/>
  <c r="P17" i="77"/>
  <c r="X17" i="77" s="1"/>
  <c r="N17" i="77"/>
  <c r="D17" i="77"/>
  <c r="L17" i="77" s="1"/>
  <c r="B17" i="77"/>
  <c r="Z16" i="77"/>
  <c r="P16" i="77"/>
  <c r="X16" i="77" s="1"/>
  <c r="N16" i="77"/>
  <c r="D16" i="77"/>
  <c r="L16" i="77" s="1"/>
  <c r="B16" i="77"/>
  <c r="Z15" i="77"/>
  <c r="X15" i="77"/>
  <c r="P15" i="77"/>
  <c r="N15" i="77"/>
  <c r="D15" i="77"/>
  <c r="L15" i="77" s="1"/>
  <c r="B15" i="77"/>
  <c r="Z14" i="77"/>
  <c r="X14" i="77"/>
  <c r="P14" i="77"/>
  <c r="N14" i="77"/>
  <c r="D14" i="77"/>
  <c r="L14" i="77" s="1"/>
  <c r="B14" i="77"/>
  <c r="P13" i="77"/>
  <c r="D13" i="77"/>
  <c r="L13" i="77" s="1"/>
  <c r="N13" i="77" s="1"/>
  <c r="B13" i="77"/>
  <c r="T12" i="77"/>
  <c r="H12" i="77"/>
  <c r="J104" i="77" s="1"/>
  <c r="D6" i="77"/>
  <c r="D4" i="77"/>
  <c r="X93" i="76"/>
  <c r="Z93" i="76" s="1"/>
  <c r="L93" i="76"/>
  <c r="N93" i="76" s="1"/>
  <c r="J93" i="76"/>
  <c r="X89" i="76"/>
  <c r="Z89" i="76" s="1"/>
  <c r="P89" i="76"/>
  <c r="P87" i="76" s="1"/>
  <c r="D89" i="76"/>
  <c r="B89" i="76"/>
  <c r="P88" i="76"/>
  <c r="X88" i="76" s="1"/>
  <c r="Z88" i="76" s="1"/>
  <c r="N88" i="76"/>
  <c r="L88" i="76"/>
  <c r="D88" i="76"/>
  <c r="B88" i="76"/>
  <c r="T87" i="76"/>
  <c r="H87" i="76"/>
  <c r="Z85" i="76"/>
  <c r="X85" i="76"/>
  <c r="N85" i="76"/>
  <c r="L85" i="76"/>
  <c r="J85" i="76"/>
  <c r="B85" i="76"/>
  <c r="Z84" i="76"/>
  <c r="T84" i="76"/>
  <c r="P84" i="76"/>
  <c r="X84" i="76" s="1"/>
  <c r="H84" i="76"/>
  <c r="N84" i="76" s="1"/>
  <c r="D84" i="76"/>
  <c r="B84" i="76"/>
  <c r="Z83" i="76"/>
  <c r="X83" i="76"/>
  <c r="N83" i="76"/>
  <c r="L83" i="76"/>
  <c r="J83" i="76"/>
  <c r="B83" i="76"/>
  <c r="Z82" i="76"/>
  <c r="X82" i="76"/>
  <c r="L82" i="76"/>
  <c r="N82" i="76" s="1"/>
  <c r="B82" i="76"/>
  <c r="T81" i="76"/>
  <c r="P81" i="76"/>
  <c r="L81" i="76"/>
  <c r="N81" i="76" s="1"/>
  <c r="H81" i="76"/>
  <c r="D81" i="76"/>
  <c r="B81" i="76"/>
  <c r="X80" i="76"/>
  <c r="Z80" i="76" s="1"/>
  <c r="N80" i="76"/>
  <c r="L80" i="76"/>
  <c r="J80" i="76"/>
  <c r="B80" i="76"/>
  <c r="Z79" i="76"/>
  <c r="X79" i="76"/>
  <c r="N79" i="76"/>
  <c r="L79" i="76"/>
  <c r="B79" i="76"/>
  <c r="X78" i="76"/>
  <c r="Z78" i="76" s="1"/>
  <c r="L78" i="76"/>
  <c r="N78" i="76" s="1"/>
  <c r="B78" i="76"/>
  <c r="Z77" i="76"/>
  <c r="X77" i="76"/>
  <c r="N77" i="76"/>
  <c r="L77" i="76"/>
  <c r="B77" i="76"/>
  <c r="Z76" i="76"/>
  <c r="X76" i="76"/>
  <c r="N76" i="76"/>
  <c r="L76" i="76"/>
  <c r="B76" i="76"/>
  <c r="V75" i="76"/>
  <c r="T75" i="76"/>
  <c r="X75" i="76" s="1"/>
  <c r="P75" i="76"/>
  <c r="L75" i="76"/>
  <c r="H75" i="76"/>
  <c r="D75" i="76"/>
  <c r="B75" i="76"/>
  <c r="Z74" i="76"/>
  <c r="X74" i="76"/>
  <c r="N74" i="76"/>
  <c r="L74" i="76"/>
  <c r="B74" i="76"/>
  <c r="Z73" i="76"/>
  <c r="X73" i="76"/>
  <c r="N73" i="76"/>
  <c r="L73" i="76"/>
  <c r="J73" i="76"/>
  <c r="B73" i="76"/>
  <c r="T72" i="76"/>
  <c r="P72" i="76"/>
  <c r="X72" i="76" s="1"/>
  <c r="Z72" i="76" s="1"/>
  <c r="J72" i="76"/>
  <c r="H72" i="76"/>
  <c r="D72" i="76"/>
  <c r="L72" i="76" s="1"/>
  <c r="N72" i="76" s="1"/>
  <c r="B72" i="76"/>
  <c r="Z71" i="76"/>
  <c r="X71" i="76"/>
  <c r="N71" i="76"/>
  <c r="L71" i="76"/>
  <c r="J71" i="76"/>
  <c r="B71" i="76"/>
  <c r="Z70" i="76"/>
  <c r="X70" i="76"/>
  <c r="V70" i="76"/>
  <c r="L70" i="76"/>
  <c r="N70" i="76" s="1"/>
  <c r="B70" i="76"/>
  <c r="X69" i="76"/>
  <c r="T69" i="76"/>
  <c r="Z69" i="76" s="1"/>
  <c r="P69" i="76"/>
  <c r="J69" i="76"/>
  <c r="H69" i="76"/>
  <c r="D69" i="76"/>
  <c r="L69" i="76" s="1"/>
  <c r="N69" i="76" s="1"/>
  <c r="B69" i="76"/>
  <c r="X68" i="76"/>
  <c r="Z68" i="76" s="1"/>
  <c r="N68" i="76"/>
  <c r="L68" i="76"/>
  <c r="B68" i="76"/>
  <c r="Z67" i="76"/>
  <c r="X67" i="76"/>
  <c r="T67" i="76"/>
  <c r="P67" i="76"/>
  <c r="L67" i="76"/>
  <c r="N67" i="76" s="1"/>
  <c r="H67" i="76"/>
  <c r="D67" i="76"/>
  <c r="B67" i="76"/>
  <c r="X66" i="76"/>
  <c r="Z66" i="76" s="1"/>
  <c r="N66" i="76"/>
  <c r="L66" i="76"/>
  <c r="J66" i="76"/>
  <c r="B66" i="76"/>
  <c r="V65" i="76"/>
  <c r="T65" i="76"/>
  <c r="X65" i="76" s="1"/>
  <c r="Z65" i="76" s="1"/>
  <c r="P65" i="76"/>
  <c r="H65" i="76"/>
  <c r="D65" i="76"/>
  <c r="B65" i="76"/>
  <c r="X64" i="76"/>
  <c r="Z64" i="76" s="1"/>
  <c r="L64" i="76"/>
  <c r="N64" i="76" s="1"/>
  <c r="J64" i="76"/>
  <c r="B64" i="76"/>
  <c r="V63" i="76"/>
  <c r="T63" i="76"/>
  <c r="P63" i="76"/>
  <c r="X63" i="76" s="1"/>
  <c r="Z63" i="76" s="1"/>
  <c r="J63" i="76"/>
  <c r="H63" i="76"/>
  <c r="D63" i="76"/>
  <c r="L63" i="76" s="1"/>
  <c r="N63" i="76" s="1"/>
  <c r="B63" i="76"/>
  <c r="X62" i="76"/>
  <c r="Z62" i="76" s="1"/>
  <c r="L62" i="76"/>
  <c r="N62" i="76" s="1"/>
  <c r="B62" i="76"/>
  <c r="X61" i="76"/>
  <c r="Z61" i="76" s="1"/>
  <c r="T61" i="76"/>
  <c r="P61" i="76"/>
  <c r="N61" i="76"/>
  <c r="J61" i="76"/>
  <c r="H61" i="76"/>
  <c r="D61" i="76"/>
  <c r="L61" i="76" s="1"/>
  <c r="B61" i="76"/>
  <c r="Z60" i="76"/>
  <c r="X60" i="76"/>
  <c r="L60" i="76"/>
  <c r="N60" i="76" s="1"/>
  <c r="J60" i="76"/>
  <c r="B60" i="76"/>
  <c r="T59" i="76"/>
  <c r="P59" i="76"/>
  <c r="N59" i="76"/>
  <c r="J59" i="76"/>
  <c r="H59" i="76"/>
  <c r="L59" i="76" s="1"/>
  <c r="D59" i="76"/>
  <c r="B59" i="76"/>
  <c r="Z58" i="76"/>
  <c r="X58" i="76"/>
  <c r="N58" i="76"/>
  <c r="L58" i="76"/>
  <c r="B58" i="76"/>
  <c r="Z57" i="76"/>
  <c r="T57" i="76"/>
  <c r="P57" i="76"/>
  <c r="X57" i="76" s="1"/>
  <c r="N57" i="76"/>
  <c r="J57" i="76"/>
  <c r="H57" i="76"/>
  <c r="D57" i="76"/>
  <c r="L57" i="76" s="1"/>
  <c r="B57" i="76"/>
  <c r="X56" i="76"/>
  <c r="Z56" i="76" s="1"/>
  <c r="N56" i="76"/>
  <c r="L56" i="76"/>
  <c r="B56" i="76"/>
  <c r="T55" i="76"/>
  <c r="P55" i="76"/>
  <c r="X55" i="76" s="1"/>
  <c r="Z55" i="76" s="1"/>
  <c r="L55" i="76"/>
  <c r="N55" i="76" s="1"/>
  <c r="J55" i="76"/>
  <c r="H55" i="76"/>
  <c r="D55" i="76"/>
  <c r="B55" i="76"/>
  <c r="Z54" i="76"/>
  <c r="X54" i="76"/>
  <c r="N54" i="76"/>
  <c r="L54" i="76"/>
  <c r="J54" i="76"/>
  <c r="B54" i="76"/>
  <c r="Z53" i="76"/>
  <c r="X53" i="76"/>
  <c r="V53" i="76"/>
  <c r="N53" i="76"/>
  <c r="L53" i="76"/>
  <c r="J53" i="76"/>
  <c r="B53" i="76"/>
  <c r="Z52" i="76"/>
  <c r="X52" i="76"/>
  <c r="L52" i="76"/>
  <c r="N52" i="76" s="1"/>
  <c r="J52" i="76"/>
  <c r="B52" i="76"/>
  <c r="Z51" i="76"/>
  <c r="X51" i="76"/>
  <c r="N51" i="76"/>
  <c r="L51" i="76"/>
  <c r="J51" i="76"/>
  <c r="B51" i="76"/>
  <c r="Z50" i="76"/>
  <c r="X50" i="76"/>
  <c r="N50" i="76"/>
  <c r="L50" i="76"/>
  <c r="J50" i="76"/>
  <c r="B50" i="76"/>
  <c r="Z49" i="76"/>
  <c r="X49" i="76"/>
  <c r="V49" i="76"/>
  <c r="N49" i="76"/>
  <c r="L49" i="76"/>
  <c r="J49" i="76"/>
  <c r="B49" i="76"/>
  <c r="Z48" i="76"/>
  <c r="X48" i="76"/>
  <c r="L48" i="76"/>
  <c r="N48" i="76" s="1"/>
  <c r="J48" i="76"/>
  <c r="B48" i="76"/>
  <c r="Z47" i="76"/>
  <c r="X47" i="76"/>
  <c r="N47" i="76"/>
  <c r="L47" i="76"/>
  <c r="J47" i="76"/>
  <c r="B47" i="76"/>
  <c r="X46" i="76"/>
  <c r="Z46" i="76" s="1"/>
  <c r="N46" i="76"/>
  <c r="L46" i="76"/>
  <c r="J46" i="76"/>
  <c r="B46" i="76"/>
  <c r="Z45" i="76"/>
  <c r="X45" i="76"/>
  <c r="V45" i="76"/>
  <c r="N45" i="76"/>
  <c r="L45" i="76"/>
  <c r="J45" i="76"/>
  <c r="B45" i="76"/>
  <c r="T44" i="76"/>
  <c r="P44" i="76"/>
  <c r="X44" i="76" s="1"/>
  <c r="H44" i="76"/>
  <c r="D44" i="76"/>
  <c r="B44" i="76"/>
  <c r="Z43" i="76"/>
  <c r="X43" i="76"/>
  <c r="V43" i="76"/>
  <c r="N43" i="76"/>
  <c r="L43" i="76"/>
  <c r="J43" i="76"/>
  <c r="B43" i="76"/>
  <c r="Z42" i="76"/>
  <c r="X42" i="76"/>
  <c r="V42" i="76"/>
  <c r="L42" i="76"/>
  <c r="N42" i="76" s="1"/>
  <c r="B42" i="76"/>
  <c r="Z41" i="76"/>
  <c r="X41" i="76"/>
  <c r="L41" i="76"/>
  <c r="N41" i="76" s="1"/>
  <c r="J41" i="76"/>
  <c r="B41" i="76"/>
  <c r="Z40" i="76"/>
  <c r="X40" i="76"/>
  <c r="N40" i="76"/>
  <c r="L40" i="76"/>
  <c r="J40" i="76"/>
  <c r="B40" i="76"/>
  <c r="Z39" i="76"/>
  <c r="X39" i="76"/>
  <c r="V39" i="76"/>
  <c r="N39" i="76"/>
  <c r="L39" i="76"/>
  <c r="J39" i="76"/>
  <c r="B39" i="76"/>
  <c r="Z38" i="76"/>
  <c r="X38" i="76"/>
  <c r="V38" i="76"/>
  <c r="L38" i="76"/>
  <c r="N38" i="76" s="1"/>
  <c r="B38" i="76"/>
  <c r="Z37" i="76"/>
  <c r="X37" i="76"/>
  <c r="V37" i="76"/>
  <c r="L37" i="76"/>
  <c r="N37" i="76" s="1"/>
  <c r="J37" i="76"/>
  <c r="B37" i="76"/>
  <c r="X36" i="76"/>
  <c r="Z36" i="76" s="1"/>
  <c r="L36" i="76"/>
  <c r="N36" i="76" s="1"/>
  <c r="J36" i="76"/>
  <c r="B36" i="76"/>
  <c r="Z35" i="76"/>
  <c r="X35" i="76"/>
  <c r="V35" i="76"/>
  <c r="N35" i="76"/>
  <c r="L35" i="76"/>
  <c r="J35" i="76"/>
  <c r="B35" i="76"/>
  <c r="V34" i="76"/>
  <c r="T34" i="76"/>
  <c r="P34" i="76"/>
  <c r="X34" i="76" s="1"/>
  <c r="Z34" i="76" s="1"/>
  <c r="L34" i="76"/>
  <c r="H34" i="76"/>
  <c r="J34" i="76" s="1"/>
  <c r="D34" i="76"/>
  <c r="B34" i="76"/>
  <c r="T33" i="76"/>
  <c r="P33" i="76"/>
  <c r="X33" i="76" s="1"/>
  <c r="H33" i="76"/>
  <c r="J33" i="76" s="1"/>
  <c r="D33" i="76"/>
  <c r="L33" i="76" s="1"/>
  <c r="N33" i="76" s="1"/>
  <c r="X29" i="76"/>
  <c r="T29" i="76"/>
  <c r="Z29" i="76" s="1"/>
  <c r="P29" i="76"/>
  <c r="N29" i="76"/>
  <c r="J29" i="76"/>
  <c r="H29" i="76"/>
  <c r="D29" i="76"/>
  <c r="L29" i="76" s="1"/>
  <c r="Z27" i="76"/>
  <c r="X27" i="76"/>
  <c r="P27" i="76"/>
  <c r="N27" i="76"/>
  <c r="L27" i="76"/>
  <c r="D27" i="76"/>
  <c r="B27" i="76"/>
  <c r="Z26" i="76"/>
  <c r="X26" i="76"/>
  <c r="P26" i="76"/>
  <c r="N26" i="76"/>
  <c r="L26" i="76"/>
  <c r="D26" i="76"/>
  <c r="B26" i="76"/>
  <c r="Z25" i="76"/>
  <c r="P25" i="76"/>
  <c r="X25" i="76" s="1"/>
  <c r="N25" i="76"/>
  <c r="L25" i="76"/>
  <c r="D25" i="76"/>
  <c r="B25" i="76"/>
  <c r="Z24" i="76"/>
  <c r="X24" i="76"/>
  <c r="P24" i="76"/>
  <c r="N24" i="76"/>
  <c r="L24" i="76"/>
  <c r="D24" i="76"/>
  <c r="B24" i="76"/>
  <c r="Z23" i="76"/>
  <c r="P23" i="76"/>
  <c r="X23" i="76" s="1"/>
  <c r="N23" i="76"/>
  <c r="L23" i="76"/>
  <c r="D23" i="76"/>
  <c r="B23" i="76"/>
  <c r="Z22" i="76"/>
  <c r="P22" i="76"/>
  <c r="X22" i="76" s="1"/>
  <c r="N22" i="76"/>
  <c r="D22" i="76"/>
  <c r="L22" i="76" s="1"/>
  <c r="B22" i="76"/>
  <c r="Z21" i="76"/>
  <c r="P21" i="76"/>
  <c r="X21" i="76" s="1"/>
  <c r="N21" i="76"/>
  <c r="L21" i="76"/>
  <c r="D21" i="76"/>
  <c r="B21" i="76"/>
  <c r="Z20" i="76"/>
  <c r="X20" i="76"/>
  <c r="P20" i="76"/>
  <c r="N20" i="76"/>
  <c r="D20" i="76"/>
  <c r="L20" i="76" s="1"/>
  <c r="B20" i="76"/>
  <c r="P19" i="76"/>
  <c r="X19" i="76" s="1"/>
  <c r="Z19" i="76" s="1"/>
  <c r="D19" i="76"/>
  <c r="L19" i="76" s="1"/>
  <c r="N19" i="76" s="1"/>
  <c r="B19" i="76"/>
  <c r="Z18" i="76"/>
  <c r="X18" i="76"/>
  <c r="P18" i="76"/>
  <c r="N18" i="76"/>
  <c r="D18" i="76"/>
  <c r="L18" i="76" s="1"/>
  <c r="B18" i="76"/>
  <c r="Z17" i="76"/>
  <c r="X17" i="76"/>
  <c r="P17" i="76"/>
  <c r="N17" i="76"/>
  <c r="L17" i="76"/>
  <c r="D17" i="76"/>
  <c r="B17" i="76"/>
  <c r="Z16" i="76"/>
  <c r="X16" i="76"/>
  <c r="P16" i="76"/>
  <c r="N16" i="76"/>
  <c r="D16" i="76"/>
  <c r="L16" i="76" s="1"/>
  <c r="B16" i="76"/>
  <c r="Z15" i="76"/>
  <c r="X15" i="76"/>
  <c r="P15" i="76"/>
  <c r="N15" i="76"/>
  <c r="L15" i="76"/>
  <c r="D15" i="76"/>
  <c r="B15" i="76"/>
  <c r="Z14" i="76"/>
  <c r="X14" i="76"/>
  <c r="P14" i="76"/>
  <c r="N14" i="76"/>
  <c r="L14" i="76"/>
  <c r="D14" i="76"/>
  <c r="B14" i="76"/>
  <c r="P13" i="76"/>
  <c r="L13" i="76"/>
  <c r="N13" i="76" s="1"/>
  <c r="D13" i="76"/>
  <c r="B13" i="76"/>
  <c r="T12" i="76"/>
  <c r="V59" i="76" s="1"/>
  <c r="H12" i="76"/>
  <c r="J89" i="76" s="1"/>
  <c r="D6" i="76"/>
  <c r="D4" i="76"/>
  <c r="X124" i="75"/>
  <c r="Z124" i="75" s="1"/>
  <c r="N124" i="75"/>
  <c r="L124" i="75"/>
  <c r="X120" i="75"/>
  <c r="Z120" i="75" s="1"/>
  <c r="P120" i="75"/>
  <c r="N120" i="75"/>
  <c r="L120" i="75"/>
  <c r="D120" i="75"/>
  <c r="B120" i="75"/>
  <c r="V119" i="75"/>
  <c r="P119" i="75"/>
  <c r="L119" i="75"/>
  <c r="N119" i="75" s="1"/>
  <c r="D119" i="75"/>
  <c r="B119" i="75"/>
  <c r="Z118" i="75"/>
  <c r="X118" i="75"/>
  <c r="P118" i="75"/>
  <c r="D118" i="75"/>
  <c r="L118" i="75" s="1"/>
  <c r="N118" i="75" s="1"/>
  <c r="B118" i="75"/>
  <c r="T117" i="75"/>
  <c r="H117" i="75"/>
  <c r="X115" i="75"/>
  <c r="Z115" i="75" s="1"/>
  <c r="N115" i="75"/>
  <c r="L115" i="75"/>
  <c r="B115" i="75"/>
  <c r="Z114" i="75"/>
  <c r="X114" i="75"/>
  <c r="N114" i="75"/>
  <c r="L114" i="75"/>
  <c r="B114" i="75"/>
  <c r="Z113" i="75"/>
  <c r="T113" i="75"/>
  <c r="P113" i="75"/>
  <c r="X113" i="75" s="1"/>
  <c r="L113" i="75"/>
  <c r="H113" i="75"/>
  <c r="N113" i="75" s="1"/>
  <c r="D113" i="75"/>
  <c r="B113" i="75"/>
  <c r="X112" i="75"/>
  <c r="Z112" i="75" s="1"/>
  <c r="N112" i="75"/>
  <c r="L112" i="75"/>
  <c r="B112" i="75"/>
  <c r="Z111" i="75"/>
  <c r="V111" i="75"/>
  <c r="T111" i="75"/>
  <c r="X111" i="75" s="1"/>
  <c r="P111" i="75"/>
  <c r="H111" i="75"/>
  <c r="D111" i="75"/>
  <c r="B111" i="75"/>
  <c r="X110" i="75"/>
  <c r="Z110" i="75" s="1"/>
  <c r="L110" i="75"/>
  <c r="N110" i="75" s="1"/>
  <c r="B110" i="75"/>
  <c r="V109" i="75"/>
  <c r="T109" i="75"/>
  <c r="P109" i="75"/>
  <c r="X109" i="75" s="1"/>
  <c r="Z109" i="75" s="1"/>
  <c r="H109" i="75"/>
  <c r="D109" i="75"/>
  <c r="L109" i="75" s="1"/>
  <c r="N109" i="75" s="1"/>
  <c r="B109" i="75"/>
  <c r="X108" i="75"/>
  <c r="Z108" i="75" s="1"/>
  <c r="L108" i="75"/>
  <c r="N108" i="75" s="1"/>
  <c r="B108" i="75"/>
  <c r="Z107" i="75"/>
  <c r="X107" i="75"/>
  <c r="N107" i="75"/>
  <c r="L107" i="75"/>
  <c r="B107" i="75"/>
  <c r="X106" i="75"/>
  <c r="Z106" i="75" s="1"/>
  <c r="N106" i="75"/>
  <c r="L106" i="75"/>
  <c r="B106" i="75"/>
  <c r="Z105" i="75"/>
  <c r="X105" i="75"/>
  <c r="N105" i="75"/>
  <c r="L105" i="75"/>
  <c r="B105" i="75"/>
  <c r="X104" i="75"/>
  <c r="Z104" i="75" s="1"/>
  <c r="L104" i="75"/>
  <c r="N104" i="75" s="1"/>
  <c r="B104" i="75"/>
  <c r="X103" i="75"/>
  <c r="T103" i="75"/>
  <c r="Z103" i="75" s="1"/>
  <c r="P103" i="75"/>
  <c r="H103" i="75"/>
  <c r="D103" i="75"/>
  <c r="L103" i="75" s="1"/>
  <c r="N103" i="75" s="1"/>
  <c r="B103" i="75"/>
  <c r="Z102" i="75"/>
  <c r="X102" i="75"/>
  <c r="L102" i="75"/>
  <c r="N102" i="75" s="1"/>
  <c r="B102" i="75"/>
  <c r="Z101" i="75"/>
  <c r="X101" i="75"/>
  <c r="N101" i="75"/>
  <c r="L101" i="75"/>
  <c r="B101" i="75"/>
  <c r="X100" i="75"/>
  <c r="T100" i="75"/>
  <c r="Z100" i="75" s="1"/>
  <c r="P100" i="75"/>
  <c r="N100" i="75"/>
  <c r="H100" i="75"/>
  <c r="D100" i="75"/>
  <c r="L100" i="75" s="1"/>
  <c r="B100" i="75"/>
  <c r="Z99" i="75"/>
  <c r="X99" i="75"/>
  <c r="L99" i="75"/>
  <c r="N99" i="75" s="1"/>
  <c r="B99" i="75"/>
  <c r="X98" i="75"/>
  <c r="Z98" i="75" s="1"/>
  <c r="L98" i="75"/>
  <c r="N98" i="75" s="1"/>
  <c r="B98" i="75"/>
  <c r="Z97" i="75"/>
  <c r="X97" i="75"/>
  <c r="V97" i="75"/>
  <c r="N97" i="75"/>
  <c r="L97" i="75"/>
  <c r="B97" i="75"/>
  <c r="V96" i="75"/>
  <c r="T96" i="75"/>
  <c r="P96" i="75"/>
  <c r="X96" i="75" s="1"/>
  <c r="Z96" i="75" s="1"/>
  <c r="L96" i="75"/>
  <c r="H96" i="75"/>
  <c r="D96" i="75"/>
  <c r="B96" i="75"/>
  <c r="X95" i="75"/>
  <c r="Z95" i="75" s="1"/>
  <c r="N95" i="75"/>
  <c r="L95" i="75"/>
  <c r="B95" i="75"/>
  <c r="X94" i="75"/>
  <c r="T94" i="75"/>
  <c r="Z94" i="75" s="1"/>
  <c r="P94" i="75"/>
  <c r="H94" i="75"/>
  <c r="D94" i="75"/>
  <c r="B94" i="75"/>
  <c r="Z93" i="75"/>
  <c r="X93" i="75"/>
  <c r="N93" i="75"/>
  <c r="L93" i="75"/>
  <c r="J93" i="75"/>
  <c r="B93" i="75"/>
  <c r="X92" i="75"/>
  <c r="T92" i="75"/>
  <c r="Z92" i="75" s="1"/>
  <c r="P92" i="75"/>
  <c r="H92" i="75"/>
  <c r="N92" i="75" s="1"/>
  <c r="D92" i="75"/>
  <c r="B92" i="75"/>
  <c r="Z91" i="75"/>
  <c r="X91" i="75"/>
  <c r="L91" i="75"/>
  <c r="N91" i="75" s="1"/>
  <c r="B91" i="75"/>
  <c r="X90" i="75"/>
  <c r="T90" i="75"/>
  <c r="Z90" i="75" s="1"/>
  <c r="P90" i="75"/>
  <c r="H90" i="75"/>
  <c r="D90" i="75"/>
  <c r="L90" i="75" s="1"/>
  <c r="N90" i="75" s="1"/>
  <c r="B90" i="75"/>
  <c r="Z89" i="75"/>
  <c r="X89" i="75"/>
  <c r="N89" i="75"/>
  <c r="L89" i="75"/>
  <c r="B89" i="75"/>
  <c r="X88" i="75"/>
  <c r="T88" i="75"/>
  <c r="P88" i="75"/>
  <c r="L88" i="75"/>
  <c r="H88" i="75"/>
  <c r="N88" i="75" s="1"/>
  <c r="D88" i="75"/>
  <c r="B88" i="75"/>
  <c r="Z87" i="75"/>
  <c r="X87" i="75"/>
  <c r="V87" i="75"/>
  <c r="N87" i="75"/>
  <c r="L87" i="75"/>
  <c r="B87" i="75"/>
  <c r="Z86" i="75"/>
  <c r="X86" i="75"/>
  <c r="L86" i="75"/>
  <c r="N86" i="75" s="1"/>
  <c r="B86" i="75"/>
  <c r="T85" i="75"/>
  <c r="P85" i="75"/>
  <c r="J85" i="75"/>
  <c r="H85" i="75"/>
  <c r="L85" i="75" s="1"/>
  <c r="N85" i="75" s="1"/>
  <c r="D85" i="75"/>
  <c r="B85" i="75"/>
  <c r="Z84" i="75"/>
  <c r="X84" i="75"/>
  <c r="V84" i="75"/>
  <c r="L84" i="75"/>
  <c r="N84" i="75" s="1"/>
  <c r="B84" i="75"/>
  <c r="T83" i="75"/>
  <c r="P83" i="75"/>
  <c r="X83" i="75" s="1"/>
  <c r="Z83" i="75" s="1"/>
  <c r="J83" i="75"/>
  <c r="H83" i="75"/>
  <c r="D83" i="75"/>
  <c r="L83" i="75" s="1"/>
  <c r="N83" i="75" s="1"/>
  <c r="B83" i="75"/>
  <c r="Z82" i="75"/>
  <c r="X82" i="75"/>
  <c r="N82" i="75"/>
  <c r="L82" i="75"/>
  <c r="B82" i="75"/>
  <c r="Z81" i="75"/>
  <c r="X81" i="75"/>
  <c r="V81" i="75"/>
  <c r="N81" i="75"/>
  <c r="L81" i="75"/>
  <c r="B81" i="75"/>
  <c r="X80" i="75"/>
  <c r="T80" i="75"/>
  <c r="P80" i="75"/>
  <c r="L80" i="75"/>
  <c r="H80" i="75"/>
  <c r="N80" i="75" s="1"/>
  <c r="D80" i="75"/>
  <c r="B80" i="75"/>
  <c r="Z79" i="75"/>
  <c r="X79" i="75"/>
  <c r="V79" i="75"/>
  <c r="N79" i="75"/>
  <c r="L79" i="75"/>
  <c r="B79" i="75"/>
  <c r="T78" i="75"/>
  <c r="P78" i="75"/>
  <c r="X78" i="75" s="1"/>
  <c r="Z78" i="75" s="1"/>
  <c r="L78" i="75"/>
  <c r="H78" i="75"/>
  <c r="N78" i="75" s="1"/>
  <c r="D78" i="75"/>
  <c r="B78" i="75"/>
  <c r="Z77" i="75"/>
  <c r="X77" i="75"/>
  <c r="V77" i="75"/>
  <c r="N77" i="75"/>
  <c r="L77" i="75"/>
  <c r="B77" i="75"/>
  <c r="Z76" i="75"/>
  <c r="X76" i="75"/>
  <c r="V76" i="75"/>
  <c r="N76" i="75"/>
  <c r="L76" i="75"/>
  <c r="B76" i="75"/>
  <c r="Z75" i="75"/>
  <c r="X75" i="75"/>
  <c r="V75" i="75"/>
  <c r="L75" i="75"/>
  <c r="N75" i="75" s="1"/>
  <c r="B75" i="75"/>
  <c r="X74" i="75"/>
  <c r="Z74" i="75" s="1"/>
  <c r="N74" i="75"/>
  <c r="L74" i="75"/>
  <c r="B74" i="75"/>
  <c r="Z73" i="75"/>
  <c r="X73" i="75"/>
  <c r="V73" i="75"/>
  <c r="N73" i="75"/>
  <c r="L73" i="75"/>
  <c r="B73" i="75"/>
  <c r="Z72" i="75"/>
  <c r="X72" i="75"/>
  <c r="V72" i="75"/>
  <c r="N72" i="75"/>
  <c r="L72" i="75"/>
  <c r="B72" i="75"/>
  <c r="Z71" i="75"/>
  <c r="X71" i="75"/>
  <c r="V71" i="75"/>
  <c r="L71" i="75"/>
  <c r="N71" i="75" s="1"/>
  <c r="B71" i="75"/>
  <c r="Z70" i="75"/>
  <c r="X70" i="75"/>
  <c r="N70" i="75"/>
  <c r="L70" i="75"/>
  <c r="B70" i="75"/>
  <c r="Z69" i="75"/>
  <c r="X69" i="75"/>
  <c r="V69" i="75"/>
  <c r="N69" i="75"/>
  <c r="L69" i="75"/>
  <c r="B69" i="75"/>
  <c r="Z68" i="75"/>
  <c r="X68" i="75"/>
  <c r="V68" i="75"/>
  <c r="N68" i="75"/>
  <c r="L68" i="75"/>
  <c r="B68" i="75"/>
  <c r="V67" i="75"/>
  <c r="T67" i="75"/>
  <c r="P67" i="75"/>
  <c r="X67" i="75" s="1"/>
  <c r="Z67" i="75" s="1"/>
  <c r="H67" i="75"/>
  <c r="D67" i="75"/>
  <c r="L67" i="75" s="1"/>
  <c r="N67" i="75" s="1"/>
  <c r="B67" i="75"/>
  <c r="Z66" i="75"/>
  <c r="X66" i="75"/>
  <c r="V66" i="75"/>
  <c r="N66" i="75"/>
  <c r="L66" i="75"/>
  <c r="B66" i="75"/>
  <c r="Z65" i="75"/>
  <c r="X65" i="75"/>
  <c r="V65" i="75"/>
  <c r="N65" i="75"/>
  <c r="L65" i="75"/>
  <c r="B65" i="75"/>
  <c r="X64" i="75"/>
  <c r="Z64" i="75" s="1"/>
  <c r="L64" i="75"/>
  <c r="N64" i="75" s="1"/>
  <c r="B64" i="75"/>
  <c r="Z63" i="75"/>
  <c r="X63" i="75"/>
  <c r="N63" i="75"/>
  <c r="L63" i="75"/>
  <c r="B63" i="75"/>
  <c r="X62" i="75"/>
  <c r="Z62" i="75" s="1"/>
  <c r="V62" i="75"/>
  <c r="N62" i="75"/>
  <c r="L62" i="75"/>
  <c r="B62" i="75"/>
  <c r="Z61" i="75"/>
  <c r="X61" i="75"/>
  <c r="V61" i="75"/>
  <c r="N61" i="75"/>
  <c r="L61" i="75"/>
  <c r="B61" i="75"/>
  <c r="X60" i="75"/>
  <c r="Z60" i="75" s="1"/>
  <c r="L60" i="75"/>
  <c r="N60" i="75" s="1"/>
  <c r="B60" i="75"/>
  <c r="X59" i="75"/>
  <c r="Z59" i="75" s="1"/>
  <c r="N59" i="75"/>
  <c r="L59" i="75"/>
  <c r="B59" i="75"/>
  <c r="X58" i="75"/>
  <c r="Z58" i="75" s="1"/>
  <c r="V58" i="75"/>
  <c r="N58" i="75"/>
  <c r="L58" i="75"/>
  <c r="B58" i="75"/>
  <c r="V57" i="75"/>
  <c r="T57" i="75"/>
  <c r="P57" i="75"/>
  <c r="X57" i="75" s="1"/>
  <c r="Z57" i="75" s="1"/>
  <c r="L57" i="75"/>
  <c r="N57" i="75" s="1"/>
  <c r="H57" i="75"/>
  <c r="D57" i="75"/>
  <c r="B57" i="75"/>
  <c r="T56" i="75"/>
  <c r="P56" i="75"/>
  <c r="X56" i="75" s="1"/>
  <c r="H56" i="75"/>
  <c r="D56" i="75"/>
  <c r="Z52" i="75"/>
  <c r="X52" i="75"/>
  <c r="N52" i="75"/>
  <c r="L52" i="75"/>
  <c r="J52" i="75"/>
  <c r="B52" i="75"/>
  <c r="Z51" i="75"/>
  <c r="X51" i="75"/>
  <c r="V51" i="75"/>
  <c r="N51" i="75"/>
  <c r="L51" i="75"/>
  <c r="B51" i="75"/>
  <c r="Z50" i="75"/>
  <c r="X50" i="75"/>
  <c r="N50" i="75"/>
  <c r="L50" i="75"/>
  <c r="B50" i="75"/>
  <c r="Z49" i="75"/>
  <c r="X49" i="75"/>
  <c r="N49" i="75"/>
  <c r="L49" i="75"/>
  <c r="B49" i="75"/>
  <c r="Z48" i="75"/>
  <c r="X48" i="75"/>
  <c r="N48" i="75"/>
  <c r="L48" i="75"/>
  <c r="B48" i="75"/>
  <c r="Z47" i="75"/>
  <c r="X47" i="75"/>
  <c r="V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B44" i="75"/>
  <c r="Z43" i="75"/>
  <c r="X43" i="75"/>
  <c r="V43" i="75"/>
  <c r="N43" i="75"/>
  <c r="L43" i="75"/>
  <c r="B43" i="75"/>
  <c r="Z42" i="75"/>
  <c r="X42" i="75"/>
  <c r="N42" i="75"/>
  <c r="L42" i="75"/>
  <c r="B42" i="75"/>
  <c r="Z41" i="75"/>
  <c r="X41" i="75"/>
  <c r="N41" i="75"/>
  <c r="L41" i="75"/>
  <c r="B41" i="75"/>
  <c r="Z40" i="75"/>
  <c r="X40" i="75"/>
  <c r="N40" i="75"/>
  <c r="L40" i="75"/>
  <c r="B40" i="75"/>
  <c r="Z39" i="75"/>
  <c r="X39" i="75"/>
  <c r="V39" i="75"/>
  <c r="N39" i="75"/>
  <c r="L39" i="75"/>
  <c r="B39" i="75"/>
  <c r="Z38" i="75"/>
  <c r="X38" i="75"/>
  <c r="N38" i="75"/>
  <c r="L38" i="75"/>
  <c r="B38" i="75"/>
  <c r="X37" i="75"/>
  <c r="Z37" i="75" s="1"/>
  <c r="N37" i="75"/>
  <c r="L37" i="75"/>
  <c r="J37" i="75"/>
  <c r="B37" i="75"/>
  <c r="X36" i="75"/>
  <c r="T36" i="75"/>
  <c r="P36" i="75"/>
  <c r="H36" i="75"/>
  <c r="D36" i="75"/>
  <c r="L36" i="75" s="1"/>
  <c r="N36" i="75" s="1"/>
  <c r="Z34" i="75"/>
  <c r="X34" i="75"/>
  <c r="P34" i="75"/>
  <c r="N34" i="75"/>
  <c r="L34" i="75"/>
  <c r="D34" i="75"/>
  <c r="B34" i="75"/>
  <c r="Z33" i="75"/>
  <c r="P33" i="75"/>
  <c r="X33" i="75" s="1"/>
  <c r="N33" i="75"/>
  <c r="L33" i="75"/>
  <c r="D33" i="75"/>
  <c r="B33" i="75"/>
  <c r="Z32" i="75"/>
  <c r="P32" i="75"/>
  <c r="X32" i="75" s="1"/>
  <c r="N32" i="75"/>
  <c r="L32" i="75"/>
  <c r="D32" i="75"/>
  <c r="B32" i="75"/>
  <c r="Z31" i="75"/>
  <c r="P31" i="75"/>
  <c r="X31" i="75" s="1"/>
  <c r="N31" i="75"/>
  <c r="L31" i="75"/>
  <c r="D31" i="75"/>
  <c r="B31" i="75"/>
  <c r="Z30" i="75"/>
  <c r="P30" i="75"/>
  <c r="X30" i="75" s="1"/>
  <c r="N30" i="75"/>
  <c r="D30" i="75"/>
  <c r="L30" i="75" s="1"/>
  <c r="B30" i="75"/>
  <c r="Z29" i="75"/>
  <c r="P29" i="75"/>
  <c r="X29" i="75" s="1"/>
  <c r="N29" i="75"/>
  <c r="D29" i="75"/>
  <c r="L29" i="75" s="1"/>
  <c r="B29" i="75"/>
  <c r="Z28" i="75"/>
  <c r="X28" i="75"/>
  <c r="P28" i="75"/>
  <c r="N28" i="75"/>
  <c r="D28" i="75"/>
  <c r="L28" i="75" s="1"/>
  <c r="B28" i="75"/>
  <c r="Z27" i="75"/>
  <c r="P27" i="75"/>
  <c r="X27" i="75" s="1"/>
  <c r="N27" i="75"/>
  <c r="D27" i="75"/>
  <c r="L27" i="75" s="1"/>
  <c r="B27" i="75"/>
  <c r="Z26" i="75"/>
  <c r="X26" i="75"/>
  <c r="P26" i="75"/>
  <c r="N26" i="75"/>
  <c r="D26" i="75"/>
  <c r="L26" i="75" s="1"/>
  <c r="B26" i="75"/>
  <c r="Z25" i="75"/>
  <c r="X25" i="75"/>
  <c r="P25" i="75"/>
  <c r="N25" i="75"/>
  <c r="L25" i="75"/>
  <c r="D25" i="75"/>
  <c r="B25" i="75"/>
  <c r="Z24" i="75"/>
  <c r="X24" i="75"/>
  <c r="P24" i="75"/>
  <c r="N24" i="75"/>
  <c r="D24" i="75"/>
  <c r="L24" i="75" s="1"/>
  <c r="B24" i="75"/>
  <c r="Z23" i="75"/>
  <c r="X23" i="75"/>
  <c r="P23" i="75"/>
  <c r="N23" i="75"/>
  <c r="L23" i="75"/>
  <c r="D23" i="75"/>
  <c r="B23" i="75"/>
  <c r="Z22" i="75"/>
  <c r="X22" i="75"/>
  <c r="P22" i="75"/>
  <c r="N22" i="75"/>
  <c r="L22" i="75"/>
  <c r="D22" i="75"/>
  <c r="B22" i="75"/>
  <c r="Z21" i="75"/>
  <c r="P21" i="75"/>
  <c r="X21" i="75" s="1"/>
  <c r="N21" i="75"/>
  <c r="L21" i="75"/>
  <c r="D21" i="75"/>
  <c r="B21" i="75"/>
  <c r="Z20" i="75"/>
  <c r="P20" i="75"/>
  <c r="X20" i="75" s="1"/>
  <c r="N20" i="75"/>
  <c r="L20" i="75"/>
  <c r="D20" i="75"/>
  <c r="B20" i="75"/>
  <c r="Z19" i="75"/>
  <c r="P19" i="75"/>
  <c r="N19" i="75"/>
  <c r="L19" i="75"/>
  <c r="D19" i="75"/>
  <c r="B19" i="75"/>
  <c r="Z18" i="75"/>
  <c r="P18" i="75"/>
  <c r="X18" i="75" s="1"/>
  <c r="N18" i="75"/>
  <c r="D18" i="75"/>
  <c r="L18" i="75" s="1"/>
  <c r="B18" i="75"/>
  <c r="Z17" i="75"/>
  <c r="P17" i="75"/>
  <c r="X17" i="75" s="1"/>
  <c r="N17" i="75"/>
  <c r="D17" i="75"/>
  <c r="L17" i="75" s="1"/>
  <c r="B17" i="75"/>
  <c r="Z16" i="75"/>
  <c r="X16" i="75"/>
  <c r="P16" i="75"/>
  <c r="N16" i="75"/>
  <c r="D16" i="75"/>
  <c r="L16" i="75" s="1"/>
  <c r="B16" i="75"/>
  <c r="Z15" i="75"/>
  <c r="P15" i="75"/>
  <c r="X15" i="75" s="1"/>
  <c r="N15" i="75"/>
  <c r="D15" i="75"/>
  <c r="L15" i="75" s="1"/>
  <c r="B15" i="75"/>
  <c r="Z14" i="75"/>
  <c r="X14" i="75"/>
  <c r="P14" i="75"/>
  <c r="N14" i="75"/>
  <c r="D14" i="75"/>
  <c r="B14" i="75"/>
  <c r="X13" i="75"/>
  <c r="Z13" i="75" s="1"/>
  <c r="P13" i="75"/>
  <c r="N13" i="75"/>
  <c r="L13" i="75"/>
  <c r="D13" i="75"/>
  <c r="B13" i="75"/>
  <c r="T12" i="75"/>
  <c r="V110" i="75" s="1"/>
  <c r="H12" i="75"/>
  <c r="J63" i="75" s="1"/>
  <c r="D6" i="75"/>
  <c r="D4" i="75"/>
  <c r="X102" i="74"/>
  <c r="Z102" i="74" s="1"/>
  <c r="L102" i="74"/>
  <c r="N102" i="74" s="1"/>
  <c r="Z98" i="74"/>
  <c r="T98" i="74"/>
  <c r="P98" i="74"/>
  <c r="X98" i="74" s="1"/>
  <c r="H98" i="74"/>
  <c r="N98" i="74" s="1"/>
  <c r="D98" i="74"/>
  <c r="L98" i="74" s="1"/>
  <c r="Z96" i="74"/>
  <c r="X96" i="74"/>
  <c r="V96" i="74"/>
  <c r="N96" i="74"/>
  <c r="L96" i="74"/>
  <c r="B96" i="74"/>
  <c r="V95" i="74"/>
  <c r="T95" i="74"/>
  <c r="Z95" i="74" s="1"/>
  <c r="P95" i="74"/>
  <c r="X95" i="74" s="1"/>
  <c r="N95" i="74"/>
  <c r="J95" i="74"/>
  <c r="H95" i="74"/>
  <c r="D95" i="74"/>
  <c r="L95" i="74" s="1"/>
  <c r="B95" i="74"/>
  <c r="Z94" i="74"/>
  <c r="X94" i="74"/>
  <c r="N94" i="74"/>
  <c r="L94" i="74"/>
  <c r="B94" i="74"/>
  <c r="Z93" i="74"/>
  <c r="T93" i="74"/>
  <c r="P93" i="74"/>
  <c r="X93" i="74" s="1"/>
  <c r="N93" i="74"/>
  <c r="L93" i="74"/>
  <c r="H93" i="74"/>
  <c r="D93" i="74"/>
  <c r="B93" i="74"/>
  <c r="X92" i="74"/>
  <c r="Z92" i="74" s="1"/>
  <c r="N92" i="74"/>
  <c r="L92" i="74"/>
  <c r="B92" i="74"/>
  <c r="Z91" i="74"/>
  <c r="T91" i="74"/>
  <c r="X91" i="74" s="1"/>
  <c r="P91" i="74"/>
  <c r="H91" i="74"/>
  <c r="L91" i="74" s="1"/>
  <c r="N91" i="74" s="1"/>
  <c r="D91" i="74"/>
  <c r="B91" i="74"/>
  <c r="Z90" i="74"/>
  <c r="X90" i="74"/>
  <c r="N90" i="74"/>
  <c r="L90" i="74"/>
  <c r="J90" i="74"/>
  <c r="B90" i="74"/>
  <c r="Z89" i="74"/>
  <c r="T89" i="74"/>
  <c r="P89" i="74"/>
  <c r="X89" i="74" s="1"/>
  <c r="J89" i="74"/>
  <c r="H89" i="74"/>
  <c r="N89" i="74" s="1"/>
  <c r="D89" i="74"/>
  <c r="L89" i="74" s="1"/>
  <c r="B89" i="74"/>
  <c r="Z88" i="74"/>
  <c r="X88" i="74"/>
  <c r="N88" i="74"/>
  <c r="L88" i="74"/>
  <c r="B88" i="74"/>
  <c r="Z87" i="74"/>
  <c r="X87" i="74"/>
  <c r="T87" i="74"/>
  <c r="P87" i="74"/>
  <c r="N87" i="74"/>
  <c r="H87" i="74"/>
  <c r="D87" i="74"/>
  <c r="L87" i="74" s="1"/>
  <c r="B87" i="74"/>
  <c r="Z86" i="74"/>
  <c r="X86" i="74"/>
  <c r="N86" i="74"/>
  <c r="L86" i="74"/>
  <c r="B86" i="74"/>
  <c r="X85" i="74"/>
  <c r="T85" i="74"/>
  <c r="Z85" i="74" s="1"/>
  <c r="P85" i="74"/>
  <c r="N85" i="74"/>
  <c r="J85" i="74"/>
  <c r="H85" i="74"/>
  <c r="L85" i="74" s="1"/>
  <c r="D85" i="74"/>
  <c r="B85" i="74"/>
  <c r="Z84" i="74"/>
  <c r="X84" i="74"/>
  <c r="L84" i="74"/>
  <c r="N84" i="74" s="1"/>
  <c r="B84" i="74"/>
  <c r="V83" i="74"/>
  <c r="T83" i="74"/>
  <c r="P83" i="74"/>
  <c r="X83" i="74" s="1"/>
  <c r="Z83" i="74" s="1"/>
  <c r="H83" i="74"/>
  <c r="D83" i="74"/>
  <c r="L83" i="74" s="1"/>
  <c r="N83" i="74" s="1"/>
  <c r="B83" i="74"/>
  <c r="Z82" i="74"/>
  <c r="X82" i="74"/>
  <c r="V82" i="74"/>
  <c r="N82" i="74"/>
  <c r="L82" i="74"/>
  <c r="B82" i="74"/>
  <c r="Z81" i="74"/>
  <c r="X81" i="74"/>
  <c r="N81" i="74"/>
  <c r="L81" i="74"/>
  <c r="B81" i="74"/>
  <c r="X80" i="74"/>
  <c r="T80" i="74"/>
  <c r="P80" i="74"/>
  <c r="L80" i="74"/>
  <c r="J80" i="74"/>
  <c r="H80" i="74"/>
  <c r="N80" i="74" s="1"/>
  <c r="D80" i="74"/>
  <c r="B80" i="74"/>
  <c r="Z79" i="74"/>
  <c r="X79" i="74"/>
  <c r="N79" i="74"/>
  <c r="L79" i="74"/>
  <c r="J79" i="74"/>
  <c r="B79" i="74"/>
  <c r="T78" i="74"/>
  <c r="P78" i="74"/>
  <c r="L78" i="74"/>
  <c r="H78" i="74"/>
  <c r="D78" i="74"/>
  <c r="B78" i="74"/>
  <c r="Z77" i="74"/>
  <c r="X77" i="74"/>
  <c r="N77" i="74"/>
  <c r="L77" i="74"/>
  <c r="J77" i="74"/>
  <c r="B77" i="74"/>
  <c r="Z76" i="74"/>
  <c r="X76" i="74"/>
  <c r="V76" i="74"/>
  <c r="N76" i="74"/>
  <c r="L76" i="74"/>
  <c r="B76" i="74"/>
  <c r="Z75" i="74"/>
  <c r="X75" i="74"/>
  <c r="L75" i="74"/>
  <c r="N75" i="74" s="1"/>
  <c r="B75" i="74"/>
  <c r="X74" i="74"/>
  <c r="Z74" i="74" s="1"/>
  <c r="N74" i="74"/>
  <c r="L74" i="74"/>
  <c r="B74" i="74"/>
  <c r="Z73" i="74"/>
  <c r="X73" i="74"/>
  <c r="N73" i="74"/>
  <c r="L73" i="74"/>
  <c r="J73" i="74"/>
  <c r="B73" i="74"/>
  <c r="Z72" i="74"/>
  <c r="X72" i="74"/>
  <c r="V72" i="74"/>
  <c r="N72" i="74"/>
  <c r="L72" i="74"/>
  <c r="B72" i="74"/>
  <c r="Z71" i="74"/>
  <c r="X71" i="74"/>
  <c r="V71" i="74"/>
  <c r="N71" i="74"/>
  <c r="L71" i="74"/>
  <c r="J71" i="74"/>
  <c r="B71" i="74"/>
  <c r="Z70" i="74"/>
  <c r="X70" i="74"/>
  <c r="V70" i="74"/>
  <c r="N70" i="74"/>
  <c r="L70" i="74"/>
  <c r="J70" i="74"/>
  <c r="B70" i="74"/>
  <c r="Z69" i="74"/>
  <c r="X69" i="74"/>
  <c r="V69" i="74"/>
  <c r="N69" i="74"/>
  <c r="L69" i="74"/>
  <c r="B69" i="74"/>
  <c r="Z68" i="74"/>
  <c r="X68" i="74"/>
  <c r="L68" i="74"/>
  <c r="N68" i="74" s="1"/>
  <c r="B68" i="74"/>
  <c r="T67" i="74"/>
  <c r="P67" i="74"/>
  <c r="J67" i="74"/>
  <c r="H67" i="74"/>
  <c r="D67" i="74"/>
  <c r="L67" i="74" s="1"/>
  <c r="N67" i="74" s="1"/>
  <c r="B67" i="74"/>
  <c r="Z66" i="74"/>
  <c r="X66" i="74"/>
  <c r="V66" i="74"/>
  <c r="N66" i="74"/>
  <c r="L66" i="74"/>
  <c r="B66" i="74"/>
  <c r="X65" i="74"/>
  <c r="Z65" i="74" s="1"/>
  <c r="N65" i="74"/>
  <c r="L65" i="74"/>
  <c r="B65" i="74"/>
  <c r="X64" i="74"/>
  <c r="Z64" i="74" s="1"/>
  <c r="N64" i="74"/>
  <c r="L64" i="74"/>
  <c r="B64" i="74"/>
  <c r="Z63" i="74"/>
  <c r="X63" i="74"/>
  <c r="V63" i="74"/>
  <c r="N63" i="74"/>
  <c r="L63" i="74"/>
  <c r="J63" i="74"/>
  <c r="B63" i="74"/>
  <c r="X62" i="74"/>
  <c r="Z62" i="74" s="1"/>
  <c r="N62" i="74"/>
  <c r="L62" i="74"/>
  <c r="B62" i="74"/>
  <c r="Z61" i="74"/>
  <c r="X61" i="74"/>
  <c r="V61" i="74"/>
  <c r="L61" i="74"/>
  <c r="N61" i="74" s="1"/>
  <c r="B61" i="74"/>
  <c r="X60" i="74"/>
  <c r="Z60" i="74" s="1"/>
  <c r="L60" i="74"/>
  <c r="N60" i="74" s="1"/>
  <c r="B60" i="74"/>
  <c r="X59" i="74"/>
  <c r="Z59" i="74" s="1"/>
  <c r="V59" i="74"/>
  <c r="L59" i="74"/>
  <c r="N59" i="74" s="1"/>
  <c r="B59" i="74"/>
  <c r="X58" i="74"/>
  <c r="Z58" i="74" s="1"/>
  <c r="N58" i="74"/>
  <c r="L58" i="74"/>
  <c r="B58" i="74"/>
  <c r="Z57" i="74"/>
  <c r="X57" i="74"/>
  <c r="V57" i="74"/>
  <c r="T57" i="74"/>
  <c r="P57" i="74"/>
  <c r="J57" i="74"/>
  <c r="H57" i="74"/>
  <c r="D57" i="74"/>
  <c r="L57" i="74" s="1"/>
  <c r="N57" i="74" s="1"/>
  <c r="B57" i="74"/>
  <c r="T56" i="74"/>
  <c r="X56" i="74" s="1"/>
  <c r="Z56" i="74" s="1"/>
  <c r="P56" i="74"/>
  <c r="H56" i="74"/>
  <c r="D56" i="74"/>
  <c r="L56" i="74" s="1"/>
  <c r="T54" i="74"/>
  <c r="Z52" i="74"/>
  <c r="X52" i="74"/>
  <c r="N52" i="74"/>
  <c r="L52" i="74"/>
  <c r="J52" i="74"/>
  <c r="B52" i="74"/>
  <c r="Z51" i="74"/>
  <c r="X51" i="74"/>
  <c r="V51" i="74"/>
  <c r="N51" i="74"/>
  <c r="L51" i="74"/>
  <c r="J51" i="74"/>
  <c r="B51" i="74"/>
  <c r="Z50" i="74"/>
  <c r="X50" i="74"/>
  <c r="N50" i="74"/>
  <c r="L50" i="74"/>
  <c r="J50" i="74"/>
  <c r="B50" i="74"/>
  <c r="Z49" i="74"/>
  <c r="X49" i="74"/>
  <c r="N49" i="74"/>
  <c r="L49" i="74"/>
  <c r="B49" i="74"/>
  <c r="Z48" i="74"/>
  <c r="X48" i="74"/>
  <c r="N48" i="74"/>
  <c r="L48" i="74"/>
  <c r="B48" i="74"/>
  <c r="Z47" i="74"/>
  <c r="X47" i="74"/>
  <c r="V47" i="74"/>
  <c r="N47" i="74"/>
  <c r="L47" i="74"/>
  <c r="J47" i="74"/>
  <c r="B47" i="74"/>
  <c r="Z46" i="74"/>
  <c r="X46" i="74"/>
  <c r="N46" i="74"/>
  <c r="L46" i="74"/>
  <c r="J46" i="74"/>
  <c r="B46" i="74"/>
  <c r="Z45" i="74"/>
  <c r="X45" i="74"/>
  <c r="N45" i="74"/>
  <c r="L45" i="74"/>
  <c r="J45" i="74"/>
  <c r="B45" i="74"/>
  <c r="Z44" i="74"/>
  <c r="X44" i="74"/>
  <c r="N44" i="74"/>
  <c r="L44" i="74"/>
  <c r="B44" i="74"/>
  <c r="Z43" i="74"/>
  <c r="X43" i="74"/>
  <c r="V43" i="74"/>
  <c r="N43" i="74"/>
  <c r="L43" i="74"/>
  <c r="J43" i="74"/>
  <c r="B43" i="74"/>
  <c r="Z42" i="74"/>
  <c r="X42" i="74"/>
  <c r="N42" i="74"/>
  <c r="L42" i="74"/>
  <c r="J42" i="74"/>
  <c r="B42" i="74"/>
  <c r="Z41" i="74"/>
  <c r="X41" i="74"/>
  <c r="N41" i="74"/>
  <c r="L41" i="74"/>
  <c r="B41" i="74"/>
  <c r="Z40" i="74"/>
  <c r="X40" i="74"/>
  <c r="N40" i="74"/>
  <c r="L40" i="74"/>
  <c r="J40" i="74"/>
  <c r="B40" i="74"/>
  <c r="Z39" i="74"/>
  <c r="X39" i="74"/>
  <c r="V39" i="74"/>
  <c r="N39" i="74"/>
  <c r="L39" i="74"/>
  <c r="J39" i="74"/>
  <c r="B39" i="74"/>
  <c r="Z38" i="74"/>
  <c r="X38" i="74"/>
  <c r="N38" i="74"/>
  <c r="L38" i="74"/>
  <c r="J38" i="74"/>
  <c r="B38" i="74"/>
  <c r="Z37" i="74"/>
  <c r="X37" i="74"/>
  <c r="V37" i="74"/>
  <c r="N37" i="74"/>
  <c r="L37" i="74"/>
  <c r="J37" i="74"/>
  <c r="B37" i="74"/>
  <c r="T36" i="74"/>
  <c r="Z36" i="74" s="1"/>
  <c r="P36" i="74"/>
  <c r="X36" i="74" s="1"/>
  <c r="H36" i="74"/>
  <c r="D36" i="74"/>
  <c r="L36" i="74" s="1"/>
  <c r="Z34" i="74"/>
  <c r="X34" i="74"/>
  <c r="P34" i="74"/>
  <c r="N34" i="74"/>
  <c r="D34" i="74"/>
  <c r="L34" i="74" s="1"/>
  <c r="B34" i="74"/>
  <c r="Z33" i="74"/>
  <c r="P33" i="74"/>
  <c r="X33" i="74" s="1"/>
  <c r="N33" i="74"/>
  <c r="L33" i="74"/>
  <c r="D33" i="74"/>
  <c r="B33" i="74"/>
  <c r="Z32" i="74"/>
  <c r="X32" i="74"/>
  <c r="P32" i="74"/>
  <c r="N32" i="74"/>
  <c r="D32" i="74"/>
  <c r="L32" i="74" s="1"/>
  <c r="B32" i="74"/>
  <c r="Z31" i="74"/>
  <c r="P31" i="74"/>
  <c r="X31" i="74" s="1"/>
  <c r="N31" i="74"/>
  <c r="L31" i="74"/>
  <c r="D31" i="74"/>
  <c r="B31" i="74"/>
  <c r="Z30" i="74"/>
  <c r="X30" i="74"/>
  <c r="P30" i="74"/>
  <c r="N30" i="74"/>
  <c r="D30" i="74"/>
  <c r="L30" i="74" s="1"/>
  <c r="B30" i="74"/>
  <c r="Z29" i="74"/>
  <c r="P29" i="74"/>
  <c r="X29" i="74" s="1"/>
  <c r="N29" i="74"/>
  <c r="L29" i="74"/>
  <c r="D29" i="74"/>
  <c r="B29" i="74"/>
  <c r="Z28" i="74"/>
  <c r="X28" i="74"/>
  <c r="P28" i="74"/>
  <c r="N28" i="74"/>
  <c r="D28" i="74"/>
  <c r="L28" i="74" s="1"/>
  <c r="B28" i="74"/>
  <c r="Z27" i="74"/>
  <c r="P27" i="74"/>
  <c r="X27" i="74" s="1"/>
  <c r="N27" i="74"/>
  <c r="L27" i="74"/>
  <c r="D27" i="74"/>
  <c r="B27" i="74"/>
  <c r="Z26" i="74"/>
  <c r="X26" i="74"/>
  <c r="P26" i="74"/>
  <c r="N26" i="74"/>
  <c r="D26" i="74"/>
  <c r="L26" i="74" s="1"/>
  <c r="B26" i="74"/>
  <c r="Z25" i="74"/>
  <c r="P25" i="74"/>
  <c r="X25" i="74" s="1"/>
  <c r="N25" i="74"/>
  <c r="L25" i="74"/>
  <c r="D25" i="74"/>
  <c r="B25" i="74"/>
  <c r="Z24" i="74"/>
  <c r="X24" i="74"/>
  <c r="P24" i="74"/>
  <c r="N24" i="74"/>
  <c r="D24" i="74"/>
  <c r="L24" i="74" s="1"/>
  <c r="B24" i="74"/>
  <c r="Z23" i="74"/>
  <c r="P23" i="74"/>
  <c r="X23" i="74" s="1"/>
  <c r="N23" i="74"/>
  <c r="L23" i="74"/>
  <c r="D23" i="74"/>
  <c r="B23" i="74"/>
  <c r="Z22" i="74"/>
  <c r="X22" i="74"/>
  <c r="P22" i="74"/>
  <c r="N22" i="74"/>
  <c r="D22" i="74"/>
  <c r="L22" i="74" s="1"/>
  <c r="B22" i="74"/>
  <c r="P21" i="74"/>
  <c r="X21" i="74" s="1"/>
  <c r="Z21" i="74" s="1"/>
  <c r="L21" i="74"/>
  <c r="N21" i="74" s="1"/>
  <c r="D21" i="74"/>
  <c r="B21" i="74"/>
  <c r="Z20" i="74"/>
  <c r="X20" i="74"/>
  <c r="P20" i="74"/>
  <c r="N20" i="74"/>
  <c r="D20" i="74"/>
  <c r="L20" i="74" s="1"/>
  <c r="B20" i="74"/>
  <c r="Z19" i="74"/>
  <c r="P19" i="74"/>
  <c r="X19" i="74" s="1"/>
  <c r="N19" i="74"/>
  <c r="L19" i="74"/>
  <c r="D19" i="74"/>
  <c r="B19" i="74"/>
  <c r="Z18" i="74"/>
  <c r="X18" i="74"/>
  <c r="P18" i="74"/>
  <c r="N18" i="74"/>
  <c r="D18" i="74"/>
  <c r="L18" i="74" s="1"/>
  <c r="B18" i="74"/>
  <c r="Z17" i="74"/>
  <c r="P17" i="74"/>
  <c r="X17" i="74" s="1"/>
  <c r="N17" i="74"/>
  <c r="L17" i="74"/>
  <c r="D17" i="74"/>
  <c r="B17" i="74"/>
  <c r="Z16" i="74"/>
  <c r="X16" i="74"/>
  <c r="P16" i="74"/>
  <c r="N16" i="74"/>
  <c r="D16" i="74"/>
  <c r="B16" i="74"/>
  <c r="Z15" i="74"/>
  <c r="P15" i="74"/>
  <c r="X15" i="74" s="1"/>
  <c r="N15" i="74"/>
  <c r="L15" i="74"/>
  <c r="D15" i="74"/>
  <c r="B15" i="74"/>
  <c r="Z14" i="74"/>
  <c r="X14" i="74"/>
  <c r="P14" i="74"/>
  <c r="N14" i="74"/>
  <c r="D14" i="74"/>
  <c r="L14" i="74" s="1"/>
  <c r="B14" i="74"/>
  <c r="P13" i="74"/>
  <c r="L13" i="74"/>
  <c r="N13" i="74" s="1"/>
  <c r="D13" i="74"/>
  <c r="B13" i="74"/>
  <c r="T12" i="74"/>
  <c r="V93" i="74" s="1"/>
  <c r="H12" i="74"/>
  <c r="D6" i="74"/>
  <c r="D4" i="74"/>
  <c r="X87" i="73"/>
  <c r="Z87" i="73" s="1"/>
  <c r="L87" i="73"/>
  <c r="N87" i="73" s="1"/>
  <c r="T83" i="73"/>
  <c r="Z83" i="73" s="1"/>
  <c r="P83" i="73"/>
  <c r="X83" i="73" s="1"/>
  <c r="L83" i="73"/>
  <c r="H83" i="73"/>
  <c r="N83" i="73" s="1"/>
  <c r="D83" i="73"/>
  <c r="X81" i="73"/>
  <c r="Z81" i="73" s="1"/>
  <c r="N81" i="73"/>
  <c r="L81" i="73"/>
  <c r="B81" i="73"/>
  <c r="T80" i="73"/>
  <c r="P80" i="73"/>
  <c r="X80" i="73" s="1"/>
  <c r="Z80" i="73" s="1"/>
  <c r="N80" i="73"/>
  <c r="J80" i="73"/>
  <c r="H80" i="73"/>
  <c r="D80" i="73"/>
  <c r="L80" i="73" s="1"/>
  <c r="B80" i="73"/>
  <c r="X79" i="73"/>
  <c r="Z79" i="73" s="1"/>
  <c r="L79" i="73"/>
  <c r="N79" i="73" s="1"/>
  <c r="B79" i="73"/>
  <c r="Z78" i="73"/>
  <c r="X78" i="73"/>
  <c r="T78" i="73"/>
  <c r="P78" i="73"/>
  <c r="N78" i="73"/>
  <c r="L78" i="73"/>
  <c r="H78" i="73"/>
  <c r="D78" i="73"/>
  <c r="B78" i="73"/>
  <c r="X77" i="73"/>
  <c r="Z77" i="73" s="1"/>
  <c r="L77" i="73"/>
  <c r="N77" i="73" s="1"/>
  <c r="B77" i="73"/>
  <c r="Z76" i="73"/>
  <c r="X76" i="73"/>
  <c r="V76" i="73"/>
  <c r="N76" i="73"/>
  <c r="L76" i="73"/>
  <c r="B76" i="73"/>
  <c r="Z75" i="73"/>
  <c r="X75" i="73"/>
  <c r="N75" i="73"/>
  <c r="L75" i="73"/>
  <c r="B75" i="73"/>
  <c r="Z74" i="73"/>
  <c r="X74" i="73"/>
  <c r="N74" i="73"/>
  <c r="L74" i="73"/>
  <c r="B74" i="73"/>
  <c r="Z73" i="73"/>
  <c r="X73" i="73"/>
  <c r="N73" i="73"/>
  <c r="L73" i="73"/>
  <c r="B73" i="73"/>
  <c r="Z72" i="73"/>
  <c r="V72" i="73"/>
  <c r="T72" i="73"/>
  <c r="X72" i="73" s="1"/>
  <c r="P72" i="73"/>
  <c r="H72" i="73"/>
  <c r="D72" i="73"/>
  <c r="L72" i="73" s="1"/>
  <c r="N72" i="73" s="1"/>
  <c r="B72" i="73"/>
  <c r="Z71" i="73"/>
  <c r="X71" i="73"/>
  <c r="N71" i="73"/>
  <c r="L71" i="73"/>
  <c r="B71" i="73"/>
  <c r="Z70" i="73"/>
  <c r="V70" i="73"/>
  <c r="T70" i="73"/>
  <c r="R70" i="73"/>
  <c r="P70" i="73"/>
  <c r="X70" i="73" s="1"/>
  <c r="N70" i="73"/>
  <c r="H70" i="73"/>
  <c r="D70" i="73"/>
  <c r="L70" i="73" s="1"/>
  <c r="B70" i="73"/>
  <c r="X69" i="73"/>
  <c r="Z69" i="73" s="1"/>
  <c r="L69" i="73"/>
  <c r="N69" i="73" s="1"/>
  <c r="B69" i="73"/>
  <c r="Z68" i="73"/>
  <c r="X68" i="73"/>
  <c r="N68" i="73"/>
  <c r="L68" i="73"/>
  <c r="B68" i="73"/>
  <c r="Z67" i="73"/>
  <c r="X67" i="73"/>
  <c r="N67" i="73"/>
  <c r="L67" i="73"/>
  <c r="B67" i="73"/>
  <c r="Z66" i="73"/>
  <c r="X66" i="73"/>
  <c r="T66" i="73"/>
  <c r="P66" i="73"/>
  <c r="N66" i="73"/>
  <c r="L66" i="73"/>
  <c r="H66" i="73"/>
  <c r="D66" i="73"/>
  <c r="B66" i="73"/>
  <c r="X65" i="73"/>
  <c r="Z65" i="73" s="1"/>
  <c r="L65" i="73"/>
  <c r="N65" i="73" s="1"/>
  <c r="B65" i="73"/>
  <c r="V64" i="73"/>
  <c r="T64" i="73"/>
  <c r="X64" i="73" s="1"/>
  <c r="Z64" i="73" s="1"/>
  <c r="P64" i="73"/>
  <c r="H64" i="73"/>
  <c r="D64" i="73"/>
  <c r="L64" i="73" s="1"/>
  <c r="N64" i="73" s="1"/>
  <c r="B64" i="73"/>
  <c r="Z63" i="73"/>
  <c r="X63" i="73"/>
  <c r="N63" i="73"/>
  <c r="L63" i="73"/>
  <c r="B63" i="73"/>
  <c r="Z62" i="73"/>
  <c r="V62" i="73"/>
  <c r="T62" i="73"/>
  <c r="P62" i="73"/>
  <c r="X62" i="73" s="1"/>
  <c r="N62" i="73"/>
  <c r="H62" i="73"/>
  <c r="D62" i="73"/>
  <c r="L62" i="73" s="1"/>
  <c r="B62" i="73"/>
  <c r="Z61" i="73"/>
  <c r="X61" i="73"/>
  <c r="N61" i="73"/>
  <c r="L61" i="73"/>
  <c r="B61" i="73"/>
  <c r="Z60" i="73"/>
  <c r="X60" i="73"/>
  <c r="T60" i="73"/>
  <c r="P60" i="73"/>
  <c r="N60" i="73"/>
  <c r="L60" i="73"/>
  <c r="H60" i="73"/>
  <c r="D60" i="73"/>
  <c r="B60" i="73"/>
  <c r="Z59" i="73"/>
  <c r="X59" i="73"/>
  <c r="N59" i="73"/>
  <c r="L59" i="73"/>
  <c r="B59" i="73"/>
  <c r="Z58" i="73"/>
  <c r="T58" i="73"/>
  <c r="P58" i="73"/>
  <c r="X58" i="73" s="1"/>
  <c r="N58" i="73"/>
  <c r="H58" i="73"/>
  <c r="D58" i="73"/>
  <c r="L58" i="73" s="1"/>
  <c r="B58" i="73"/>
  <c r="X57" i="73"/>
  <c r="Z57" i="73" s="1"/>
  <c r="L57" i="73"/>
  <c r="N57" i="73" s="1"/>
  <c r="B57" i="73"/>
  <c r="T56" i="73"/>
  <c r="P56" i="73"/>
  <c r="X56" i="73" s="1"/>
  <c r="Z56" i="73" s="1"/>
  <c r="H56" i="73"/>
  <c r="D56" i="73"/>
  <c r="L56" i="73" s="1"/>
  <c r="N56" i="73" s="1"/>
  <c r="B56" i="73"/>
  <c r="X55" i="73"/>
  <c r="Z55" i="73" s="1"/>
  <c r="L55" i="73"/>
  <c r="N55" i="73" s="1"/>
  <c r="B55" i="73"/>
  <c r="Z54" i="73"/>
  <c r="X54" i="73"/>
  <c r="T54" i="73"/>
  <c r="P54" i="73"/>
  <c r="N54" i="73"/>
  <c r="L54" i="73"/>
  <c r="H54" i="73"/>
  <c r="D54" i="73"/>
  <c r="B54" i="73"/>
  <c r="Z53" i="73"/>
  <c r="X53" i="73"/>
  <c r="N53" i="73"/>
  <c r="L53" i="73"/>
  <c r="B53" i="73"/>
  <c r="Z52" i="73"/>
  <c r="V52" i="73"/>
  <c r="T52" i="73"/>
  <c r="X52" i="73" s="1"/>
  <c r="P52" i="73"/>
  <c r="N52" i="73"/>
  <c r="H52" i="73"/>
  <c r="D52" i="73"/>
  <c r="L52" i="73" s="1"/>
  <c r="B52" i="73"/>
  <c r="Z51" i="73"/>
  <c r="X51" i="73"/>
  <c r="N51" i="73"/>
  <c r="L51" i="73"/>
  <c r="B51" i="73"/>
  <c r="Z50" i="73"/>
  <c r="V50" i="73"/>
  <c r="T50" i="73"/>
  <c r="R50" i="73"/>
  <c r="P50" i="73"/>
  <c r="X50" i="73" s="1"/>
  <c r="N50" i="73"/>
  <c r="H50" i="73"/>
  <c r="D50" i="73"/>
  <c r="L50" i="73" s="1"/>
  <c r="B50" i="73"/>
  <c r="Z49" i="73"/>
  <c r="X49" i="73"/>
  <c r="N49" i="73"/>
  <c r="L49" i="73"/>
  <c r="B49" i="73"/>
  <c r="Z48" i="73"/>
  <c r="X48" i="73"/>
  <c r="N48" i="73"/>
  <c r="L48" i="73"/>
  <c r="B48" i="73"/>
  <c r="X47" i="73"/>
  <c r="Z47" i="73" s="1"/>
  <c r="L47" i="73"/>
  <c r="N47" i="73" s="1"/>
  <c r="B47" i="73"/>
  <c r="Z46" i="73"/>
  <c r="X46" i="73"/>
  <c r="N46" i="73"/>
  <c r="L46" i="73"/>
  <c r="B46" i="73"/>
  <c r="Z45" i="73"/>
  <c r="X45" i="73"/>
  <c r="N45" i="73"/>
  <c r="L45" i="73"/>
  <c r="B45" i="73"/>
  <c r="Z44" i="73"/>
  <c r="X44" i="73"/>
  <c r="N44" i="73"/>
  <c r="L44" i="73"/>
  <c r="J44" i="73"/>
  <c r="B44" i="73"/>
  <c r="X43" i="73"/>
  <c r="Z43" i="73" s="1"/>
  <c r="L43" i="73"/>
  <c r="N43" i="73" s="1"/>
  <c r="B43" i="73"/>
  <c r="Z42" i="73"/>
  <c r="X42" i="73"/>
  <c r="N42" i="73"/>
  <c r="L42" i="73"/>
  <c r="B42" i="73"/>
  <c r="Z41" i="73"/>
  <c r="X41" i="73"/>
  <c r="N41" i="73"/>
  <c r="L41" i="73"/>
  <c r="B41" i="73"/>
  <c r="Z40" i="73"/>
  <c r="X40" i="73"/>
  <c r="N40" i="73"/>
  <c r="L40" i="73"/>
  <c r="B40" i="73"/>
  <c r="T39" i="73"/>
  <c r="P39" i="73"/>
  <c r="X39" i="73" s="1"/>
  <c r="H39" i="73"/>
  <c r="D39" i="73"/>
  <c r="B39" i="73"/>
  <c r="Z38" i="73"/>
  <c r="X38" i="73"/>
  <c r="N38" i="73"/>
  <c r="L38" i="73"/>
  <c r="B38" i="73"/>
  <c r="X37" i="73"/>
  <c r="Z37" i="73" s="1"/>
  <c r="L37" i="73"/>
  <c r="N37" i="73" s="1"/>
  <c r="B37" i="73"/>
  <c r="Z36" i="73"/>
  <c r="X36" i="73"/>
  <c r="V36" i="73"/>
  <c r="N36" i="73"/>
  <c r="L36" i="73"/>
  <c r="B36" i="73"/>
  <c r="Z35" i="73"/>
  <c r="X35" i="73"/>
  <c r="N35" i="73"/>
  <c r="L35" i="73"/>
  <c r="B35" i="73"/>
  <c r="Z34" i="73"/>
  <c r="X34" i="73"/>
  <c r="N34" i="73"/>
  <c r="L34" i="73"/>
  <c r="B34" i="73"/>
  <c r="X33" i="73"/>
  <c r="Z33" i="73" s="1"/>
  <c r="L33" i="73"/>
  <c r="N33" i="73" s="1"/>
  <c r="B33" i="73"/>
  <c r="Z32" i="73"/>
  <c r="X32" i="73"/>
  <c r="V32" i="73"/>
  <c r="N32" i="73"/>
  <c r="L32" i="73"/>
  <c r="B32" i="73"/>
  <c r="X31" i="73"/>
  <c r="Z31" i="73" s="1"/>
  <c r="L31" i="73"/>
  <c r="N31" i="73" s="1"/>
  <c r="B31" i="73"/>
  <c r="Z30" i="73"/>
  <c r="X30" i="73"/>
  <c r="N30" i="73"/>
  <c r="L30" i="73"/>
  <c r="B30" i="73"/>
  <c r="T29" i="73"/>
  <c r="P29" i="73"/>
  <c r="X29" i="73" s="1"/>
  <c r="H29" i="73"/>
  <c r="D29" i="73"/>
  <c r="B29" i="73"/>
  <c r="T28" i="73"/>
  <c r="P28" i="73"/>
  <c r="X28" i="73" s="1"/>
  <c r="Z28" i="73" s="1"/>
  <c r="H28" i="73"/>
  <c r="D28" i="73"/>
  <c r="L28" i="73" s="1"/>
  <c r="N28" i="73" s="1"/>
  <c r="Z24" i="73"/>
  <c r="X24" i="73"/>
  <c r="N24" i="73"/>
  <c r="L24" i="73"/>
  <c r="B24" i="73"/>
  <c r="Z23" i="73"/>
  <c r="X23" i="73"/>
  <c r="N23" i="73"/>
  <c r="L23" i="73"/>
  <c r="B23" i="73"/>
  <c r="Z22" i="73"/>
  <c r="X22" i="73"/>
  <c r="V22" i="73"/>
  <c r="N22" i="73"/>
  <c r="L22" i="73"/>
  <c r="B22" i="73"/>
  <c r="T21" i="73"/>
  <c r="Z21" i="73" s="1"/>
  <c r="P21" i="73"/>
  <c r="X21" i="73" s="1"/>
  <c r="L21" i="73"/>
  <c r="H21" i="73"/>
  <c r="N21" i="73" s="1"/>
  <c r="D21" i="73"/>
  <c r="Z19" i="73"/>
  <c r="X19" i="73"/>
  <c r="P19" i="73"/>
  <c r="N19" i="73"/>
  <c r="D19" i="73"/>
  <c r="L19" i="73" s="1"/>
  <c r="B19" i="73"/>
  <c r="Z18" i="73"/>
  <c r="P18" i="73"/>
  <c r="X18" i="73" s="1"/>
  <c r="N18" i="73"/>
  <c r="L18" i="73"/>
  <c r="D18" i="73"/>
  <c r="B18" i="73"/>
  <c r="Z17" i="73"/>
  <c r="X17" i="73"/>
  <c r="P17" i="73"/>
  <c r="N17" i="73"/>
  <c r="D17" i="73"/>
  <c r="L17" i="73" s="1"/>
  <c r="B17" i="73"/>
  <c r="Z16" i="73"/>
  <c r="P16" i="73"/>
  <c r="X16" i="73" s="1"/>
  <c r="N16" i="73"/>
  <c r="L16" i="73"/>
  <c r="D16" i="73"/>
  <c r="B16" i="73"/>
  <c r="X15" i="73"/>
  <c r="Z15" i="73" s="1"/>
  <c r="P15" i="73"/>
  <c r="D15" i="73"/>
  <c r="L15" i="73" s="1"/>
  <c r="N15" i="73" s="1"/>
  <c r="B15" i="73"/>
  <c r="Z14" i="73"/>
  <c r="P14" i="73"/>
  <c r="X14" i="73" s="1"/>
  <c r="N14" i="73"/>
  <c r="L14" i="73"/>
  <c r="D14" i="73"/>
  <c r="B14" i="73"/>
  <c r="Z13" i="73"/>
  <c r="X13" i="73"/>
  <c r="P13" i="73"/>
  <c r="P12" i="73" s="1"/>
  <c r="R60" i="73" s="1"/>
  <c r="N13" i="73"/>
  <c r="D13" i="73"/>
  <c r="B13" i="73"/>
  <c r="T12" i="73"/>
  <c r="V71" i="73" s="1"/>
  <c r="H12" i="73"/>
  <c r="J58" i="73" s="1"/>
  <c r="D6" i="73"/>
  <c r="D4" i="73"/>
  <c r="Z129" i="71"/>
  <c r="X129" i="71"/>
  <c r="V129" i="71"/>
  <c r="N129" i="71"/>
  <c r="L129" i="71"/>
  <c r="V125" i="71"/>
  <c r="P125" i="71"/>
  <c r="X125" i="71" s="1"/>
  <c r="Z125" i="71" s="1"/>
  <c r="L125" i="71"/>
  <c r="N125" i="71" s="1"/>
  <c r="D125" i="71"/>
  <c r="B125" i="71"/>
  <c r="Z124" i="71"/>
  <c r="X124" i="71"/>
  <c r="P124" i="71"/>
  <c r="N124" i="71"/>
  <c r="J124" i="71"/>
  <c r="D124" i="71"/>
  <c r="L124" i="71" s="1"/>
  <c r="B124" i="71"/>
  <c r="Z123" i="71"/>
  <c r="V123" i="71"/>
  <c r="P123" i="71"/>
  <c r="X123" i="71" s="1"/>
  <c r="N123" i="71"/>
  <c r="L123" i="71"/>
  <c r="D123" i="71"/>
  <c r="B123" i="71"/>
  <c r="Z122" i="71"/>
  <c r="X122" i="71"/>
  <c r="P122" i="71"/>
  <c r="N122" i="71"/>
  <c r="J122" i="71"/>
  <c r="D122" i="71"/>
  <c r="B122" i="71"/>
  <c r="T121" i="71"/>
  <c r="H121" i="71"/>
  <c r="J121" i="71" s="1"/>
  <c r="Z119" i="71"/>
  <c r="X119" i="71"/>
  <c r="N119" i="71"/>
  <c r="L119" i="71"/>
  <c r="J119" i="71"/>
  <c r="B119" i="71"/>
  <c r="Z118" i="71"/>
  <c r="X118" i="71"/>
  <c r="N118" i="71"/>
  <c r="L118" i="71"/>
  <c r="B118" i="71"/>
  <c r="V117" i="71"/>
  <c r="T117" i="71"/>
  <c r="P117" i="71"/>
  <c r="X117" i="71" s="1"/>
  <c r="Z117" i="71" s="1"/>
  <c r="J117" i="71"/>
  <c r="H117" i="71"/>
  <c r="D117" i="71"/>
  <c r="L117" i="71" s="1"/>
  <c r="N117" i="71" s="1"/>
  <c r="B117" i="71"/>
  <c r="X116" i="71"/>
  <c r="Z116" i="71" s="1"/>
  <c r="L116" i="71"/>
  <c r="N116" i="71" s="1"/>
  <c r="B116" i="71"/>
  <c r="Z115" i="71"/>
  <c r="X115" i="71"/>
  <c r="V115" i="71"/>
  <c r="T115" i="71"/>
  <c r="P115" i="71"/>
  <c r="N115" i="71"/>
  <c r="L115" i="71"/>
  <c r="J115" i="71"/>
  <c r="H115" i="71"/>
  <c r="D115" i="71"/>
  <c r="B115" i="71"/>
  <c r="X114" i="71"/>
  <c r="Z114" i="71" s="1"/>
  <c r="L114" i="71"/>
  <c r="N114" i="71" s="1"/>
  <c r="B114" i="71"/>
  <c r="Z113" i="71"/>
  <c r="X113" i="71"/>
  <c r="V113" i="71"/>
  <c r="N113" i="71"/>
  <c r="L113" i="71"/>
  <c r="J113" i="71"/>
  <c r="B113" i="71"/>
  <c r="T112" i="71"/>
  <c r="P112" i="71"/>
  <c r="X112" i="71" s="1"/>
  <c r="H112" i="71"/>
  <c r="D112" i="71"/>
  <c r="B112" i="71"/>
  <c r="Z111" i="71"/>
  <c r="X111" i="71"/>
  <c r="N111" i="71"/>
  <c r="L111" i="71"/>
  <c r="J111" i="71"/>
  <c r="B111" i="71"/>
  <c r="X110" i="71"/>
  <c r="Z110" i="71" s="1"/>
  <c r="L110" i="71"/>
  <c r="N110" i="71" s="1"/>
  <c r="B110" i="71"/>
  <c r="Z109" i="71"/>
  <c r="X109" i="71"/>
  <c r="V109" i="71"/>
  <c r="N109" i="71"/>
  <c r="L109" i="71"/>
  <c r="J109" i="71"/>
  <c r="B109" i="71"/>
  <c r="T108" i="71"/>
  <c r="Z108" i="71" s="1"/>
  <c r="P108" i="71"/>
  <c r="X108" i="71" s="1"/>
  <c r="L108" i="71"/>
  <c r="H108" i="71"/>
  <c r="D108" i="71"/>
  <c r="B108" i="71"/>
  <c r="Z107" i="71"/>
  <c r="X107" i="71"/>
  <c r="V107" i="71"/>
  <c r="N107" i="71"/>
  <c r="L107" i="71"/>
  <c r="J107" i="71"/>
  <c r="B107" i="71"/>
  <c r="T106" i="71"/>
  <c r="P106" i="71"/>
  <c r="X106" i="71" s="1"/>
  <c r="H106" i="71"/>
  <c r="D106" i="71"/>
  <c r="B106" i="71"/>
  <c r="Z105" i="71"/>
  <c r="X105" i="71"/>
  <c r="V105" i="71"/>
  <c r="N105" i="71"/>
  <c r="L105" i="71"/>
  <c r="J105" i="71"/>
  <c r="B105" i="71"/>
  <c r="X104" i="71"/>
  <c r="Z104" i="71" s="1"/>
  <c r="L104" i="71"/>
  <c r="N104" i="71" s="1"/>
  <c r="B104" i="71"/>
  <c r="Z103" i="71"/>
  <c r="X103" i="71"/>
  <c r="V103" i="71"/>
  <c r="N103" i="71"/>
  <c r="L103" i="71"/>
  <c r="J103" i="71"/>
  <c r="B103" i="71"/>
  <c r="T102" i="71"/>
  <c r="P102" i="71"/>
  <c r="H102" i="71"/>
  <c r="N102" i="71" s="1"/>
  <c r="D102" i="71"/>
  <c r="L102" i="71" s="1"/>
  <c r="B102" i="71"/>
  <c r="Z101" i="71"/>
  <c r="X101" i="71"/>
  <c r="V101" i="71"/>
  <c r="N101" i="71"/>
  <c r="L101" i="71"/>
  <c r="J101" i="71"/>
  <c r="B101" i="71"/>
  <c r="T100" i="71"/>
  <c r="Z100" i="71" s="1"/>
  <c r="P100" i="71"/>
  <c r="X100" i="71" s="1"/>
  <c r="L100" i="71"/>
  <c r="H100" i="71"/>
  <c r="D100" i="71"/>
  <c r="B100" i="71"/>
  <c r="Z99" i="71"/>
  <c r="X99" i="71"/>
  <c r="V99" i="71"/>
  <c r="N99" i="71"/>
  <c r="L99" i="71"/>
  <c r="J99" i="71"/>
  <c r="B99" i="71"/>
  <c r="T98" i="71"/>
  <c r="P98" i="71"/>
  <c r="X98" i="71" s="1"/>
  <c r="H98" i="71"/>
  <c r="N98" i="71" s="1"/>
  <c r="D98" i="71"/>
  <c r="B98" i="71"/>
  <c r="Z97" i="71"/>
  <c r="X97" i="71"/>
  <c r="V97" i="71"/>
  <c r="N97" i="71"/>
  <c r="L97" i="71"/>
  <c r="J97" i="71"/>
  <c r="B97" i="71"/>
  <c r="X96" i="71"/>
  <c r="Z96" i="71" s="1"/>
  <c r="L96" i="71"/>
  <c r="N96" i="71" s="1"/>
  <c r="B96" i="71"/>
  <c r="Z95" i="71"/>
  <c r="V95" i="71"/>
  <c r="T95" i="71"/>
  <c r="P95" i="71"/>
  <c r="X95" i="71" s="1"/>
  <c r="J95" i="71"/>
  <c r="H95" i="71"/>
  <c r="L95" i="71" s="1"/>
  <c r="N95" i="71" s="1"/>
  <c r="D95" i="71"/>
  <c r="B95" i="71"/>
  <c r="X94" i="71"/>
  <c r="Z94" i="71" s="1"/>
  <c r="L94" i="71"/>
  <c r="N94" i="71" s="1"/>
  <c r="B94" i="71"/>
  <c r="V93" i="71"/>
  <c r="T93" i="71"/>
  <c r="P93" i="71"/>
  <c r="X93" i="71" s="1"/>
  <c r="Z93" i="71" s="1"/>
  <c r="J93" i="71"/>
  <c r="H93" i="71"/>
  <c r="D93" i="71"/>
  <c r="L93" i="71" s="1"/>
  <c r="N93" i="71" s="1"/>
  <c r="B93" i="71"/>
  <c r="X92" i="71"/>
  <c r="Z92" i="71" s="1"/>
  <c r="L92" i="71"/>
  <c r="N92" i="71" s="1"/>
  <c r="B92" i="71"/>
  <c r="Z91" i="71"/>
  <c r="X91" i="71"/>
  <c r="V91" i="71"/>
  <c r="T91" i="71"/>
  <c r="P91" i="71"/>
  <c r="N91" i="71"/>
  <c r="L91" i="71"/>
  <c r="J91" i="71"/>
  <c r="H91" i="71"/>
  <c r="D91" i="71"/>
  <c r="B91" i="71"/>
  <c r="Z90" i="71"/>
  <c r="X90" i="71"/>
  <c r="N90" i="71"/>
  <c r="L90" i="71"/>
  <c r="B90" i="71"/>
  <c r="Z89" i="71"/>
  <c r="X89" i="71"/>
  <c r="V89" i="71"/>
  <c r="N89" i="71"/>
  <c r="L89" i="71"/>
  <c r="J89" i="71"/>
  <c r="B89" i="71"/>
  <c r="T88" i="71"/>
  <c r="Z88" i="71" s="1"/>
  <c r="P88" i="71"/>
  <c r="X88" i="71" s="1"/>
  <c r="H88" i="71"/>
  <c r="D88" i="71"/>
  <c r="B88" i="71"/>
  <c r="Z87" i="71"/>
  <c r="X87" i="71"/>
  <c r="V87" i="71"/>
  <c r="N87" i="71"/>
  <c r="L87" i="71"/>
  <c r="J87" i="71"/>
  <c r="B87" i="71"/>
  <c r="X86" i="71"/>
  <c r="T86" i="71"/>
  <c r="Z86" i="71" s="1"/>
  <c r="P86" i="71"/>
  <c r="H86" i="71"/>
  <c r="D86" i="71"/>
  <c r="L86" i="71" s="1"/>
  <c r="B86" i="71"/>
  <c r="Z85" i="71"/>
  <c r="X85" i="71"/>
  <c r="V85" i="71"/>
  <c r="N85" i="71"/>
  <c r="L85" i="71"/>
  <c r="J85" i="71"/>
  <c r="B85" i="71"/>
  <c r="Z84" i="71"/>
  <c r="X84" i="71"/>
  <c r="N84" i="71"/>
  <c r="L84" i="71"/>
  <c r="B84" i="71"/>
  <c r="Z83" i="71"/>
  <c r="X83" i="71"/>
  <c r="V83" i="71"/>
  <c r="N83" i="71"/>
  <c r="L83" i="71"/>
  <c r="J83" i="71"/>
  <c r="B83" i="71"/>
  <c r="X82" i="71"/>
  <c r="Z82" i="71" s="1"/>
  <c r="N82" i="71"/>
  <c r="L82" i="71"/>
  <c r="B82" i="71"/>
  <c r="Z81" i="71"/>
  <c r="X81" i="71"/>
  <c r="V81" i="71"/>
  <c r="N81" i="71"/>
  <c r="L81" i="71"/>
  <c r="J81" i="71"/>
  <c r="B81" i="71"/>
  <c r="X80" i="71"/>
  <c r="Z80" i="71" s="1"/>
  <c r="L80" i="71"/>
  <c r="N80" i="71" s="1"/>
  <c r="B80" i="71"/>
  <c r="Z79" i="71"/>
  <c r="X79" i="71"/>
  <c r="V79" i="71"/>
  <c r="N79" i="71"/>
  <c r="L79" i="71"/>
  <c r="J79" i="71"/>
  <c r="B79" i="71"/>
  <c r="Z78" i="71"/>
  <c r="X78" i="71"/>
  <c r="N78" i="71"/>
  <c r="L78" i="71"/>
  <c r="B78" i="71"/>
  <c r="Z77" i="71"/>
  <c r="X77" i="71"/>
  <c r="V77" i="71"/>
  <c r="N77" i="71"/>
  <c r="L77" i="71"/>
  <c r="J77" i="71"/>
  <c r="B77" i="71"/>
  <c r="Z76" i="71"/>
  <c r="X76" i="71"/>
  <c r="N76" i="71"/>
  <c r="L76" i="71"/>
  <c r="B76" i="71"/>
  <c r="Z75" i="71"/>
  <c r="X75" i="71"/>
  <c r="V75" i="71"/>
  <c r="T75" i="71"/>
  <c r="P75" i="71"/>
  <c r="N75" i="71"/>
  <c r="L75" i="71"/>
  <c r="J75" i="71"/>
  <c r="H75" i="71"/>
  <c r="D75" i="71"/>
  <c r="B75" i="71"/>
  <c r="X74" i="71"/>
  <c r="Z74" i="71" s="1"/>
  <c r="L74" i="71"/>
  <c r="N74" i="71" s="1"/>
  <c r="B74" i="71"/>
  <c r="Z73" i="71"/>
  <c r="X73" i="71"/>
  <c r="V73" i="71"/>
  <c r="N73" i="71"/>
  <c r="L73" i="71"/>
  <c r="J73" i="71"/>
  <c r="B73" i="71"/>
  <c r="X72" i="71"/>
  <c r="Z72" i="71" s="1"/>
  <c r="L72" i="71"/>
  <c r="N72" i="71" s="1"/>
  <c r="B72" i="71"/>
  <c r="Z71" i="71"/>
  <c r="X71" i="71"/>
  <c r="V71" i="71"/>
  <c r="N71" i="71"/>
  <c r="L71" i="71"/>
  <c r="J71" i="71"/>
  <c r="B71" i="71"/>
  <c r="Z70" i="71"/>
  <c r="X70" i="71"/>
  <c r="N70" i="71"/>
  <c r="L70" i="71"/>
  <c r="B70" i="71"/>
  <c r="Z69" i="71"/>
  <c r="X69" i="71"/>
  <c r="V69" i="71"/>
  <c r="N69" i="71"/>
  <c r="L69" i="71"/>
  <c r="J69" i="71"/>
  <c r="B69" i="71"/>
  <c r="X68" i="71"/>
  <c r="Z68" i="71" s="1"/>
  <c r="L68" i="71"/>
  <c r="N68" i="71" s="1"/>
  <c r="B68" i="71"/>
  <c r="Z67" i="71"/>
  <c r="X67" i="71"/>
  <c r="V67" i="71"/>
  <c r="N67" i="71"/>
  <c r="L67" i="71"/>
  <c r="J67" i="71"/>
  <c r="B67" i="71"/>
  <c r="X66" i="71"/>
  <c r="Z66" i="71" s="1"/>
  <c r="L66" i="71"/>
  <c r="N66" i="71" s="1"/>
  <c r="B66" i="71"/>
  <c r="Z65" i="71"/>
  <c r="X65" i="71"/>
  <c r="V65" i="71"/>
  <c r="N65" i="71"/>
  <c r="L65" i="71"/>
  <c r="J65" i="71"/>
  <c r="B65" i="71"/>
  <c r="T64" i="71"/>
  <c r="Z64" i="71" s="1"/>
  <c r="P64" i="71"/>
  <c r="X64" i="71" s="1"/>
  <c r="H64" i="71"/>
  <c r="D64" i="71"/>
  <c r="L64" i="71" s="1"/>
  <c r="B64" i="71"/>
  <c r="T63" i="71"/>
  <c r="V63" i="71" s="1"/>
  <c r="P63" i="71"/>
  <c r="X63" i="71" s="1"/>
  <c r="Z63" i="71" s="1"/>
  <c r="N63" i="71"/>
  <c r="H63" i="71"/>
  <c r="J63" i="71" s="1"/>
  <c r="D63" i="71"/>
  <c r="L63" i="71" s="1"/>
  <c r="Z59" i="71"/>
  <c r="X59" i="71"/>
  <c r="V59" i="71"/>
  <c r="N59" i="71"/>
  <c r="L59" i="71"/>
  <c r="J59" i="71"/>
  <c r="B59" i="71"/>
  <c r="Z58" i="71"/>
  <c r="X58" i="71"/>
  <c r="N58" i="71"/>
  <c r="L58" i="71"/>
  <c r="B58" i="71"/>
  <c r="Z57" i="71"/>
  <c r="X57" i="71"/>
  <c r="V57" i="71"/>
  <c r="N57" i="71"/>
  <c r="L57" i="71"/>
  <c r="J57" i="71"/>
  <c r="B57" i="71"/>
  <c r="Z56" i="71"/>
  <c r="X56" i="71"/>
  <c r="N56" i="71"/>
  <c r="L56" i="71"/>
  <c r="B56" i="71"/>
  <c r="Z55" i="71"/>
  <c r="X55" i="71"/>
  <c r="V55" i="71"/>
  <c r="N55" i="71"/>
  <c r="L55" i="71"/>
  <c r="J55" i="71"/>
  <c r="B55" i="71"/>
  <c r="Z54" i="71"/>
  <c r="X54" i="71"/>
  <c r="V54" i="71"/>
  <c r="N54" i="71"/>
  <c r="L54" i="71"/>
  <c r="F54" i="71"/>
  <c r="B54" i="71"/>
  <c r="Z53" i="71"/>
  <c r="X53" i="71"/>
  <c r="V53" i="71"/>
  <c r="N53" i="71"/>
  <c r="L53" i="71"/>
  <c r="J53" i="71"/>
  <c r="B53" i="71"/>
  <c r="Z52" i="71"/>
  <c r="X52" i="71"/>
  <c r="V52" i="71"/>
  <c r="N52" i="71"/>
  <c r="L52" i="71"/>
  <c r="B52" i="71"/>
  <c r="Z51" i="71"/>
  <c r="X51" i="71"/>
  <c r="V51" i="71"/>
  <c r="N51" i="71"/>
  <c r="L51" i="71"/>
  <c r="J51" i="71"/>
  <c r="B51" i="71"/>
  <c r="Z50" i="71"/>
  <c r="X50" i="71"/>
  <c r="V50" i="71"/>
  <c r="N50" i="71"/>
  <c r="L50" i="71"/>
  <c r="B50" i="71"/>
  <c r="Z49" i="71"/>
  <c r="X49" i="71"/>
  <c r="V49" i="71"/>
  <c r="N49" i="71"/>
  <c r="L49" i="71"/>
  <c r="J49" i="71"/>
  <c r="B49" i="71"/>
  <c r="Z48" i="71"/>
  <c r="X48" i="71"/>
  <c r="V48" i="71"/>
  <c r="N48" i="71"/>
  <c r="L48" i="71"/>
  <c r="B48" i="71"/>
  <c r="Z47" i="71"/>
  <c r="X47" i="71"/>
  <c r="V47" i="71"/>
  <c r="N47" i="71"/>
  <c r="L47" i="71"/>
  <c r="J47" i="71"/>
  <c r="B47" i="71"/>
  <c r="Z46" i="71"/>
  <c r="X46" i="71"/>
  <c r="V46" i="71"/>
  <c r="N46" i="71"/>
  <c r="L46" i="71"/>
  <c r="B46" i="71"/>
  <c r="Z45" i="71"/>
  <c r="X45" i="71"/>
  <c r="V45" i="71"/>
  <c r="N45" i="71"/>
  <c r="L45" i="71"/>
  <c r="J45" i="71"/>
  <c r="B45" i="71"/>
  <c r="Z44" i="71"/>
  <c r="X44" i="71"/>
  <c r="V44" i="71"/>
  <c r="N44" i="71"/>
  <c r="L44" i="71"/>
  <c r="B44" i="71"/>
  <c r="Z43" i="71"/>
  <c r="X43" i="71"/>
  <c r="V43" i="71"/>
  <c r="N43" i="71"/>
  <c r="L43" i="71"/>
  <c r="J43" i="71"/>
  <c r="B43" i="71"/>
  <c r="X42" i="71"/>
  <c r="T42" i="71"/>
  <c r="V42" i="71" s="1"/>
  <c r="P42" i="71"/>
  <c r="H42" i="71"/>
  <c r="D42" i="71"/>
  <c r="Z40" i="71"/>
  <c r="X40" i="71"/>
  <c r="P40" i="71"/>
  <c r="N40" i="71"/>
  <c r="D40" i="71"/>
  <c r="L40" i="71" s="1"/>
  <c r="B40" i="71"/>
  <c r="Z39" i="71"/>
  <c r="P39" i="71"/>
  <c r="X39" i="71" s="1"/>
  <c r="N39" i="71"/>
  <c r="L39" i="71"/>
  <c r="D39" i="71"/>
  <c r="B39" i="71"/>
  <c r="Z38" i="71"/>
  <c r="X38" i="71"/>
  <c r="P38" i="71"/>
  <c r="N38" i="71"/>
  <c r="D38" i="71"/>
  <c r="L38" i="71" s="1"/>
  <c r="B38" i="71"/>
  <c r="Z37" i="71"/>
  <c r="P37" i="71"/>
  <c r="X37" i="71" s="1"/>
  <c r="N37" i="71"/>
  <c r="L37" i="71"/>
  <c r="D37" i="71"/>
  <c r="B37" i="71"/>
  <c r="Z36" i="71"/>
  <c r="X36" i="71"/>
  <c r="P36" i="71"/>
  <c r="N36" i="71"/>
  <c r="D36" i="71"/>
  <c r="L36" i="71" s="1"/>
  <c r="B36" i="71"/>
  <c r="Z35" i="71"/>
  <c r="P35" i="71"/>
  <c r="X35" i="71" s="1"/>
  <c r="N35" i="71"/>
  <c r="L35" i="71"/>
  <c r="D35" i="71"/>
  <c r="B35" i="71"/>
  <c r="Z34" i="71"/>
  <c r="X34" i="71"/>
  <c r="P34" i="71"/>
  <c r="N34" i="71"/>
  <c r="D34" i="71"/>
  <c r="L34" i="71" s="1"/>
  <c r="B34" i="71"/>
  <c r="Z33" i="71"/>
  <c r="P33" i="71"/>
  <c r="X33" i="71" s="1"/>
  <c r="N33" i="71"/>
  <c r="L33" i="71"/>
  <c r="D33" i="71"/>
  <c r="B33" i="71"/>
  <c r="Z32" i="71"/>
  <c r="X32" i="71"/>
  <c r="P32" i="71"/>
  <c r="N32" i="71"/>
  <c r="D32" i="71"/>
  <c r="L32" i="71" s="1"/>
  <c r="B32" i="71"/>
  <c r="Z31" i="71"/>
  <c r="P31" i="71"/>
  <c r="X31" i="71" s="1"/>
  <c r="N31" i="71"/>
  <c r="L31" i="71"/>
  <c r="D31" i="71"/>
  <c r="B31" i="71"/>
  <c r="Z30" i="71"/>
  <c r="X30" i="71"/>
  <c r="P30" i="71"/>
  <c r="N30" i="71"/>
  <c r="D30" i="71"/>
  <c r="L30" i="71" s="1"/>
  <c r="B30" i="71"/>
  <c r="Z29" i="71"/>
  <c r="P29" i="71"/>
  <c r="X29" i="71" s="1"/>
  <c r="N29" i="71"/>
  <c r="L29" i="71"/>
  <c r="D29" i="71"/>
  <c r="B29" i="71"/>
  <c r="Z28" i="71"/>
  <c r="X28" i="71"/>
  <c r="P28" i="71"/>
  <c r="N28" i="71"/>
  <c r="D28" i="71"/>
  <c r="L28" i="71" s="1"/>
  <c r="B28" i="71"/>
  <c r="Z27" i="71"/>
  <c r="P27" i="71"/>
  <c r="X27" i="71" s="1"/>
  <c r="N27" i="71"/>
  <c r="L27" i="71"/>
  <c r="D27" i="71"/>
  <c r="B27" i="71"/>
  <c r="Z26" i="71"/>
  <c r="X26" i="71"/>
  <c r="P26" i="71"/>
  <c r="N26" i="71"/>
  <c r="D26" i="71"/>
  <c r="L26" i="71" s="1"/>
  <c r="B26" i="71"/>
  <c r="Z25" i="71"/>
  <c r="P25" i="71"/>
  <c r="X25" i="71" s="1"/>
  <c r="N25" i="71"/>
  <c r="L25" i="71"/>
  <c r="D25" i="71"/>
  <c r="B25" i="71"/>
  <c r="Z24" i="71"/>
  <c r="X24" i="71"/>
  <c r="P24" i="71"/>
  <c r="N24" i="71"/>
  <c r="D24" i="71"/>
  <c r="L24" i="71" s="1"/>
  <c r="B24" i="71"/>
  <c r="Z23" i="71"/>
  <c r="P23" i="71"/>
  <c r="X23" i="71" s="1"/>
  <c r="N23" i="71"/>
  <c r="L23" i="71"/>
  <c r="D23" i="71"/>
  <c r="B23" i="71"/>
  <c r="Z22" i="71"/>
  <c r="X22" i="71"/>
  <c r="P22" i="71"/>
  <c r="N22" i="71"/>
  <c r="D22" i="71"/>
  <c r="L22" i="71" s="1"/>
  <c r="B22" i="71"/>
  <c r="P21" i="71"/>
  <c r="L21" i="71"/>
  <c r="N21" i="71" s="1"/>
  <c r="D21" i="71"/>
  <c r="B21" i="71"/>
  <c r="Z20" i="71"/>
  <c r="X20" i="71"/>
  <c r="P20" i="71"/>
  <c r="N20" i="71"/>
  <c r="D20" i="71"/>
  <c r="L20" i="71" s="1"/>
  <c r="B20" i="71"/>
  <c r="Z19" i="71"/>
  <c r="P19" i="71"/>
  <c r="X19" i="71" s="1"/>
  <c r="N19" i="71"/>
  <c r="L19" i="71"/>
  <c r="D19" i="71"/>
  <c r="B19" i="71"/>
  <c r="Z18" i="71"/>
  <c r="X18" i="71"/>
  <c r="P18" i="71"/>
  <c r="N18" i="71"/>
  <c r="D18" i="71"/>
  <c r="L18" i="71" s="1"/>
  <c r="B18" i="71"/>
  <c r="Z17" i="71"/>
  <c r="P17" i="71"/>
  <c r="X17" i="71" s="1"/>
  <c r="N17" i="71"/>
  <c r="L17" i="71"/>
  <c r="D17" i="71"/>
  <c r="B17" i="71"/>
  <c r="Z16" i="71"/>
  <c r="X16" i="71"/>
  <c r="P16" i="71"/>
  <c r="N16" i="71"/>
  <c r="D16" i="71"/>
  <c r="L16" i="71" s="1"/>
  <c r="B16" i="71"/>
  <c r="Z15" i="71"/>
  <c r="P15" i="71"/>
  <c r="X15" i="71" s="1"/>
  <c r="N15" i="71"/>
  <c r="L15" i="71"/>
  <c r="D15" i="71"/>
  <c r="B15" i="71"/>
  <c r="Z14" i="71"/>
  <c r="X14" i="71"/>
  <c r="P14" i="71"/>
  <c r="N14" i="71"/>
  <c r="D14" i="71"/>
  <c r="L14" i="71" s="1"/>
  <c r="B14" i="71"/>
  <c r="Z13" i="71"/>
  <c r="P13" i="71"/>
  <c r="X13" i="71" s="1"/>
  <c r="N13" i="71"/>
  <c r="L13" i="71"/>
  <c r="D13" i="71"/>
  <c r="B13" i="71"/>
  <c r="T12" i="71"/>
  <c r="V118" i="71" s="1"/>
  <c r="H12" i="71"/>
  <c r="J125" i="71" s="1"/>
  <c r="D12" i="71"/>
  <c r="F56" i="71" s="1"/>
  <c r="D6" i="71"/>
  <c r="D4" i="71"/>
  <c r="X81" i="70"/>
  <c r="Z81" i="70" s="1"/>
  <c r="R81" i="70"/>
  <c r="L81" i="70"/>
  <c r="N81" i="70" s="1"/>
  <c r="T77" i="70"/>
  <c r="Z77" i="70" s="1"/>
  <c r="P77" i="70"/>
  <c r="X77" i="70" s="1"/>
  <c r="L77" i="70"/>
  <c r="H77" i="70"/>
  <c r="N77" i="70" s="1"/>
  <c r="D77" i="70"/>
  <c r="X75" i="70"/>
  <c r="Z75" i="70" s="1"/>
  <c r="N75" i="70"/>
  <c r="L75" i="70"/>
  <c r="B75" i="70"/>
  <c r="Z74" i="70"/>
  <c r="X74" i="70"/>
  <c r="V74" i="70"/>
  <c r="T74" i="70"/>
  <c r="R74" i="70"/>
  <c r="P74" i="70"/>
  <c r="N74" i="70"/>
  <c r="L74" i="70"/>
  <c r="H74" i="70"/>
  <c r="D74" i="70"/>
  <c r="B74" i="70"/>
  <c r="X73" i="70"/>
  <c r="Z73" i="70" s="1"/>
  <c r="R73" i="70"/>
  <c r="L73" i="70"/>
  <c r="N73" i="70" s="1"/>
  <c r="B73" i="70"/>
  <c r="T72" i="70"/>
  <c r="X72" i="70" s="1"/>
  <c r="Z72" i="70" s="1"/>
  <c r="R72" i="70"/>
  <c r="P72" i="70"/>
  <c r="N72" i="70"/>
  <c r="H72" i="70"/>
  <c r="L72" i="70" s="1"/>
  <c r="D72" i="70"/>
  <c r="B72" i="70"/>
  <c r="X71" i="70"/>
  <c r="Z71" i="70" s="1"/>
  <c r="L71" i="70"/>
  <c r="N71" i="70" s="1"/>
  <c r="B71" i="70"/>
  <c r="Z70" i="70"/>
  <c r="X70" i="70"/>
  <c r="N70" i="70"/>
  <c r="L70" i="70"/>
  <c r="J70" i="70"/>
  <c r="B70" i="70"/>
  <c r="Z69" i="70"/>
  <c r="X69" i="70"/>
  <c r="N69" i="70"/>
  <c r="L69" i="70"/>
  <c r="B69" i="70"/>
  <c r="T68" i="70"/>
  <c r="R68" i="70"/>
  <c r="P68" i="70"/>
  <c r="X68" i="70" s="1"/>
  <c r="Z68" i="70" s="1"/>
  <c r="N68" i="70"/>
  <c r="H68" i="70"/>
  <c r="D68" i="70"/>
  <c r="L68" i="70" s="1"/>
  <c r="B68" i="70"/>
  <c r="Z67" i="70"/>
  <c r="X67" i="70"/>
  <c r="N67" i="70"/>
  <c r="L67" i="70"/>
  <c r="B67" i="70"/>
  <c r="Z66" i="70"/>
  <c r="X66" i="70"/>
  <c r="V66" i="70"/>
  <c r="N66" i="70"/>
  <c r="L66" i="70"/>
  <c r="B66" i="70"/>
  <c r="X65" i="70"/>
  <c r="Z65" i="70" s="1"/>
  <c r="R65" i="70"/>
  <c r="L65" i="70"/>
  <c r="N65" i="70" s="1"/>
  <c r="B65" i="70"/>
  <c r="Z64" i="70"/>
  <c r="X64" i="70"/>
  <c r="V64" i="70"/>
  <c r="T64" i="70"/>
  <c r="R64" i="70"/>
  <c r="P64" i="70"/>
  <c r="N64" i="70"/>
  <c r="L64" i="70"/>
  <c r="J64" i="70"/>
  <c r="H64" i="70"/>
  <c r="D64" i="70"/>
  <c r="B64" i="70"/>
  <c r="X63" i="70"/>
  <c r="Z63" i="70" s="1"/>
  <c r="R63" i="70"/>
  <c r="L63" i="70"/>
  <c r="N63" i="70" s="1"/>
  <c r="B63" i="70"/>
  <c r="Z62" i="70"/>
  <c r="X62" i="70"/>
  <c r="V62" i="70"/>
  <c r="N62" i="70"/>
  <c r="L62" i="70"/>
  <c r="B62" i="70"/>
  <c r="T61" i="70"/>
  <c r="P61" i="70"/>
  <c r="X61" i="70" s="1"/>
  <c r="H61" i="70"/>
  <c r="D61" i="70"/>
  <c r="B61" i="70"/>
  <c r="Z60" i="70"/>
  <c r="X60" i="70"/>
  <c r="V60" i="70"/>
  <c r="N60" i="70"/>
  <c r="L60" i="70"/>
  <c r="B60" i="70"/>
  <c r="T59" i="70"/>
  <c r="P59" i="70"/>
  <c r="X59" i="70" s="1"/>
  <c r="H59" i="70"/>
  <c r="D59" i="70"/>
  <c r="L59" i="70" s="1"/>
  <c r="B59" i="70"/>
  <c r="Z58" i="70"/>
  <c r="X58" i="70"/>
  <c r="N58" i="70"/>
  <c r="L58" i="70"/>
  <c r="B58" i="70"/>
  <c r="X57" i="70"/>
  <c r="T57" i="70"/>
  <c r="Z57" i="70" s="1"/>
  <c r="P57" i="70"/>
  <c r="L57" i="70"/>
  <c r="H57" i="70"/>
  <c r="N57" i="70" s="1"/>
  <c r="D57" i="70"/>
  <c r="B57" i="70"/>
  <c r="Z56" i="70"/>
  <c r="X56" i="70"/>
  <c r="V56" i="70"/>
  <c r="N56" i="70"/>
  <c r="L56" i="70"/>
  <c r="B56" i="70"/>
  <c r="T55" i="70"/>
  <c r="Z55" i="70" s="1"/>
  <c r="P55" i="70"/>
  <c r="H55" i="70"/>
  <c r="N55" i="70" s="1"/>
  <c r="D55" i="70"/>
  <c r="B55" i="70"/>
  <c r="Z54" i="70"/>
  <c r="X54" i="70"/>
  <c r="V54" i="70"/>
  <c r="N54" i="70"/>
  <c r="L54" i="70"/>
  <c r="B54" i="70"/>
  <c r="Z53" i="70"/>
  <c r="X53" i="70"/>
  <c r="R53" i="70"/>
  <c r="N53" i="70"/>
  <c r="L53" i="70"/>
  <c r="B53" i="70"/>
  <c r="V52" i="70"/>
  <c r="T52" i="70"/>
  <c r="P52" i="70"/>
  <c r="X52" i="70" s="1"/>
  <c r="Z52" i="70" s="1"/>
  <c r="N52" i="70"/>
  <c r="H52" i="70"/>
  <c r="D52" i="70"/>
  <c r="L52" i="70" s="1"/>
  <c r="B52" i="70"/>
  <c r="X51" i="70"/>
  <c r="Z51" i="70" s="1"/>
  <c r="R51" i="70"/>
  <c r="L51" i="70"/>
  <c r="N51" i="70" s="1"/>
  <c r="B51" i="70"/>
  <c r="Z50" i="70"/>
  <c r="X50" i="70"/>
  <c r="V50" i="70"/>
  <c r="T50" i="70"/>
  <c r="P50" i="70"/>
  <c r="N50" i="70"/>
  <c r="L50" i="70"/>
  <c r="H50" i="70"/>
  <c r="D50" i="70"/>
  <c r="B50" i="70"/>
  <c r="Z49" i="70"/>
  <c r="X49" i="70"/>
  <c r="R49" i="70"/>
  <c r="N49" i="70"/>
  <c r="L49" i="70"/>
  <c r="B49" i="70"/>
  <c r="Z48" i="70"/>
  <c r="V48" i="70"/>
  <c r="T48" i="70"/>
  <c r="X48" i="70" s="1"/>
  <c r="P48" i="70"/>
  <c r="N48" i="70"/>
  <c r="H48" i="70"/>
  <c r="L48" i="70" s="1"/>
  <c r="D48" i="70"/>
  <c r="B48" i="70"/>
  <c r="Z47" i="70"/>
  <c r="X47" i="70"/>
  <c r="V47" i="70"/>
  <c r="N47" i="70"/>
  <c r="L47" i="70"/>
  <c r="B47" i="70"/>
  <c r="Z46" i="70"/>
  <c r="T46" i="70"/>
  <c r="R46" i="70"/>
  <c r="P46" i="70"/>
  <c r="X46" i="70" s="1"/>
  <c r="N46" i="70"/>
  <c r="H46" i="70"/>
  <c r="D46" i="70"/>
  <c r="L46" i="70" s="1"/>
  <c r="B46" i="70"/>
  <c r="Z45" i="70"/>
  <c r="X45" i="70"/>
  <c r="N45" i="70"/>
  <c r="L45" i="70"/>
  <c r="B45" i="70"/>
  <c r="Z44" i="70"/>
  <c r="X44" i="70"/>
  <c r="N44" i="70"/>
  <c r="L44" i="70"/>
  <c r="B44" i="70"/>
  <c r="X43" i="70"/>
  <c r="Z43" i="70" s="1"/>
  <c r="R43" i="70"/>
  <c r="L43" i="70"/>
  <c r="N43" i="70" s="1"/>
  <c r="B43" i="70"/>
  <c r="X42" i="70"/>
  <c r="Z42" i="70" s="1"/>
  <c r="V42" i="70"/>
  <c r="N42" i="70"/>
  <c r="L42" i="70"/>
  <c r="B42" i="70"/>
  <c r="Z41" i="70"/>
  <c r="X41" i="70"/>
  <c r="R41" i="70"/>
  <c r="N41" i="70"/>
  <c r="L41" i="70"/>
  <c r="B41" i="70"/>
  <c r="Z40" i="70"/>
  <c r="X40" i="70"/>
  <c r="N40" i="70"/>
  <c r="L40" i="70"/>
  <c r="B40" i="70"/>
  <c r="Z39" i="70"/>
  <c r="X39" i="70"/>
  <c r="R39" i="70"/>
  <c r="N39" i="70"/>
  <c r="L39" i="70"/>
  <c r="B39" i="70"/>
  <c r="Z38" i="70"/>
  <c r="X38" i="70"/>
  <c r="V38" i="70"/>
  <c r="N38" i="70"/>
  <c r="L38" i="70"/>
  <c r="B38" i="70"/>
  <c r="Z37" i="70"/>
  <c r="X37" i="70"/>
  <c r="R37" i="70"/>
  <c r="N37" i="70"/>
  <c r="L37" i="70"/>
  <c r="B37" i="70"/>
  <c r="X36" i="70"/>
  <c r="Z36" i="70" s="1"/>
  <c r="N36" i="70"/>
  <c r="L36" i="70"/>
  <c r="J36" i="70"/>
  <c r="B36" i="70"/>
  <c r="T35" i="70"/>
  <c r="R35" i="70"/>
  <c r="P35" i="70"/>
  <c r="X35" i="70" s="1"/>
  <c r="H35" i="70"/>
  <c r="D35" i="70"/>
  <c r="B35" i="70"/>
  <c r="Z34" i="70"/>
  <c r="X34" i="70"/>
  <c r="V34" i="70"/>
  <c r="N34" i="70"/>
  <c r="L34" i="70"/>
  <c r="B34" i="70"/>
  <c r="Z33" i="70"/>
  <c r="X33" i="70"/>
  <c r="L33" i="70"/>
  <c r="N33" i="70" s="1"/>
  <c r="J33" i="70"/>
  <c r="B33" i="70"/>
  <c r="Z32" i="70"/>
  <c r="X32" i="70"/>
  <c r="V32" i="70"/>
  <c r="R32" i="70"/>
  <c r="N32" i="70"/>
  <c r="L32" i="70"/>
  <c r="B32" i="70"/>
  <c r="Z31" i="70"/>
  <c r="X31" i="70"/>
  <c r="R31" i="70"/>
  <c r="N31" i="70"/>
  <c r="L31" i="70"/>
  <c r="B31" i="70"/>
  <c r="Z30" i="70"/>
  <c r="X30" i="70"/>
  <c r="N30" i="70"/>
  <c r="L30" i="70"/>
  <c r="B30" i="70"/>
  <c r="Z29" i="70"/>
  <c r="X29" i="70"/>
  <c r="R29" i="70"/>
  <c r="L29" i="70"/>
  <c r="N29" i="70" s="1"/>
  <c r="B29" i="70"/>
  <c r="Z28" i="70"/>
  <c r="X28" i="70"/>
  <c r="V28" i="70"/>
  <c r="R28" i="70"/>
  <c r="N28" i="70"/>
  <c r="L28" i="70"/>
  <c r="B28" i="70"/>
  <c r="X27" i="70"/>
  <c r="Z27" i="70" s="1"/>
  <c r="R27" i="70"/>
  <c r="L27" i="70"/>
  <c r="N27" i="70" s="1"/>
  <c r="B27" i="70"/>
  <c r="Z26" i="70"/>
  <c r="X26" i="70"/>
  <c r="N26" i="70"/>
  <c r="L26" i="70"/>
  <c r="B26" i="70"/>
  <c r="T25" i="70"/>
  <c r="P25" i="70"/>
  <c r="L25" i="70"/>
  <c r="N25" i="70" s="1"/>
  <c r="H25" i="70"/>
  <c r="D25" i="70"/>
  <c r="B25" i="70"/>
  <c r="T24" i="70"/>
  <c r="Z24" i="70" s="1"/>
  <c r="P24" i="70"/>
  <c r="X24" i="70" s="1"/>
  <c r="H24" i="70"/>
  <c r="N24" i="70" s="1"/>
  <c r="D24" i="70"/>
  <c r="L24" i="70" s="1"/>
  <c r="P22" i="70"/>
  <c r="Z20" i="70"/>
  <c r="X20" i="70"/>
  <c r="R20" i="70"/>
  <c r="N20" i="70"/>
  <c r="L20" i="70"/>
  <c r="J20" i="70"/>
  <c r="B20" i="70"/>
  <c r="Z19" i="70"/>
  <c r="X19" i="70"/>
  <c r="V19" i="70"/>
  <c r="R19" i="70"/>
  <c r="N19" i="70"/>
  <c r="L19" i="70"/>
  <c r="B19" i="70"/>
  <c r="Z18" i="70"/>
  <c r="X18" i="70"/>
  <c r="N18" i="70"/>
  <c r="L18" i="70"/>
  <c r="B18" i="70"/>
  <c r="V17" i="70"/>
  <c r="T17" i="70"/>
  <c r="P17" i="70"/>
  <c r="X17" i="70" s="1"/>
  <c r="H17" i="70"/>
  <c r="D17" i="70"/>
  <c r="Z15" i="70"/>
  <c r="X15" i="70"/>
  <c r="P15" i="70"/>
  <c r="N15" i="70"/>
  <c r="D15" i="70"/>
  <c r="L15" i="70" s="1"/>
  <c r="B15" i="70"/>
  <c r="X14" i="70"/>
  <c r="Z14" i="70" s="1"/>
  <c r="P14" i="70"/>
  <c r="D14" i="70"/>
  <c r="L14" i="70" s="1"/>
  <c r="N14" i="70" s="1"/>
  <c r="B14" i="70"/>
  <c r="Z13" i="70"/>
  <c r="X13" i="70"/>
  <c r="P13" i="70"/>
  <c r="N13" i="70"/>
  <c r="L13" i="70"/>
  <c r="D13" i="70"/>
  <c r="B13" i="70"/>
  <c r="T12" i="70"/>
  <c r="V68" i="70" s="1"/>
  <c r="P12" i="70"/>
  <c r="H12" i="70"/>
  <c r="J62" i="70" s="1"/>
  <c r="D6" i="70"/>
  <c r="D4" i="70"/>
  <c r="Z132" i="69"/>
  <c r="X132" i="69"/>
  <c r="N132" i="69"/>
  <c r="L132" i="69"/>
  <c r="Z128" i="69"/>
  <c r="P128" i="69"/>
  <c r="X128" i="69" s="1"/>
  <c r="N128" i="69"/>
  <c r="D128" i="69"/>
  <c r="L128" i="69" s="1"/>
  <c r="B128" i="69"/>
  <c r="Z127" i="69"/>
  <c r="T127" i="69"/>
  <c r="N127" i="69"/>
  <c r="H127" i="69"/>
  <c r="Z125" i="69"/>
  <c r="X125" i="69"/>
  <c r="N125" i="69"/>
  <c r="L125" i="69"/>
  <c r="B125" i="69"/>
  <c r="T124" i="69"/>
  <c r="P124" i="69"/>
  <c r="H124" i="69"/>
  <c r="D124" i="69"/>
  <c r="B124" i="69"/>
  <c r="X123" i="69"/>
  <c r="Z123" i="69" s="1"/>
  <c r="V123" i="69"/>
  <c r="L123" i="69"/>
  <c r="N123" i="69" s="1"/>
  <c r="B123" i="69"/>
  <c r="T122" i="69"/>
  <c r="P122" i="69"/>
  <c r="J122" i="69"/>
  <c r="H122" i="69"/>
  <c r="D122" i="69"/>
  <c r="B122" i="69"/>
  <c r="Z121" i="69"/>
  <c r="X121" i="69"/>
  <c r="N121" i="69"/>
  <c r="L121" i="69"/>
  <c r="B121" i="69"/>
  <c r="Z120" i="69"/>
  <c r="X120" i="69"/>
  <c r="N120" i="69"/>
  <c r="L120" i="69"/>
  <c r="B120" i="69"/>
  <c r="X119" i="69"/>
  <c r="Z119" i="69" s="1"/>
  <c r="L119" i="69"/>
  <c r="N119" i="69" s="1"/>
  <c r="B119" i="69"/>
  <c r="T118" i="69"/>
  <c r="P118" i="69"/>
  <c r="X118" i="69" s="1"/>
  <c r="Z118" i="69" s="1"/>
  <c r="J118" i="69"/>
  <c r="H118" i="69"/>
  <c r="D118" i="69"/>
  <c r="L118" i="69" s="1"/>
  <c r="N118" i="69" s="1"/>
  <c r="B118" i="69"/>
  <c r="X117" i="69"/>
  <c r="Z117" i="69" s="1"/>
  <c r="L117" i="69"/>
  <c r="N117" i="69" s="1"/>
  <c r="B117" i="69"/>
  <c r="Z116" i="69"/>
  <c r="X116" i="69"/>
  <c r="N116" i="69"/>
  <c r="L116" i="69"/>
  <c r="B116" i="69"/>
  <c r="V115" i="69"/>
  <c r="T115" i="69"/>
  <c r="P115" i="69"/>
  <c r="H115" i="69"/>
  <c r="D115" i="69"/>
  <c r="L115" i="69" s="1"/>
  <c r="B115" i="69"/>
  <c r="X114" i="69"/>
  <c r="Z114" i="69" s="1"/>
  <c r="V114" i="69"/>
  <c r="L114" i="69"/>
  <c r="N114" i="69" s="1"/>
  <c r="B114" i="69"/>
  <c r="Z113" i="69"/>
  <c r="X113" i="69"/>
  <c r="N113" i="69"/>
  <c r="L113" i="69"/>
  <c r="J113" i="69"/>
  <c r="B113" i="69"/>
  <c r="T112" i="69"/>
  <c r="Z112" i="69" s="1"/>
  <c r="P112" i="69"/>
  <c r="X112" i="69" s="1"/>
  <c r="H112" i="69"/>
  <c r="D112" i="69"/>
  <c r="B112" i="69"/>
  <c r="Z111" i="69"/>
  <c r="X111" i="69"/>
  <c r="L111" i="69"/>
  <c r="N111" i="69" s="1"/>
  <c r="B111" i="69"/>
  <c r="Z110" i="69"/>
  <c r="T110" i="69"/>
  <c r="P110" i="69"/>
  <c r="X110" i="69" s="1"/>
  <c r="J110" i="69"/>
  <c r="H110" i="69"/>
  <c r="D110" i="69"/>
  <c r="L110" i="69" s="1"/>
  <c r="N110" i="69" s="1"/>
  <c r="B110" i="69"/>
  <c r="X109" i="69"/>
  <c r="Z109" i="69" s="1"/>
  <c r="N109" i="69"/>
  <c r="L109" i="69"/>
  <c r="B109" i="69"/>
  <c r="X108" i="69"/>
  <c r="V108" i="69"/>
  <c r="T108" i="69"/>
  <c r="P108" i="69"/>
  <c r="L108" i="69"/>
  <c r="H108" i="69"/>
  <c r="N108" i="69" s="1"/>
  <c r="D108" i="69"/>
  <c r="B108" i="69"/>
  <c r="Z107" i="69"/>
  <c r="X107" i="69"/>
  <c r="N107" i="69"/>
  <c r="L107" i="69"/>
  <c r="B107" i="69"/>
  <c r="T106" i="69"/>
  <c r="P106" i="69"/>
  <c r="H106" i="69"/>
  <c r="D106" i="69"/>
  <c r="L106" i="69" s="1"/>
  <c r="B106" i="69"/>
  <c r="Z105" i="69"/>
  <c r="X105" i="69"/>
  <c r="V105" i="69"/>
  <c r="N105" i="69"/>
  <c r="L105" i="69"/>
  <c r="B105" i="69"/>
  <c r="X104" i="69"/>
  <c r="Z104" i="69" s="1"/>
  <c r="L104" i="69"/>
  <c r="N104" i="69" s="1"/>
  <c r="J104" i="69"/>
  <c r="B104" i="69"/>
  <c r="T103" i="69"/>
  <c r="Z103" i="69" s="1"/>
  <c r="P103" i="69"/>
  <c r="X103" i="69" s="1"/>
  <c r="J103" i="69"/>
  <c r="H103" i="69"/>
  <c r="D103" i="69"/>
  <c r="B103" i="69"/>
  <c r="Z102" i="69"/>
  <c r="X102" i="69"/>
  <c r="N102" i="69"/>
  <c r="L102" i="69"/>
  <c r="B102" i="69"/>
  <c r="Z101" i="69"/>
  <c r="X101" i="69"/>
  <c r="T101" i="69"/>
  <c r="P101" i="69"/>
  <c r="N101" i="69"/>
  <c r="H101" i="69"/>
  <c r="D101" i="69"/>
  <c r="L101" i="69" s="1"/>
  <c r="B101" i="69"/>
  <c r="Z100" i="69"/>
  <c r="X100" i="69"/>
  <c r="L100" i="69"/>
  <c r="N100" i="69" s="1"/>
  <c r="J100" i="69"/>
  <c r="B100" i="69"/>
  <c r="Z99" i="69"/>
  <c r="X99" i="69"/>
  <c r="T99" i="69"/>
  <c r="P99" i="69"/>
  <c r="H99" i="69"/>
  <c r="D99" i="69"/>
  <c r="B99" i="69"/>
  <c r="Z98" i="69"/>
  <c r="X98" i="69"/>
  <c r="N98" i="69"/>
  <c r="L98" i="69"/>
  <c r="B98" i="69"/>
  <c r="Z97" i="69"/>
  <c r="X97" i="69"/>
  <c r="V97" i="69"/>
  <c r="N97" i="69"/>
  <c r="L97" i="69"/>
  <c r="B97" i="69"/>
  <c r="Z96" i="69"/>
  <c r="X96" i="69"/>
  <c r="N96" i="69"/>
  <c r="L96" i="69"/>
  <c r="J96" i="69"/>
  <c r="B96" i="69"/>
  <c r="Z95" i="69"/>
  <c r="X95" i="69"/>
  <c r="L95" i="69"/>
  <c r="N95" i="69" s="1"/>
  <c r="B95" i="69"/>
  <c r="Z94" i="69"/>
  <c r="X94" i="69"/>
  <c r="N94" i="69"/>
  <c r="L94" i="69"/>
  <c r="B94" i="69"/>
  <c r="Z93" i="69"/>
  <c r="X93" i="69"/>
  <c r="V93" i="69"/>
  <c r="N93" i="69"/>
  <c r="L93" i="69"/>
  <c r="B93" i="69"/>
  <c r="Z92" i="69"/>
  <c r="X92" i="69"/>
  <c r="N92" i="69"/>
  <c r="L92" i="69"/>
  <c r="J92" i="69"/>
  <c r="B92" i="69"/>
  <c r="Z91" i="69"/>
  <c r="X91" i="69"/>
  <c r="N91" i="69"/>
  <c r="L91" i="69"/>
  <c r="B91" i="69"/>
  <c r="Z90" i="69"/>
  <c r="X90" i="69"/>
  <c r="N90" i="69"/>
  <c r="L90" i="69"/>
  <c r="B90" i="69"/>
  <c r="X89" i="69"/>
  <c r="Z89" i="69" s="1"/>
  <c r="V89" i="69"/>
  <c r="L89" i="69"/>
  <c r="N89" i="69" s="1"/>
  <c r="B89" i="69"/>
  <c r="T88" i="69"/>
  <c r="P88" i="69"/>
  <c r="X88" i="69" s="1"/>
  <c r="Z88" i="69" s="1"/>
  <c r="N88" i="69"/>
  <c r="J88" i="69"/>
  <c r="H88" i="69"/>
  <c r="D88" i="69"/>
  <c r="L88" i="69" s="1"/>
  <c r="B88" i="69"/>
  <c r="Z87" i="69"/>
  <c r="X87" i="69"/>
  <c r="N87" i="69"/>
  <c r="L87" i="69"/>
  <c r="B87" i="69"/>
  <c r="X86" i="69"/>
  <c r="Z86" i="69" s="1"/>
  <c r="N86" i="69"/>
  <c r="L86" i="69"/>
  <c r="B86" i="69"/>
  <c r="X85" i="69"/>
  <c r="Z85" i="69" s="1"/>
  <c r="N85" i="69"/>
  <c r="L85" i="69"/>
  <c r="B85" i="69"/>
  <c r="Z84" i="69"/>
  <c r="X84" i="69"/>
  <c r="V84" i="69"/>
  <c r="N84" i="69"/>
  <c r="L84" i="69"/>
  <c r="B84" i="69"/>
  <c r="X83" i="69"/>
  <c r="Z83" i="69" s="1"/>
  <c r="L83" i="69"/>
  <c r="N83" i="69" s="1"/>
  <c r="B83" i="69"/>
  <c r="X82" i="69"/>
  <c r="Z82" i="69" s="1"/>
  <c r="N82" i="69"/>
  <c r="L82" i="69"/>
  <c r="B82" i="69"/>
  <c r="X81" i="69"/>
  <c r="Z81" i="69" s="1"/>
  <c r="N81" i="69"/>
  <c r="L81" i="69"/>
  <c r="B81" i="69"/>
  <c r="X80" i="69"/>
  <c r="Z80" i="69" s="1"/>
  <c r="V80" i="69"/>
  <c r="N80" i="69"/>
  <c r="L80" i="69"/>
  <c r="B80" i="69"/>
  <c r="X79" i="69"/>
  <c r="Z79" i="69" s="1"/>
  <c r="N79" i="69"/>
  <c r="L79" i="69"/>
  <c r="B79" i="69"/>
  <c r="X78" i="69"/>
  <c r="T78" i="69"/>
  <c r="Z78" i="69" s="1"/>
  <c r="P78" i="69"/>
  <c r="L78" i="69"/>
  <c r="J78" i="69"/>
  <c r="H78" i="69"/>
  <c r="D78" i="69"/>
  <c r="B78" i="69"/>
  <c r="T77" i="69"/>
  <c r="P77" i="69"/>
  <c r="H77" i="69"/>
  <c r="N77" i="69" s="1"/>
  <c r="D77" i="69"/>
  <c r="L77" i="69" s="1"/>
  <c r="T75" i="69"/>
  <c r="Z73" i="69"/>
  <c r="X73" i="69"/>
  <c r="N73" i="69"/>
  <c r="L73" i="69"/>
  <c r="J73" i="69"/>
  <c r="B73" i="69"/>
  <c r="Z72" i="69"/>
  <c r="X72" i="69"/>
  <c r="N72" i="69"/>
  <c r="L72" i="69"/>
  <c r="J72" i="69"/>
  <c r="B72" i="69"/>
  <c r="Z71" i="69"/>
  <c r="X71" i="69"/>
  <c r="N71" i="69"/>
  <c r="L71" i="69"/>
  <c r="J71" i="69"/>
  <c r="B71" i="69"/>
  <c r="Z70" i="69"/>
  <c r="X70" i="69"/>
  <c r="N70" i="69"/>
  <c r="L70" i="69"/>
  <c r="J70" i="69"/>
  <c r="B70" i="69"/>
  <c r="Z69" i="69"/>
  <c r="X69" i="69"/>
  <c r="N69" i="69"/>
  <c r="L69" i="69"/>
  <c r="J69" i="69"/>
  <c r="B69" i="69"/>
  <c r="Z68" i="69"/>
  <c r="X68" i="69"/>
  <c r="N68" i="69"/>
  <c r="L68" i="69"/>
  <c r="J68" i="69"/>
  <c r="B68" i="69"/>
  <c r="Z67" i="69"/>
  <c r="X67" i="69"/>
  <c r="N67" i="69"/>
  <c r="L67" i="69"/>
  <c r="J67" i="69"/>
  <c r="B67" i="69"/>
  <c r="Z66" i="69"/>
  <c r="X66" i="69"/>
  <c r="N66" i="69"/>
  <c r="L66" i="69"/>
  <c r="J66" i="69"/>
  <c r="B66" i="69"/>
  <c r="Z65" i="69"/>
  <c r="X65" i="69"/>
  <c r="N65" i="69"/>
  <c r="L65" i="69"/>
  <c r="J65" i="69"/>
  <c r="B65" i="69"/>
  <c r="Z64" i="69"/>
  <c r="X64" i="69"/>
  <c r="N64" i="69"/>
  <c r="L64" i="69"/>
  <c r="J64" i="69"/>
  <c r="B64" i="69"/>
  <c r="Z63" i="69"/>
  <c r="X63" i="69"/>
  <c r="N63" i="69"/>
  <c r="L63" i="69"/>
  <c r="J63" i="69"/>
  <c r="B63" i="69"/>
  <c r="Z62" i="69"/>
  <c r="X62" i="69"/>
  <c r="N62" i="69"/>
  <c r="L62" i="69"/>
  <c r="J62" i="69"/>
  <c r="B62" i="69"/>
  <c r="Z61" i="69"/>
  <c r="X61" i="69"/>
  <c r="N61" i="69"/>
  <c r="L61" i="69"/>
  <c r="J61" i="69"/>
  <c r="B61" i="69"/>
  <c r="Z60" i="69"/>
  <c r="X60" i="69"/>
  <c r="N60" i="69"/>
  <c r="L60" i="69"/>
  <c r="J60" i="69"/>
  <c r="B60" i="69"/>
  <c r="Z59" i="69"/>
  <c r="X59" i="69"/>
  <c r="N59" i="69"/>
  <c r="L59" i="69"/>
  <c r="J59" i="69"/>
  <c r="B59" i="69"/>
  <c r="Z58" i="69"/>
  <c r="X58" i="69"/>
  <c r="N58" i="69"/>
  <c r="L58" i="69"/>
  <c r="J58" i="69"/>
  <c r="B58" i="69"/>
  <c r="Z57" i="69"/>
  <c r="X57" i="69"/>
  <c r="N57" i="69"/>
  <c r="L57" i="69"/>
  <c r="J57" i="69"/>
  <c r="B57" i="69"/>
  <c r="Z56" i="69"/>
  <c r="X56" i="69"/>
  <c r="N56" i="69"/>
  <c r="L56" i="69"/>
  <c r="J56" i="69"/>
  <c r="B56" i="69"/>
  <c r="Z55" i="69"/>
  <c r="X55" i="69"/>
  <c r="N55" i="69"/>
  <c r="L55" i="69"/>
  <c r="J55" i="69"/>
  <c r="B55" i="69"/>
  <c r="Z54" i="69"/>
  <c r="X54" i="69"/>
  <c r="N54" i="69"/>
  <c r="L54" i="69"/>
  <c r="J54" i="69"/>
  <c r="B54" i="69"/>
  <c r="Z53" i="69"/>
  <c r="X53" i="69"/>
  <c r="L53" i="69"/>
  <c r="N53" i="69" s="1"/>
  <c r="J53" i="69"/>
  <c r="B53" i="69"/>
  <c r="T52" i="69"/>
  <c r="P52" i="69"/>
  <c r="X52" i="69" s="1"/>
  <c r="Z52" i="69" s="1"/>
  <c r="H52" i="69"/>
  <c r="D52" i="69"/>
  <c r="L52" i="69" s="1"/>
  <c r="Z50" i="69"/>
  <c r="X50" i="69"/>
  <c r="P50" i="69"/>
  <c r="N50" i="69"/>
  <c r="L50" i="69"/>
  <c r="D50" i="69"/>
  <c r="B50" i="69"/>
  <c r="Z49" i="69"/>
  <c r="P49" i="69"/>
  <c r="X49" i="69" s="1"/>
  <c r="N49" i="69"/>
  <c r="D49" i="69"/>
  <c r="L49" i="69" s="1"/>
  <c r="B49" i="69"/>
  <c r="Z48" i="69"/>
  <c r="X48" i="69"/>
  <c r="P48" i="69"/>
  <c r="N48" i="69"/>
  <c r="L48" i="69"/>
  <c r="D48" i="69"/>
  <c r="B48" i="69"/>
  <c r="Z47" i="69"/>
  <c r="X47" i="69"/>
  <c r="P47" i="69"/>
  <c r="N47" i="69"/>
  <c r="L47" i="69"/>
  <c r="D47" i="69"/>
  <c r="B47" i="69"/>
  <c r="Z46" i="69"/>
  <c r="P46" i="69"/>
  <c r="X46" i="69" s="1"/>
  <c r="N46" i="69"/>
  <c r="D46" i="69"/>
  <c r="L46" i="69" s="1"/>
  <c r="B46" i="69"/>
  <c r="Z45" i="69"/>
  <c r="X45" i="69"/>
  <c r="P45" i="69"/>
  <c r="N45" i="69"/>
  <c r="L45" i="69"/>
  <c r="D45" i="69"/>
  <c r="B45" i="69"/>
  <c r="Z44" i="69"/>
  <c r="P44" i="69"/>
  <c r="X44" i="69" s="1"/>
  <c r="N44" i="69"/>
  <c r="L44" i="69"/>
  <c r="D44" i="69"/>
  <c r="B44" i="69"/>
  <c r="Z43" i="69"/>
  <c r="P43" i="69"/>
  <c r="X43" i="69" s="1"/>
  <c r="N43" i="69"/>
  <c r="D43" i="69"/>
  <c r="L43" i="69" s="1"/>
  <c r="B43" i="69"/>
  <c r="Z42" i="69"/>
  <c r="X42" i="69"/>
  <c r="P42" i="69"/>
  <c r="N42" i="69"/>
  <c r="L42" i="69"/>
  <c r="D42" i="69"/>
  <c r="B42" i="69"/>
  <c r="Z41" i="69"/>
  <c r="X41" i="69"/>
  <c r="P41" i="69"/>
  <c r="N41" i="69"/>
  <c r="D41" i="69"/>
  <c r="L41" i="69" s="1"/>
  <c r="B41" i="69"/>
  <c r="Z40" i="69"/>
  <c r="P40" i="69"/>
  <c r="X40" i="69" s="1"/>
  <c r="N40" i="69"/>
  <c r="D40" i="69"/>
  <c r="L40" i="69" s="1"/>
  <c r="B40" i="69"/>
  <c r="Z39" i="69"/>
  <c r="X39" i="69"/>
  <c r="P39" i="69"/>
  <c r="N39" i="69"/>
  <c r="D39" i="69"/>
  <c r="L39" i="69" s="1"/>
  <c r="B39" i="69"/>
  <c r="Z38" i="69"/>
  <c r="X38" i="69"/>
  <c r="P38" i="69"/>
  <c r="N38" i="69"/>
  <c r="L38" i="69"/>
  <c r="D38" i="69"/>
  <c r="B38" i="69"/>
  <c r="Z37" i="69"/>
  <c r="P37" i="69"/>
  <c r="X37" i="69" s="1"/>
  <c r="N37" i="69"/>
  <c r="D37" i="69"/>
  <c r="L37" i="69" s="1"/>
  <c r="B37" i="69"/>
  <c r="Z36" i="69"/>
  <c r="X36" i="69"/>
  <c r="P36" i="69"/>
  <c r="N36" i="69"/>
  <c r="L36" i="69"/>
  <c r="D36" i="69"/>
  <c r="B36" i="69"/>
  <c r="Z35" i="69"/>
  <c r="X35" i="69"/>
  <c r="P35" i="69"/>
  <c r="N35" i="69"/>
  <c r="L35" i="69"/>
  <c r="D35" i="69"/>
  <c r="B35" i="69"/>
  <c r="Z34" i="69"/>
  <c r="P34" i="69"/>
  <c r="X34" i="69" s="1"/>
  <c r="N34" i="69"/>
  <c r="D34" i="69"/>
  <c r="L34" i="69" s="1"/>
  <c r="B34" i="69"/>
  <c r="Z33" i="69"/>
  <c r="X33" i="69"/>
  <c r="P33" i="69"/>
  <c r="N33" i="69"/>
  <c r="L33" i="69"/>
  <c r="D33" i="69"/>
  <c r="B33" i="69"/>
  <c r="P32" i="69"/>
  <c r="X32" i="69" s="1"/>
  <c r="Z32" i="69" s="1"/>
  <c r="L32" i="69"/>
  <c r="N32" i="69" s="1"/>
  <c r="D32" i="69"/>
  <c r="B32" i="69"/>
  <c r="Z31" i="69"/>
  <c r="P31" i="69"/>
  <c r="X31" i="69" s="1"/>
  <c r="N31" i="69"/>
  <c r="D31" i="69"/>
  <c r="L31" i="69" s="1"/>
  <c r="B31" i="69"/>
  <c r="Z30" i="69"/>
  <c r="P30" i="69"/>
  <c r="X30" i="69" s="1"/>
  <c r="N30" i="69"/>
  <c r="L30" i="69"/>
  <c r="D30" i="69"/>
  <c r="B30" i="69"/>
  <c r="Z29" i="69"/>
  <c r="X29" i="69"/>
  <c r="P29" i="69"/>
  <c r="N29" i="69"/>
  <c r="D29" i="69"/>
  <c r="L29" i="69" s="1"/>
  <c r="B29" i="69"/>
  <c r="Z28" i="69"/>
  <c r="P28" i="69"/>
  <c r="X28" i="69" s="1"/>
  <c r="N28" i="69"/>
  <c r="D28" i="69"/>
  <c r="L28" i="69" s="1"/>
  <c r="B28" i="69"/>
  <c r="Z27" i="69"/>
  <c r="X27" i="69"/>
  <c r="P27" i="69"/>
  <c r="N27" i="69"/>
  <c r="D27" i="69"/>
  <c r="L27" i="69" s="1"/>
  <c r="B27" i="69"/>
  <c r="Z26" i="69"/>
  <c r="X26" i="69"/>
  <c r="P26" i="69"/>
  <c r="N26" i="69"/>
  <c r="L26" i="69"/>
  <c r="D26" i="69"/>
  <c r="B26" i="69"/>
  <c r="Z25" i="69"/>
  <c r="P25" i="69"/>
  <c r="X25" i="69" s="1"/>
  <c r="N25" i="69"/>
  <c r="D25" i="69"/>
  <c r="L25" i="69" s="1"/>
  <c r="B25" i="69"/>
  <c r="Z24" i="69"/>
  <c r="X24" i="69"/>
  <c r="P24" i="69"/>
  <c r="N24" i="69"/>
  <c r="L24" i="69"/>
  <c r="D24" i="69"/>
  <c r="B24" i="69"/>
  <c r="Z23" i="69"/>
  <c r="X23" i="69"/>
  <c r="P23" i="69"/>
  <c r="N23" i="69"/>
  <c r="L23" i="69"/>
  <c r="D23" i="69"/>
  <c r="B23" i="69"/>
  <c r="Z22" i="69"/>
  <c r="P22" i="69"/>
  <c r="X22" i="69" s="1"/>
  <c r="N22" i="69"/>
  <c r="D22" i="69"/>
  <c r="L22" i="69" s="1"/>
  <c r="B22" i="69"/>
  <c r="Z21" i="69"/>
  <c r="X21" i="69"/>
  <c r="P21" i="69"/>
  <c r="N21" i="69"/>
  <c r="L21" i="69"/>
  <c r="D21" i="69"/>
  <c r="B21" i="69"/>
  <c r="Z20" i="69"/>
  <c r="P20" i="69"/>
  <c r="X20" i="69" s="1"/>
  <c r="N20" i="69"/>
  <c r="L20" i="69"/>
  <c r="D20" i="69"/>
  <c r="B20" i="69"/>
  <c r="Z19" i="69"/>
  <c r="P19" i="69"/>
  <c r="X19" i="69" s="1"/>
  <c r="N19" i="69"/>
  <c r="D19" i="69"/>
  <c r="L19" i="69" s="1"/>
  <c r="B19" i="69"/>
  <c r="Z18" i="69"/>
  <c r="P18" i="69"/>
  <c r="X18" i="69" s="1"/>
  <c r="N18" i="69"/>
  <c r="L18" i="69"/>
  <c r="D18" i="69"/>
  <c r="B18" i="69"/>
  <c r="Z17" i="69"/>
  <c r="X17" i="69"/>
  <c r="P17" i="69"/>
  <c r="N17" i="69"/>
  <c r="D17" i="69"/>
  <c r="L17" i="69" s="1"/>
  <c r="B17" i="69"/>
  <c r="Z16" i="69"/>
  <c r="P16" i="69"/>
  <c r="X16" i="69" s="1"/>
  <c r="N16" i="69"/>
  <c r="D16" i="69"/>
  <c r="L16" i="69" s="1"/>
  <c r="B16" i="69"/>
  <c r="Z15" i="69"/>
  <c r="X15" i="69"/>
  <c r="P15" i="69"/>
  <c r="N15" i="69"/>
  <c r="D15" i="69"/>
  <c r="L15" i="69" s="1"/>
  <c r="B15" i="69"/>
  <c r="Z14" i="69"/>
  <c r="X14" i="69"/>
  <c r="P14" i="69"/>
  <c r="N14" i="69"/>
  <c r="L14" i="69"/>
  <c r="D14" i="69"/>
  <c r="B14" i="69"/>
  <c r="P13" i="69"/>
  <c r="N13" i="69"/>
  <c r="D13" i="69"/>
  <c r="L13" i="69" s="1"/>
  <c r="B13" i="69"/>
  <c r="T12" i="69"/>
  <c r="V113" i="69" s="1"/>
  <c r="H12" i="69"/>
  <c r="D6" i="69"/>
  <c r="D4" i="69"/>
  <c r="F72" i="68"/>
  <c r="F69" i="68"/>
  <c r="Z67" i="68"/>
  <c r="X67" i="68"/>
  <c r="N67" i="68"/>
  <c r="L67" i="68"/>
  <c r="J67" i="68"/>
  <c r="V65" i="68"/>
  <c r="J65" i="68"/>
  <c r="F65" i="68"/>
  <c r="X63" i="68"/>
  <c r="T63" i="68"/>
  <c r="Z63" i="68" s="1"/>
  <c r="P63" i="68"/>
  <c r="L63" i="68"/>
  <c r="J63" i="68"/>
  <c r="H63" i="68"/>
  <c r="N63" i="68" s="1"/>
  <c r="F63" i="68"/>
  <c r="D63" i="68"/>
  <c r="X61" i="68"/>
  <c r="Z61" i="68" s="1"/>
  <c r="V61" i="68"/>
  <c r="N61" i="68"/>
  <c r="L61" i="68"/>
  <c r="F61" i="68"/>
  <c r="B61" i="68"/>
  <c r="X60" i="68"/>
  <c r="Z60" i="68" s="1"/>
  <c r="T60" i="68"/>
  <c r="R60" i="68"/>
  <c r="P60" i="68"/>
  <c r="N60" i="68"/>
  <c r="H60" i="68"/>
  <c r="F60" i="68"/>
  <c r="D60" i="68"/>
  <c r="L60" i="68" s="1"/>
  <c r="B60" i="68"/>
  <c r="Z59" i="68"/>
  <c r="X59" i="68"/>
  <c r="R59" i="68"/>
  <c r="N59" i="68"/>
  <c r="L59" i="68"/>
  <c r="J59" i="68"/>
  <c r="B59" i="68"/>
  <c r="T58" i="68"/>
  <c r="P58" i="68"/>
  <c r="L58" i="68"/>
  <c r="N58" i="68" s="1"/>
  <c r="J58" i="68"/>
  <c r="H58" i="68"/>
  <c r="D58" i="68"/>
  <c r="B58" i="68"/>
  <c r="Z57" i="68"/>
  <c r="X57" i="68"/>
  <c r="L57" i="68"/>
  <c r="N57" i="68" s="1"/>
  <c r="J57" i="68"/>
  <c r="F57" i="68"/>
  <c r="B57" i="68"/>
  <c r="Z56" i="68"/>
  <c r="X56" i="68"/>
  <c r="N56" i="68"/>
  <c r="L56" i="68"/>
  <c r="B56" i="68"/>
  <c r="Z55" i="68"/>
  <c r="X55" i="68"/>
  <c r="L55" i="68"/>
  <c r="N55" i="68" s="1"/>
  <c r="J55" i="68"/>
  <c r="F55" i="68"/>
  <c r="B55" i="68"/>
  <c r="Z54" i="68"/>
  <c r="X54" i="68"/>
  <c r="R54" i="68"/>
  <c r="N54" i="68"/>
  <c r="L54" i="68"/>
  <c r="B54" i="68"/>
  <c r="T53" i="68"/>
  <c r="P53" i="68"/>
  <c r="X53" i="68" s="1"/>
  <c r="Z53" i="68" s="1"/>
  <c r="J53" i="68"/>
  <c r="H53" i="68"/>
  <c r="D53" i="68"/>
  <c r="L53" i="68" s="1"/>
  <c r="N53" i="68" s="1"/>
  <c r="B53" i="68"/>
  <c r="X52" i="68"/>
  <c r="Z52" i="68" s="1"/>
  <c r="L52" i="68"/>
  <c r="N52" i="68" s="1"/>
  <c r="J52" i="68"/>
  <c r="F52" i="68"/>
  <c r="B52" i="68"/>
  <c r="Z51" i="68"/>
  <c r="X51" i="68"/>
  <c r="N51" i="68"/>
  <c r="L51" i="68"/>
  <c r="F51" i="68"/>
  <c r="B51" i="68"/>
  <c r="T50" i="68"/>
  <c r="P50" i="68"/>
  <c r="X50" i="68" s="1"/>
  <c r="Z50" i="68" s="1"/>
  <c r="H50" i="68"/>
  <c r="F50" i="68"/>
  <c r="D50" i="68"/>
  <c r="L50" i="68" s="1"/>
  <c r="N50" i="68" s="1"/>
  <c r="B50" i="68"/>
  <c r="Z49" i="68"/>
  <c r="X49" i="68"/>
  <c r="N49" i="68"/>
  <c r="L49" i="68"/>
  <c r="J49" i="68"/>
  <c r="B49" i="68"/>
  <c r="Z48" i="68"/>
  <c r="X48" i="68"/>
  <c r="T48" i="68"/>
  <c r="P48" i="68"/>
  <c r="J48" i="68"/>
  <c r="H48" i="68"/>
  <c r="D48" i="68"/>
  <c r="B48" i="68"/>
  <c r="Z47" i="68"/>
  <c r="X47" i="68"/>
  <c r="L47" i="68"/>
  <c r="N47" i="68" s="1"/>
  <c r="J47" i="68"/>
  <c r="F47" i="68"/>
  <c r="B47" i="68"/>
  <c r="T46" i="68"/>
  <c r="P46" i="68"/>
  <c r="X46" i="68" s="1"/>
  <c r="J46" i="68"/>
  <c r="H46" i="68"/>
  <c r="F46" i="68"/>
  <c r="D46" i="68"/>
  <c r="L46" i="68" s="1"/>
  <c r="B46" i="68"/>
  <c r="X45" i="68"/>
  <c r="Z45" i="68" s="1"/>
  <c r="N45" i="68"/>
  <c r="L45" i="68"/>
  <c r="F45" i="68"/>
  <c r="B45" i="68"/>
  <c r="X44" i="68"/>
  <c r="Z44" i="68" s="1"/>
  <c r="T44" i="68"/>
  <c r="R44" i="68"/>
  <c r="P44" i="68"/>
  <c r="H44" i="68"/>
  <c r="F44" i="68"/>
  <c r="D44" i="68"/>
  <c r="L44" i="68" s="1"/>
  <c r="N44" i="68" s="1"/>
  <c r="B44" i="68"/>
  <c r="Z43" i="68"/>
  <c r="X43" i="68"/>
  <c r="R43" i="68"/>
  <c r="N43" i="68"/>
  <c r="L43" i="68"/>
  <c r="J43" i="68"/>
  <c r="B43" i="68"/>
  <c r="T42" i="68"/>
  <c r="P42" i="68"/>
  <c r="N42" i="68"/>
  <c r="L42" i="68"/>
  <c r="J42" i="68"/>
  <c r="H42" i="68"/>
  <c r="D42" i="68"/>
  <c r="B42" i="68"/>
  <c r="Z41" i="68"/>
  <c r="X41" i="68"/>
  <c r="N41" i="68"/>
  <c r="L41" i="68"/>
  <c r="J41" i="68"/>
  <c r="F41" i="68"/>
  <c r="B41" i="68"/>
  <c r="T40" i="68"/>
  <c r="Z40" i="68" s="1"/>
  <c r="P40" i="68"/>
  <c r="X40" i="68" s="1"/>
  <c r="J40" i="68"/>
  <c r="H40" i="68"/>
  <c r="N40" i="68" s="1"/>
  <c r="F40" i="68"/>
  <c r="D40" i="68"/>
  <c r="L40" i="68" s="1"/>
  <c r="B40" i="68"/>
  <c r="Z39" i="68"/>
  <c r="X39" i="68"/>
  <c r="N39" i="68"/>
  <c r="L39" i="68"/>
  <c r="F39" i="68"/>
  <c r="B39" i="68"/>
  <c r="Z38" i="68"/>
  <c r="X38" i="68"/>
  <c r="N38" i="68"/>
  <c r="L38" i="68"/>
  <c r="J38" i="68"/>
  <c r="F38" i="68"/>
  <c r="B38" i="68"/>
  <c r="X37" i="68"/>
  <c r="Z37" i="68" s="1"/>
  <c r="V37" i="68"/>
  <c r="N37" i="68"/>
  <c r="L37" i="68"/>
  <c r="F37" i="68"/>
  <c r="B37" i="68"/>
  <c r="X36" i="68"/>
  <c r="Z36" i="68" s="1"/>
  <c r="N36" i="68"/>
  <c r="L36" i="68"/>
  <c r="J36" i="68"/>
  <c r="F36" i="68"/>
  <c r="B36" i="68"/>
  <c r="Z35" i="68"/>
  <c r="X35" i="68"/>
  <c r="N35" i="68"/>
  <c r="L35" i="68"/>
  <c r="F35" i="68"/>
  <c r="B35" i="68"/>
  <c r="Z34" i="68"/>
  <c r="X34" i="68"/>
  <c r="N34" i="68"/>
  <c r="L34" i="68"/>
  <c r="J34" i="68"/>
  <c r="F34" i="68"/>
  <c r="B34" i="68"/>
  <c r="X33" i="68"/>
  <c r="Z33" i="68" s="1"/>
  <c r="V33" i="68"/>
  <c r="N33" i="68"/>
  <c r="L33" i="68"/>
  <c r="F33" i="68"/>
  <c r="B33" i="68"/>
  <c r="Z32" i="68"/>
  <c r="X32" i="68"/>
  <c r="N32" i="68"/>
  <c r="L32" i="68"/>
  <c r="J32" i="68"/>
  <c r="F32" i="68"/>
  <c r="B32" i="68"/>
  <c r="X31" i="68"/>
  <c r="Z31" i="68" s="1"/>
  <c r="N31" i="68"/>
  <c r="L31" i="68"/>
  <c r="F31" i="68"/>
  <c r="B31" i="68"/>
  <c r="X30" i="68"/>
  <c r="Z30" i="68" s="1"/>
  <c r="L30" i="68"/>
  <c r="N30" i="68" s="1"/>
  <c r="J30" i="68"/>
  <c r="F30" i="68"/>
  <c r="B30" i="68"/>
  <c r="X29" i="68"/>
  <c r="V29" i="68"/>
  <c r="T29" i="68"/>
  <c r="P29" i="68"/>
  <c r="L29" i="68"/>
  <c r="J29" i="68"/>
  <c r="H29" i="68"/>
  <c r="N29" i="68" s="1"/>
  <c r="F29" i="68"/>
  <c r="D29" i="68"/>
  <c r="B29" i="68"/>
  <c r="Z28" i="68"/>
  <c r="X28" i="68"/>
  <c r="N28" i="68"/>
  <c r="L28" i="68"/>
  <c r="J28" i="68"/>
  <c r="F28" i="68"/>
  <c r="B28" i="68"/>
  <c r="Z27" i="68"/>
  <c r="X27" i="68"/>
  <c r="R27" i="68"/>
  <c r="N27" i="68"/>
  <c r="L27" i="68"/>
  <c r="J27" i="68"/>
  <c r="F27" i="68"/>
  <c r="B27" i="68"/>
  <c r="X26" i="68"/>
  <c r="Z26" i="68" s="1"/>
  <c r="R26" i="68"/>
  <c r="L26" i="68"/>
  <c r="N26" i="68" s="1"/>
  <c r="J26" i="68"/>
  <c r="F26" i="68"/>
  <c r="B26" i="68"/>
  <c r="Z25" i="68"/>
  <c r="X25" i="68"/>
  <c r="N25" i="68"/>
  <c r="L25" i="68"/>
  <c r="J25" i="68"/>
  <c r="B25" i="68"/>
  <c r="Z24" i="68"/>
  <c r="X24" i="68"/>
  <c r="N24" i="68"/>
  <c r="L24" i="68"/>
  <c r="J24" i="68"/>
  <c r="F24" i="68"/>
  <c r="B24" i="68"/>
  <c r="Z23" i="68"/>
  <c r="X23" i="68"/>
  <c r="R23" i="68"/>
  <c r="N23" i="68"/>
  <c r="L23" i="68"/>
  <c r="J23" i="68"/>
  <c r="F23" i="68"/>
  <c r="B23" i="68"/>
  <c r="X22" i="68"/>
  <c r="Z22" i="68" s="1"/>
  <c r="R22" i="68"/>
  <c r="L22" i="68"/>
  <c r="N22" i="68" s="1"/>
  <c r="J22" i="68"/>
  <c r="F22" i="68"/>
  <c r="B22" i="68"/>
  <c r="Z21" i="68"/>
  <c r="X21" i="68"/>
  <c r="N21" i="68"/>
  <c r="L21" i="68"/>
  <c r="J21" i="68"/>
  <c r="B21" i="68"/>
  <c r="X20" i="68"/>
  <c r="Z20" i="68" s="1"/>
  <c r="N20" i="68"/>
  <c r="L20" i="68"/>
  <c r="J20" i="68"/>
  <c r="F20" i="68"/>
  <c r="B20" i="68"/>
  <c r="T19" i="68"/>
  <c r="R19" i="68"/>
  <c r="P19" i="68"/>
  <c r="H19" i="68"/>
  <c r="F19" i="68"/>
  <c r="D19" i="68"/>
  <c r="L19" i="68" s="1"/>
  <c r="N19" i="68" s="1"/>
  <c r="B19" i="68"/>
  <c r="T18" i="68"/>
  <c r="P18" i="68"/>
  <c r="J18" i="68"/>
  <c r="H18" i="68"/>
  <c r="F18" i="68"/>
  <c r="D18" i="68"/>
  <c r="L18" i="68" s="1"/>
  <c r="J16" i="68"/>
  <c r="F16" i="68"/>
  <c r="V14" i="68"/>
  <c r="T14" i="68"/>
  <c r="Z14" i="68" s="1"/>
  <c r="P14" i="68"/>
  <c r="J14" i="68"/>
  <c r="H14" i="68"/>
  <c r="N14" i="68" s="1"/>
  <c r="F14" i="68"/>
  <c r="D14" i="68"/>
  <c r="D16" i="68" s="1"/>
  <c r="T12" i="68"/>
  <c r="V63" i="68" s="1"/>
  <c r="P12" i="68"/>
  <c r="N12" i="68"/>
  <c r="L12" i="68"/>
  <c r="H12" i="68"/>
  <c r="J60" i="68" s="1"/>
  <c r="D12" i="68"/>
  <c r="F59" i="68" s="1"/>
  <c r="D6" i="68"/>
  <c r="D4" i="68"/>
  <c r="Z110" i="64"/>
  <c r="X110" i="64"/>
  <c r="R110" i="64"/>
  <c r="N110" i="64"/>
  <c r="L110" i="64"/>
  <c r="P106" i="64"/>
  <c r="X106" i="64" s="1"/>
  <c r="Z106" i="64" s="1"/>
  <c r="N106" i="64"/>
  <c r="L106" i="64"/>
  <c r="D106" i="64"/>
  <c r="B106" i="64"/>
  <c r="Z105" i="64"/>
  <c r="X105" i="64"/>
  <c r="P105" i="64"/>
  <c r="N105" i="64"/>
  <c r="L105" i="64"/>
  <c r="F105" i="64"/>
  <c r="D105" i="64"/>
  <c r="B105" i="64"/>
  <c r="X104" i="64"/>
  <c r="Z104" i="64" s="1"/>
  <c r="P104" i="64"/>
  <c r="L104" i="64"/>
  <c r="N104" i="64" s="1"/>
  <c r="D104" i="64"/>
  <c r="B104" i="64"/>
  <c r="X103" i="64"/>
  <c r="Z103" i="64" s="1"/>
  <c r="V103" i="64"/>
  <c r="P103" i="64"/>
  <c r="D103" i="64"/>
  <c r="L103" i="64" s="1"/>
  <c r="N103" i="64" s="1"/>
  <c r="B103" i="64"/>
  <c r="T102" i="64"/>
  <c r="H102" i="64"/>
  <c r="D102" i="64"/>
  <c r="L102" i="64" s="1"/>
  <c r="Z100" i="64"/>
  <c r="X100" i="64"/>
  <c r="L100" i="64"/>
  <c r="N100" i="64" s="1"/>
  <c r="B100" i="64"/>
  <c r="Z99" i="64"/>
  <c r="V99" i="64"/>
  <c r="T99" i="64"/>
  <c r="P99" i="64"/>
  <c r="X99" i="64" s="1"/>
  <c r="H99" i="64"/>
  <c r="D99" i="64"/>
  <c r="L99" i="64" s="1"/>
  <c r="N99" i="64" s="1"/>
  <c r="B99" i="64"/>
  <c r="Z98" i="64"/>
  <c r="X98" i="64"/>
  <c r="N98" i="64"/>
  <c r="L98" i="64"/>
  <c r="F98" i="64"/>
  <c r="B98" i="64"/>
  <c r="Z97" i="64"/>
  <c r="X97" i="64"/>
  <c r="V97" i="64"/>
  <c r="N97" i="64"/>
  <c r="L97" i="64"/>
  <c r="B97" i="64"/>
  <c r="Z96" i="64"/>
  <c r="X96" i="64"/>
  <c r="N96" i="64"/>
  <c r="L96" i="64"/>
  <c r="B96" i="64"/>
  <c r="X95" i="64"/>
  <c r="V95" i="64"/>
  <c r="T95" i="64"/>
  <c r="Z95" i="64" s="1"/>
  <c r="P95" i="64"/>
  <c r="L95" i="64"/>
  <c r="H95" i="64"/>
  <c r="N95" i="64" s="1"/>
  <c r="D95" i="64"/>
  <c r="B95" i="64"/>
  <c r="Z94" i="64"/>
  <c r="X94" i="64"/>
  <c r="R94" i="64"/>
  <c r="L94" i="64"/>
  <c r="N94" i="64" s="1"/>
  <c r="B94" i="64"/>
  <c r="T93" i="64"/>
  <c r="Z93" i="64" s="1"/>
  <c r="P93" i="64"/>
  <c r="X93" i="64" s="1"/>
  <c r="H93" i="64"/>
  <c r="N93" i="64" s="1"/>
  <c r="D93" i="64"/>
  <c r="L93" i="64" s="1"/>
  <c r="B93" i="64"/>
  <c r="Z92" i="64"/>
  <c r="X92" i="64"/>
  <c r="L92" i="64"/>
  <c r="N92" i="64" s="1"/>
  <c r="B92" i="64"/>
  <c r="Z91" i="64"/>
  <c r="T91" i="64"/>
  <c r="P91" i="64"/>
  <c r="X91" i="64" s="1"/>
  <c r="N91" i="64"/>
  <c r="H91" i="64"/>
  <c r="D91" i="64"/>
  <c r="L91" i="64" s="1"/>
  <c r="B91" i="64"/>
  <c r="X90" i="64"/>
  <c r="Z90" i="64" s="1"/>
  <c r="N90" i="64"/>
  <c r="L90" i="64"/>
  <c r="F90" i="64"/>
  <c r="B90" i="64"/>
  <c r="X89" i="64"/>
  <c r="Z89" i="64" s="1"/>
  <c r="N89" i="64"/>
  <c r="L89" i="64"/>
  <c r="B89" i="64"/>
  <c r="Z88" i="64"/>
  <c r="X88" i="64"/>
  <c r="N88" i="64"/>
  <c r="L88" i="64"/>
  <c r="F88" i="64"/>
  <c r="B88" i="64"/>
  <c r="Z87" i="64"/>
  <c r="X87" i="64"/>
  <c r="V87" i="64"/>
  <c r="N87" i="64"/>
  <c r="L87" i="64"/>
  <c r="B87" i="64"/>
  <c r="Z86" i="64"/>
  <c r="X86" i="64"/>
  <c r="N86" i="64"/>
  <c r="L86" i="64"/>
  <c r="B86" i="64"/>
  <c r="Z85" i="64"/>
  <c r="X85" i="64"/>
  <c r="V85" i="64"/>
  <c r="N85" i="64"/>
  <c r="L85" i="64"/>
  <c r="B85" i="64"/>
  <c r="X84" i="64"/>
  <c r="Z84" i="64" s="1"/>
  <c r="T84" i="64"/>
  <c r="R84" i="64"/>
  <c r="P84" i="64"/>
  <c r="H84" i="64"/>
  <c r="F84" i="64"/>
  <c r="D84" i="64"/>
  <c r="L84" i="64" s="1"/>
  <c r="N84" i="64" s="1"/>
  <c r="B84" i="64"/>
  <c r="Z83" i="64"/>
  <c r="X83" i="64"/>
  <c r="N83" i="64"/>
  <c r="L83" i="64"/>
  <c r="B83" i="64"/>
  <c r="X82" i="64"/>
  <c r="Z82" i="64" s="1"/>
  <c r="V82" i="64"/>
  <c r="L82" i="64"/>
  <c r="N82" i="64" s="1"/>
  <c r="B82" i="64"/>
  <c r="T81" i="64"/>
  <c r="P81" i="64"/>
  <c r="H81" i="64"/>
  <c r="F81" i="64"/>
  <c r="D81" i="64"/>
  <c r="B81" i="64"/>
  <c r="Z80" i="64"/>
  <c r="X80" i="64"/>
  <c r="V80" i="64"/>
  <c r="N80" i="64"/>
  <c r="L80" i="64"/>
  <c r="B80" i="64"/>
  <c r="Z79" i="64"/>
  <c r="X79" i="64"/>
  <c r="V79" i="64"/>
  <c r="N79" i="64"/>
  <c r="L79" i="64"/>
  <c r="B79" i="64"/>
  <c r="Z78" i="64"/>
  <c r="X78" i="64"/>
  <c r="N78" i="64"/>
  <c r="L78" i="64"/>
  <c r="B78" i="64"/>
  <c r="T77" i="64"/>
  <c r="P77" i="64"/>
  <c r="X77" i="64" s="1"/>
  <c r="Z77" i="64" s="1"/>
  <c r="L77" i="64"/>
  <c r="N77" i="64" s="1"/>
  <c r="H77" i="64"/>
  <c r="D77" i="64"/>
  <c r="B77" i="64"/>
  <c r="Z76" i="64"/>
  <c r="X76" i="64"/>
  <c r="N76" i="64"/>
  <c r="L76" i="64"/>
  <c r="B76" i="64"/>
  <c r="Z75" i="64"/>
  <c r="X75" i="64"/>
  <c r="N75" i="64"/>
  <c r="L75" i="64"/>
  <c r="B75" i="64"/>
  <c r="Z74" i="64"/>
  <c r="X74" i="64"/>
  <c r="N74" i="64"/>
  <c r="L74" i="64"/>
  <c r="B74" i="64"/>
  <c r="X73" i="64"/>
  <c r="Z73" i="64" s="1"/>
  <c r="V73" i="64"/>
  <c r="R73" i="64"/>
  <c r="N73" i="64"/>
  <c r="L73" i="64"/>
  <c r="B73" i="64"/>
  <c r="Z72" i="64"/>
  <c r="X72" i="64"/>
  <c r="T72" i="64"/>
  <c r="P72" i="64"/>
  <c r="L72" i="64"/>
  <c r="N72" i="64" s="1"/>
  <c r="H72" i="64"/>
  <c r="D72" i="64"/>
  <c r="B72" i="64"/>
  <c r="Z71" i="64"/>
  <c r="X71" i="64"/>
  <c r="N71" i="64"/>
  <c r="L71" i="64"/>
  <c r="B71" i="64"/>
  <c r="X70" i="64"/>
  <c r="Z70" i="64" s="1"/>
  <c r="T70" i="64"/>
  <c r="P70" i="64"/>
  <c r="H70" i="64"/>
  <c r="D70" i="64"/>
  <c r="B70" i="64"/>
  <c r="X69" i="64"/>
  <c r="Z69" i="64" s="1"/>
  <c r="V69" i="64"/>
  <c r="L69" i="64"/>
  <c r="N69" i="64" s="1"/>
  <c r="B69" i="64"/>
  <c r="V68" i="64"/>
  <c r="T68" i="64"/>
  <c r="R68" i="64"/>
  <c r="P68" i="64"/>
  <c r="H68" i="64"/>
  <c r="F68" i="64"/>
  <c r="D68" i="64"/>
  <c r="L68" i="64" s="1"/>
  <c r="B68" i="64"/>
  <c r="Z67" i="64"/>
  <c r="X67" i="64"/>
  <c r="R67" i="64"/>
  <c r="N67" i="64"/>
  <c r="L67" i="64"/>
  <c r="B67" i="64"/>
  <c r="Z66" i="64"/>
  <c r="X66" i="64"/>
  <c r="T66" i="64"/>
  <c r="P66" i="64"/>
  <c r="N66" i="64"/>
  <c r="H66" i="64"/>
  <c r="D66" i="64"/>
  <c r="L66" i="64" s="1"/>
  <c r="B66" i="64"/>
  <c r="Z65" i="64"/>
  <c r="X65" i="64"/>
  <c r="R65" i="64"/>
  <c r="N65" i="64"/>
  <c r="L65" i="64"/>
  <c r="B65" i="64"/>
  <c r="T64" i="64"/>
  <c r="P64" i="64"/>
  <c r="H64" i="64"/>
  <c r="D64" i="64"/>
  <c r="B64" i="64"/>
  <c r="X63" i="64"/>
  <c r="Z63" i="64" s="1"/>
  <c r="V63" i="64"/>
  <c r="L63" i="64"/>
  <c r="N63" i="64" s="1"/>
  <c r="B63" i="64"/>
  <c r="T62" i="64"/>
  <c r="R62" i="64"/>
  <c r="P62" i="64"/>
  <c r="H62" i="64"/>
  <c r="D62" i="64"/>
  <c r="L62" i="64" s="1"/>
  <c r="B62" i="64"/>
  <c r="X61" i="64"/>
  <c r="Z61" i="64" s="1"/>
  <c r="N61" i="64"/>
  <c r="L61" i="64"/>
  <c r="F61" i="64"/>
  <c r="B61" i="64"/>
  <c r="T60" i="64"/>
  <c r="R60" i="64"/>
  <c r="P60" i="64"/>
  <c r="X60" i="64" s="1"/>
  <c r="Z60" i="64" s="1"/>
  <c r="H60" i="64"/>
  <c r="D60" i="64"/>
  <c r="L60" i="64" s="1"/>
  <c r="N60" i="64" s="1"/>
  <c r="B60" i="64"/>
  <c r="Z59" i="64"/>
  <c r="X59" i="64"/>
  <c r="L59" i="64"/>
  <c r="N59" i="64" s="1"/>
  <c r="B59" i="64"/>
  <c r="T58" i="64"/>
  <c r="P58" i="64"/>
  <c r="L58" i="64"/>
  <c r="H58" i="64"/>
  <c r="N58" i="64" s="1"/>
  <c r="D58" i="64"/>
  <c r="B58" i="64"/>
  <c r="Z57" i="64"/>
  <c r="X57" i="64"/>
  <c r="N57" i="64"/>
  <c r="L57" i="64"/>
  <c r="J57" i="64"/>
  <c r="B57" i="64"/>
  <c r="Z56" i="64"/>
  <c r="X56" i="64"/>
  <c r="V56" i="64"/>
  <c r="N56" i="64"/>
  <c r="L56" i="64"/>
  <c r="B56" i="64"/>
  <c r="X55" i="64"/>
  <c r="Z55" i="64" s="1"/>
  <c r="V55" i="64"/>
  <c r="T55" i="64"/>
  <c r="P55" i="64"/>
  <c r="H55" i="64"/>
  <c r="D55" i="64"/>
  <c r="L55" i="64" s="1"/>
  <c r="N55" i="64" s="1"/>
  <c r="B55" i="64"/>
  <c r="Z54" i="64"/>
  <c r="X54" i="64"/>
  <c r="N54" i="64"/>
  <c r="L54" i="64"/>
  <c r="B54" i="64"/>
  <c r="X53" i="64"/>
  <c r="Z53" i="64" s="1"/>
  <c r="V53" i="64"/>
  <c r="N53" i="64"/>
  <c r="L53" i="64"/>
  <c r="B53" i="64"/>
  <c r="X52" i="64"/>
  <c r="Z52" i="64" s="1"/>
  <c r="T52" i="64"/>
  <c r="R52" i="64"/>
  <c r="P52" i="64"/>
  <c r="L52" i="64"/>
  <c r="N52" i="64" s="1"/>
  <c r="H52" i="64"/>
  <c r="F52" i="64"/>
  <c r="D52" i="64"/>
  <c r="B52" i="64"/>
  <c r="Z51" i="64"/>
  <c r="X51" i="64"/>
  <c r="R51" i="64"/>
  <c r="L51" i="64"/>
  <c r="N51" i="64" s="1"/>
  <c r="B51" i="64"/>
  <c r="Z50" i="64"/>
  <c r="X50" i="64"/>
  <c r="V50" i="64"/>
  <c r="L50" i="64"/>
  <c r="N50" i="64" s="1"/>
  <c r="F50" i="64"/>
  <c r="B50" i="64"/>
  <c r="Z49" i="64"/>
  <c r="X49" i="64"/>
  <c r="L49" i="64"/>
  <c r="N49" i="64" s="1"/>
  <c r="B49" i="64"/>
  <c r="X48" i="64"/>
  <c r="Z48" i="64" s="1"/>
  <c r="R48" i="64"/>
  <c r="N48" i="64"/>
  <c r="L48" i="64"/>
  <c r="B48" i="64"/>
  <c r="T47" i="64"/>
  <c r="R47" i="64"/>
  <c r="P47" i="64"/>
  <c r="H47" i="64"/>
  <c r="F47" i="64"/>
  <c r="D47" i="64"/>
  <c r="L47" i="64" s="1"/>
  <c r="N47" i="64" s="1"/>
  <c r="B47" i="64"/>
  <c r="X46" i="64"/>
  <c r="Z46" i="64" s="1"/>
  <c r="N46" i="64"/>
  <c r="L46" i="64"/>
  <c r="B46" i="64"/>
  <c r="T45" i="64"/>
  <c r="P45" i="64"/>
  <c r="X45" i="64" s="1"/>
  <c r="Z45" i="64" s="1"/>
  <c r="H45" i="64"/>
  <c r="D45" i="64"/>
  <c r="L45" i="64" s="1"/>
  <c r="N45" i="64" s="1"/>
  <c r="B45" i="64"/>
  <c r="Z44" i="64"/>
  <c r="X44" i="64"/>
  <c r="N44" i="64"/>
  <c r="L44" i="64"/>
  <c r="F44" i="64"/>
  <c r="B44" i="64"/>
  <c r="X43" i="64"/>
  <c r="Z43" i="64" s="1"/>
  <c r="N43" i="64"/>
  <c r="L43" i="64"/>
  <c r="F43" i="64"/>
  <c r="B43" i="64"/>
  <c r="T42" i="64"/>
  <c r="R42" i="64"/>
  <c r="P42" i="64"/>
  <c r="X42" i="64" s="1"/>
  <c r="Z42" i="64" s="1"/>
  <c r="H42" i="64"/>
  <c r="F42" i="64"/>
  <c r="D42" i="64"/>
  <c r="L42" i="64" s="1"/>
  <c r="N42" i="64" s="1"/>
  <c r="B42" i="64"/>
  <c r="Z41" i="64"/>
  <c r="X41" i="64"/>
  <c r="L41" i="64"/>
  <c r="N41" i="64" s="1"/>
  <c r="B41" i="64"/>
  <c r="X40" i="64"/>
  <c r="V40" i="64"/>
  <c r="T40" i="64"/>
  <c r="Z40" i="64" s="1"/>
  <c r="R40" i="64"/>
  <c r="P40" i="64"/>
  <c r="H40" i="64"/>
  <c r="D40" i="64"/>
  <c r="L40" i="64" s="1"/>
  <c r="B40" i="64"/>
  <c r="Z39" i="64"/>
  <c r="X39" i="64"/>
  <c r="V39" i="64"/>
  <c r="N39" i="64"/>
  <c r="L39" i="64"/>
  <c r="B39" i="64"/>
  <c r="Z38" i="64"/>
  <c r="X38" i="64"/>
  <c r="V38" i="64"/>
  <c r="N38" i="64"/>
  <c r="L38" i="64"/>
  <c r="B38" i="64"/>
  <c r="X37" i="64"/>
  <c r="Z37" i="64" s="1"/>
  <c r="L37" i="64"/>
  <c r="N37" i="64" s="1"/>
  <c r="F37" i="64"/>
  <c r="B37" i="64"/>
  <c r="X36" i="64"/>
  <c r="Z36" i="64" s="1"/>
  <c r="R36" i="64"/>
  <c r="N36" i="64"/>
  <c r="L36" i="64"/>
  <c r="F36" i="64"/>
  <c r="B36" i="64"/>
  <c r="Z35" i="64"/>
  <c r="X35" i="64"/>
  <c r="N35" i="64"/>
  <c r="L35" i="64"/>
  <c r="B35" i="64"/>
  <c r="Z34" i="64"/>
  <c r="X34" i="64"/>
  <c r="V34" i="64"/>
  <c r="N34" i="64"/>
  <c r="L34" i="64"/>
  <c r="F34" i="64"/>
  <c r="B34" i="64"/>
  <c r="Z33" i="64"/>
  <c r="X33" i="64"/>
  <c r="L33" i="64"/>
  <c r="N33" i="64" s="1"/>
  <c r="F33" i="64"/>
  <c r="B33" i="64"/>
  <c r="Z32" i="64"/>
  <c r="X32" i="64"/>
  <c r="V32" i="64"/>
  <c r="R32" i="64"/>
  <c r="N32" i="64"/>
  <c r="L32" i="64"/>
  <c r="F32" i="64"/>
  <c r="B32" i="64"/>
  <c r="X31" i="64"/>
  <c r="Z31" i="64" s="1"/>
  <c r="N31" i="64"/>
  <c r="L31" i="64"/>
  <c r="B31" i="64"/>
  <c r="X30" i="64"/>
  <c r="Z30" i="64" s="1"/>
  <c r="V30" i="64"/>
  <c r="R30" i="64"/>
  <c r="N30" i="64"/>
  <c r="L30" i="64"/>
  <c r="F30" i="64"/>
  <c r="B30" i="64"/>
  <c r="T29" i="64"/>
  <c r="R29" i="64"/>
  <c r="P29" i="64"/>
  <c r="X29" i="64" s="1"/>
  <c r="Z29" i="64" s="1"/>
  <c r="L29" i="64"/>
  <c r="N29" i="64" s="1"/>
  <c r="H29" i="64"/>
  <c r="F29" i="64"/>
  <c r="D29" i="64"/>
  <c r="B29" i="64"/>
  <c r="X28" i="64"/>
  <c r="Z28" i="64" s="1"/>
  <c r="R28" i="64"/>
  <c r="N28" i="64"/>
  <c r="L28" i="64"/>
  <c r="B28" i="64"/>
  <c r="Z27" i="64"/>
  <c r="X27" i="64"/>
  <c r="V27" i="64"/>
  <c r="N27" i="64"/>
  <c r="L27" i="64"/>
  <c r="F27" i="64"/>
  <c r="B27" i="64"/>
  <c r="Z26" i="64"/>
  <c r="X26" i="64"/>
  <c r="V26" i="64"/>
  <c r="R26" i="64"/>
  <c r="L26" i="64"/>
  <c r="N26" i="64" s="1"/>
  <c r="B26" i="64"/>
  <c r="Z25" i="64"/>
  <c r="X25" i="64"/>
  <c r="V25" i="64"/>
  <c r="R25" i="64"/>
  <c r="N25" i="64"/>
  <c r="L25" i="64"/>
  <c r="B25" i="64"/>
  <c r="X24" i="64"/>
  <c r="Z24" i="64" s="1"/>
  <c r="R24" i="64"/>
  <c r="N24" i="64"/>
  <c r="L24" i="64"/>
  <c r="B24" i="64"/>
  <c r="Z23" i="64"/>
  <c r="X23" i="64"/>
  <c r="V23" i="64"/>
  <c r="N23" i="64"/>
  <c r="L23" i="64"/>
  <c r="F23" i="64"/>
  <c r="B23" i="64"/>
  <c r="Z22" i="64"/>
  <c r="X22" i="64"/>
  <c r="V22" i="64"/>
  <c r="R22" i="64"/>
  <c r="L22" i="64"/>
  <c r="N22" i="64" s="1"/>
  <c r="B22" i="64"/>
  <c r="X21" i="64"/>
  <c r="Z21" i="64" s="1"/>
  <c r="V21" i="64"/>
  <c r="R21" i="64"/>
  <c r="L21" i="64"/>
  <c r="N21" i="64" s="1"/>
  <c r="B21" i="64"/>
  <c r="X20" i="64"/>
  <c r="Z20" i="64" s="1"/>
  <c r="R20" i="64"/>
  <c r="N20" i="64"/>
  <c r="L20" i="64"/>
  <c r="B20" i="64"/>
  <c r="Z19" i="64"/>
  <c r="X19" i="64"/>
  <c r="V19" i="64"/>
  <c r="T19" i="64"/>
  <c r="P19" i="64"/>
  <c r="L19" i="64"/>
  <c r="N19" i="64" s="1"/>
  <c r="H19" i="64"/>
  <c r="D19" i="64"/>
  <c r="B19" i="64"/>
  <c r="T18" i="64"/>
  <c r="P18" i="64"/>
  <c r="X18" i="64" s="1"/>
  <c r="H18" i="64"/>
  <c r="D18" i="64"/>
  <c r="L18" i="64" s="1"/>
  <c r="N18" i="64" s="1"/>
  <c r="T14" i="64"/>
  <c r="Z14" i="64" s="1"/>
  <c r="P14" i="64"/>
  <c r="X14" i="64" s="1"/>
  <c r="N14" i="64"/>
  <c r="H14" i="64"/>
  <c r="D14" i="64"/>
  <c r="L14" i="64" s="1"/>
  <c r="Z12" i="64"/>
  <c r="X12" i="64"/>
  <c r="T12" i="64"/>
  <c r="V75" i="64" s="1"/>
  <c r="P12" i="64"/>
  <c r="R75" i="64" s="1"/>
  <c r="L12" i="64"/>
  <c r="H12" i="64"/>
  <c r="D12" i="64"/>
  <c r="F97" i="64" s="1"/>
  <c r="D6" i="64"/>
  <c r="D4" i="64"/>
  <c r="F69" i="61"/>
  <c r="F66" i="61"/>
  <c r="Z64" i="61"/>
  <c r="X64" i="61"/>
  <c r="R64" i="61"/>
  <c r="N64" i="61"/>
  <c r="L64" i="61"/>
  <c r="V62" i="61"/>
  <c r="X60" i="61"/>
  <c r="V60" i="61"/>
  <c r="T60" i="61"/>
  <c r="Z60" i="61" s="1"/>
  <c r="P60" i="61"/>
  <c r="H60" i="61"/>
  <c r="N60" i="61" s="1"/>
  <c r="D60" i="61"/>
  <c r="X58" i="61"/>
  <c r="Z58" i="61" s="1"/>
  <c r="V58" i="61"/>
  <c r="N58" i="61"/>
  <c r="L58" i="61"/>
  <c r="F58" i="61"/>
  <c r="B58" i="61"/>
  <c r="T57" i="61"/>
  <c r="R57" i="61"/>
  <c r="P57" i="61"/>
  <c r="X57" i="61" s="1"/>
  <c r="Z57" i="61" s="1"/>
  <c r="L57" i="61"/>
  <c r="N57" i="61" s="1"/>
  <c r="H57" i="61"/>
  <c r="F57" i="61"/>
  <c r="D57" i="61"/>
  <c r="B57" i="61"/>
  <c r="X56" i="61"/>
  <c r="Z56" i="61" s="1"/>
  <c r="R56" i="61"/>
  <c r="N56" i="61"/>
  <c r="L56" i="61"/>
  <c r="B56" i="61"/>
  <c r="Z55" i="61"/>
  <c r="X55" i="61"/>
  <c r="V55" i="61"/>
  <c r="T55" i="61"/>
  <c r="P55" i="61"/>
  <c r="L55" i="61"/>
  <c r="N55" i="61" s="1"/>
  <c r="H55" i="61"/>
  <c r="D55" i="61"/>
  <c r="B55" i="61"/>
  <c r="X54" i="61"/>
  <c r="Z54" i="61" s="1"/>
  <c r="L54" i="61"/>
  <c r="N54" i="61" s="1"/>
  <c r="B54" i="61"/>
  <c r="X53" i="61"/>
  <c r="V53" i="61"/>
  <c r="T53" i="61"/>
  <c r="Z53" i="61" s="1"/>
  <c r="R53" i="61"/>
  <c r="P53" i="61"/>
  <c r="H53" i="61"/>
  <c r="D53" i="61"/>
  <c r="L53" i="61" s="1"/>
  <c r="B53" i="61"/>
  <c r="Z52" i="61"/>
  <c r="X52" i="61"/>
  <c r="R52" i="61"/>
  <c r="N52" i="61"/>
  <c r="L52" i="61"/>
  <c r="F52" i="61"/>
  <c r="B52" i="61"/>
  <c r="X51" i="61"/>
  <c r="Z51" i="61" s="1"/>
  <c r="N51" i="61"/>
  <c r="L51" i="61"/>
  <c r="B51" i="61"/>
  <c r="X50" i="61"/>
  <c r="V50" i="61"/>
  <c r="T50" i="61"/>
  <c r="Z50" i="61" s="1"/>
  <c r="P50" i="61"/>
  <c r="H50" i="61"/>
  <c r="D50" i="61"/>
  <c r="B50" i="61"/>
  <c r="Z49" i="61"/>
  <c r="X49" i="61"/>
  <c r="V49" i="61"/>
  <c r="L49" i="61"/>
  <c r="N49" i="61" s="1"/>
  <c r="B49" i="61"/>
  <c r="T48" i="61"/>
  <c r="R48" i="61"/>
  <c r="P48" i="61"/>
  <c r="X48" i="61" s="1"/>
  <c r="H48" i="61"/>
  <c r="N48" i="61" s="1"/>
  <c r="D48" i="61"/>
  <c r="L48" i="61" s="1"/>
  <c r="B48" i="61"/>
  <c r="Z47" i="61"/>
  <c r="X47" i="61"/>
  <c r="V47" i="61"/>
  <c r="R47" i="61"/>
  <c r="N47" i="61"/>
  <c r="L47" i="61"/>
  <c r="B47" i="61"/>
  <c r="T46" i="61"/>
  <c r="Z46" i="61" s="1"/>
  <c r="P46" i="61"/>
  <c r="X46" i="61" s="1"/>
  <c r="N46" i="61"/>
  <c r="H46" i="61"/>
  <c r="D46" i="61"/>
  <c r="L46" i="61" s="1"/>
  <c r="B46" i="61"/>
  <c r="Z45" i="61"/>
  <c r="X45" i="61"/>
  <c r="N45" i="61"/>
  <c r="L45" i="61"/>
  <c r="B45" i="61"/>
  <c r="T44" i="61"/>
  <c r="P44" i="61"/>
  <c r="L44" i="61"/>
  <c r="H44" i="61"/>
  <c r="N44" i="61" s="1"/>
  <c r="D44" i="61"/>
  <c r="B44" i="61"/>
  <c r="Z43" i="61"/>
  <c r="X43" i="61"/>
  <c r="V43" i="61"/>
  <c r="N43" i="61"/>
  <c r="L43" i="61"/>
  <c r="F43" i="61"/>
  <c r="B43" i="61"/>
  <c r="V42" i="61"/>
  <c r="T42" i="61"/>
  <c r="Z42" i="61" s="1"/>
  <c r="P42" i="61"/>
  <c r="X42" i="61" s="1"/>
  <c r="H42" i="61"/>
  <c r="F42" i="61"/>
  <c r="D42" i="61"/>
  <c r="B42" i="61"/>
  <c r="X41" i="61"/>
  <c r="Z41" i="61" s="1"/>
  <c r="V41" i="61"/>
  <c r="N41" i="61"/>
  <c r="L41" i="61"/>
  <c r="B41" i="61"/>
  <c r="V40" i="61"/>
  <c r="T40" i="61"/>
  <c r="P40" i="61"/>
  <c r="X40" i="61" s="1"/>
  <c r="Z40" i="61" s="1"/>
  <c r="H40" i="61"/>
  <c r="D40" i="61"/>
  <c r="L40" i="61" s="1"/>
  <c r="B40" i="61"/>
  <c r="Z39" i="61"/>
  <c r="X39" i="61"/>
  <c r="N39" i="61"/>
  <c r="L39" i="61"/>
  <c r="B39" i="61"/>
  <c r="Z38" i="61"/>
  <c r="X38" i="61"/>
  <c r="V38" i="61"/>
  <c r="N38" i="61"/>
  <c r="L38" i="61"/>
  <c r="F38" i="61"/>
  <c r="B38" i="61"/>
  <c r="Z37" i="61"/>
  <c r="X37" i="61"/>
  <c r="N37" i="61"/>
  <c r="L37" i="61"/>
  <c r="B37" i="61"/>
  <c r="X36" i="61"/>
  <c r="Z36" i="61" s="1"/>
  <c r="R36" i="61"/>
  <c r="L36" i="61"/>
  <c r="N36" i="61" s="1"/>
  <c r="F36" i="61"/>
  <c r="B36" i="61"/>
  <c r="Z35" i="61"/>
  <c r="X35" i="61"/>
  <c r="N35" i="61"/>
  <c r="L35" i="61"/>
  <c r="B35" i="61"/>
  <c r="Z34" i="61"/>
  <c r="X34" i="61"/>
  <c r="V34" i="61"/>
  <c r="N34" i="61"/>
  <c r="L34" i="61"/>
  <c r="F34" i="61"/>
  <c r="B34" i="61"/>
  <c r="Z33" i="61"/>
  <c r="X33" i="61"/>
  <c r="V33" i="61"/>
  <c r="N33" i="61"/>
  <c r="L33" i="61"/>
  <c r="B33" i="61"/>
  <c r="Z32" i="61"/>
  <c r="X32" i="61"/>
  <c r="R32" i="61"/>
  <c r="N32" i="61"/>
  <c r="L32" i="61"/>
  <c r="F32" i="61"/>
  <c r="B32" i="61"/>
  <c r="Z31" i="61"/>
  <c r="X31" i="61"/>
  <c r="N31" i="61"/>
  <c r="L31" i="61"/>
  <c r="J31" i="61"/>
  <c r="B31" i="61"/>
  <c r="X30" i="61"/>
  <c r="Z30" i="61" s="1"/>
  <c r="V30" i="61"/>
  <c r="N30" i="61"/>
  <c r="L30" i="61"/>
  <c r="F30" i="61"/>
  <c r="B30" i="61"/>
  <c r="V29" i="61"/>
  <c r="T29" i="61"/>
  <c r="R29" i="61"/>
  <c r="P29" i="61"/>
  <c r="X29" i="61" s="1"/>
  <c r="Z29" i="61" s="1"/>
  <c r="L29" i="61"/>
  <c r="N29" i="61" s="1"/>
  <c r="H29" i="61"/>
  <c r="F29" i="61"/>
  <c r="D29" i="61"/>
  <c r="B29" i="61"/>
  <c r="Z28" i="61"/>
  <c r="X28" i="61"/>
  <c r="R28" i="61"/>
  <c r="N28" i="61"/>
  <c r="L28" i="61"/>
  <c r="B28" i="61"/>
  <c r="Z27" i="61"/>
  <c r="X27" i="61"/>
  <c r="V27" i="61"/>
  <c r="N27" i="61"/>
  <c r="L27" i="61"/>
  <c r="J27" i="61"/>
  <c r="F27" i="61"/>
  <c r="B27" i="61"/>
  <c r="Z26" i="61"/>
  <c r="X26" i="61"/>
  <c r="V26" i="61"/>
  <c r="R26" i="61"/>
  <c r="L26" i="61"/>
  <c r="N26" i="61" s="1"/>
  <c r="B26" i="61"/>
  <c r="Z25" i="61"/>
  <c r="X25" i="61"/>
  <c r="V25" i="61"/>
  <c r="R25" i="61"/>
  <c r="N25" i="61"/>
  <c r="L25" i="61"/>
  <c r="B25" i="61"/>
  <c r="X24" i="61"/>
  <c r="Z24" i="61" s="1"/>
  <c r="R24" i="61"/>
  <c r="N24" i="61"/>
  <c r="L24" i="61"/>
  <c r="B24" i="61"/>
  <c r="Z23" i="61"/>
  <c r="X23" i="61"/>
  <c r="V23" i="61"/>
  <c r="N23" i="61"/>
  <c r="L23" i="61"/>
  <c r="F23" i="61"/>
  <c r="B23" i="61"/>
  <c r="Z22" i="61"/>
  <c r="X22" i="61"/>
  <c r="V22" i="61"/>
  <c r="R22" i="61"/>
  <c r="L22" i="61"/>
  <c r="N22" i="61" s="1"/>
  <c r="B22" i="61"/>
  <c r="X21" i="61"/>
  <c r="Z21" i="61" s="1"/>
  <c r="V21" i="61"/>
  <c r="R21" i="61"/>
  <c r="L21" i="61"/>
  <c r="N21" i="61" s="1"/>
  <c r="B21" i="61"/>
  <c r="X20" i="61"/>
  <c r="Z20" i="61" s="1"/>
  <c r="R20" i="61"/>
  <c r="N20" i="61"/>
  <c r="L20" i="61"/>
  <c r="B20" i="61"/>
  <c r="Z19" i="61"/>
  <c r="X19" i="61"/>
  <c r="V19" i="61"/>
  <c r="T19" i="61"/>
  <c r="P19" i="61"/>
  <c r="L19" i="61"/>
  <c r="N19" i="61" s="1"/>
  <c r="H19" i="61"/>
  <c r="D19" i="61"/>
  <c r="B19" i="61"/>
  <c r="T18" i="61"/>
  <c r="P18" i="61"/>
  <c r="X18" i="61" s="1"/>
  <c r="H18" i="61"/>
  <c r="D18" i="61"/>
  <c r="T14" i="61"/>
  <c r="Z14" i="61" s="1"/>
  <c r="P14" i="61"/>
  <c r="N14" i="61"/>
  <c r="H14" i="61"/>
  <c r="D14" i="61"/>
  <c r="L14" i="61" s="1"/>
  <c r="Z12" i="61"/>
  <c r="X12" i="61"/>
  <c r="T12" i="61"/>
  <c r="V51" i="61" s="1"/>
  <c r="P12" i="61"/>
  <c r="R58" i="61" s="1"/>
  <c r="H12" i="61"/>
  <c r="J35" i="61" s="1"/>
  <c r="D12" i="61"/>
  <c r="F54" i="61" s="1"/>
  <c r="D6" i="61"/>
  <c r="D4" i="61"/>
  <c r="J68" i="60"/>
  <c r="J65" i="60"/>
  <c r="Z63" i="60"/>
  <c r="X63" i="60"/>
  <c r="R63" i="60"/>
  <c r="N63" i="60"/>
  <c r="L63" i="60"/>
  <c r="F63" i="60"/>
  <c r="Z59" i="60"/>
  <c r="T59" i="60"/>
  <c r="P59" i="60"/>
  <c r="X59" i="60" s="1"/>
  <c r="H59" i="60"/>
  <c r="N59" i="60" s="1"/>
  <c r="D59" i="60"/>
  <c r="L59" i="60" s="1"/>
  <c r="Z57" i="60"/>
  <c r="X57" i="60"/>
  <c r="N57" i="60"/>
  <c r="L57" i="60"/>
  <c r="F57" i="60"/>
  <c r="B57" i="60"/>
  <c r="V56" i="60"/>
  <c r="T56" i="60"/>
  <c r="Z56" i="60" s="1"/>
  <c r="P56" i="60"/>
  <c r="N56" i="60"/>
  <c r="L56" i="60"/>
  <c r="J56" i="60"/>
  <c r="H56" i="60"/>
  <c r="F56" i="60"/>
  <c r="D56" i="60"/>
  <c r="B56" i="60"/>
  <c r="X55" i="60"/>
  <c r="Z55" i="60" s="1"/>
  <c r="V55" i="60"/>
  <c r="N55" i="60"/>
  <c r="L55" i="60"/>
  <c r="F55" i="60"/>
  <c r="B55" i="60"/>
  <c r="T54" i="60"/>
  <c r="R54" i="60"/>
  <c r="P54" i="60"/>
  <c r="X54" i="60" s="1"/>
  <c r="Z54" i="60" s="1"/>
  <c r="L54" i="60"/>
  <c r="H54" i="60"/>
  <c r="N54" i="60" s="1"/>
  <c r="F54" i="60"/>
  <c r="D54" i="60"/>
  <c r="B54" i="60"/>
  <c r="X53" i="60"/>
  <c r="Z53" i="60" s="1"/>
  <c r="R53" i="60"/>
  <c r="N53" i="60"/>
  <c r="L53" i="60"/>
  <c r="B53" i="60"/>
  <c r="Z52" i="60"/>
  <c r="X52" i="60"/>
  <c r="V52" i="60"/>
  <c r="N52" i="60"/>
  <c r="L52" i="60"/>
  <c r="J52" i="60"/>
  <c r="F52" i="60"/>
  <c r="B52" i="60"/>
  <c r="T51" i="60"/>
  <c r="P51" i="60"/>
  <c r="X51" i="60" s="1"/>
  <c r="H51" i="60"/>
  <c r="F51" i="60"/>
  <c r="D51" i="60"/>
  <c r="L51" i="60" s="1"/>
  <c r="B51" i="60"/>
  <c r="X50" i="60"/>
  <c r="Z50" i="60" s="1"/>
  <c r="V50" i="60"/>
  <c r="N50" i="60"/>
  <c r="L50" i="60"/>
  <c r="B50" i="60"/>
  <c r="Z49" i="60"/>
  <c r="T49" i="60"/>
  <c r="P49" i="60"/>
  <c r="X49" i="60" s="1"/>
  <c r="H49" i="60"/>
  <c r="D49" i="60"/>
  <c r="L49" i="60" s="1"/>
  <c r="B49" i="60"/>
  <c r="Z48" i="60"/>
  <c r="X48" i="60"/>
  <c r="N48" i="60"/>
  <c r="L48" i="60"/>
  <c r="J48" i="60"/>
  <c r="B48" i="60"/>
  <c r="X47" i="60"/>
  <c r="Z47" i="60" s="1"/>
  <c r="V47" i="60"/>
  <c r="N47" i="60"/>
  <c r="L47" i="60"/>
  <c r="F47" i="60"/>
  <c r="B47" i="60"/>
  <c r="Z46" i="60"/>
  <c r="T46" i="60"/>
  <c r="R46" i="60"/>
  <c r="P46" i="60"/>
  <c r="X46" i="60" s="1"/>
  <c r="L46" i="60"/>
  <c r="H46" i="60"/>
  <c r="N46" i="60" s="1"/>
  <c r="F46" i="60"/>
  <c r="D46" i="60"/>
  <c r="B46" i="60"/>
  <c r="X45" i="60"/>
  <c r="Z45" i="60" s="1"/>
  <c r="R45" i="60"/>
  <c r="N45" i="60"/>
  <c r="L45" i="60"/>
  <c r="B45" i="60"/>
  <c r="Z44" i="60"/>
  <c r="X44" i="60"/>
  <c r="V44" i="60"/>
  <c r="T44" i="60"/>
  <c r="P44" i="60"/>
  <c r="N44" i="60"/>
  <c r="L44" i="60"/>
  <c r="H44" i="60"/>
  <c r="D44" i="60"/>
  <c r="B44" i="60"/>
  <c r="X43" i="60"/>
  <c r="Z43" i="60" s="1"/>
  <c r="L43" i="60"/>
  <c r="N43" i="60" s="1"/>
  <c r="J43" i="60"/>
  <c r="B43" i="60"/>
  <c r="X42" i="60"/>
  <c r="V42" i="60"/>
  <c r="T42" i="60"/>
  <c r="Z42" i="60" s="1"/>
  <c r="R42" i="60"/>
  <c r="P42" i="60"/>
  <c r="J42" i="60"/>
  <c r="H42" i="60"/>
  <c r="D42" i="60"/>
  <c r="B42" i="60"/>
  <c r="X41" i="60"/>
  <c r="Z41" i="60" s="1"/>
  <c r="R41" i="60"/>
  <c r="L41" i="60"/>
  <c r="N41" i="60" s="1"/>
  <c r="F41" i="60"/>
  <c r="B41" i="60"/>
  <c r="X40" i="60"/>
  <c r="T40" i="60"/>
  <c r="Z40" i="60" s="1"/>
  <c r="R40" i="60"/>
  <c r="P40" i="60"/>
  <c r="N40" i="60"/>
  <c r="H40" i="60"/>
  <c r="F40" i="60"/>
  <c r="D40" i="60"/>
  <c r="L40" i="60" s="1"/>
  <c r="B40" i="60"/>
  <c r="Z39" i="60"/>
  <c r="X39" i="60"/>
  <c r="R39" i="60"/>
  <c r="N39" i="60"/>
  <c r="L39" i="60"/>
  <c r="B39" i="60"/>
  <c r="Z38" i="60"/>
  <c r="X38" i="60"/>
  <c r="N38" i="60"/>
  <c r="L38" i="60"/>
  <c r="J38" i="60"/>
  <c r="B38" i="60"/>
  <c r="Z37" i="60"/>
  <c r="X37" i="60"/>
  <c r="R37" i="60"/>
  <c r="N37" i="60"/>
  <c r="L37" i="60"/>
  <c r="B37" i="60"/>
  <c r="Z36" i="60"/>
  <c r="X36" i="60"/>
  <c r="V36" i="60"/>
  <c r="N36" i="60"/>
  <c r="L36" i="60"/>
  <c r="J36" i="60"/>
  <c r="F36" i="60"/>
  <c r="B36" i="60"/>
  <c r="Z35" i="60"/>
  <c r="X35" i="60"/>
  <c r="R35" i="60"/>
  <c r="N35" i="60"/>
  <c r="L35" i="60"/>
  <c r="B35" i="60"/>
  <c r="Z34" i="60"/>
  <c r="X34" i="60"/>
  <c r="R34" i="60"/>
  <c r="N34" i="60"/>
  <c r="L34" i="60"/>
  <c r="J34" i="60"/>
  <c r="B34" i="60"/>
  <c r="Z33" i="60"/>
  <c r="X33" i="60"/>
  <c r="R33" i="60"/>
  <c r="N33" i="60"/>
  <c r="L33" i="60"/>
  <c r="B33" i="60"/>
  <c r="Z32" i="60"/>
  <c r="X32" i="60"/>
  <c r="V32" i="60"/>
  <c r="N32" i="60"/>
  <c r="L32" i="60"/>
  <c r="J32" i="60"/>
  <c r="F32" i="60"/>
  <c r="B32" i="60"/>
  <c r="Z31" i="60"/>
  <c r="X31" i="60"/>
  <c r="R31" i="60"/>
  <c r="L31" i="60"/>
  <c r="N31" i="60" s="1"/>
  <c r="B31" i="60"/>
  <c r="Z30" i="60"/>
  <c r="X30" i="60"/>
  <c r="R30" i="60"/>
  <c r="N30" i="60"/>
  <c r="L30" i="60"/>
  <c r="J30" i="60"/>
  <c r="B30" i="60"/>
  <c r="T29" i="60"/>
  <c r="R29" i="60"/>
  <c r="P29" i="60"/>
  <c r="X29" i="60" s="1"/>
  <c r="H29" i="60"/>
  <c r="D29" i="60"/>
  <c r="L29" i="60" s="1"/>
  <c r="B29" i="60"/>
  <c r="Z28" i="60"/>
  <c r="X28" i="60"/>
  <c r="V28" i="60"/>
  <c r="R28" i="60"/>
  <c r="L28" i="60"/>
  <c r="N28" i="60" s="1"/>
  <c r="B28" i="60"/>
  <c r="X27" i="60"/>
  <c r="Z27" i="60" s="1"/>
  <c r="L27" i="60"/>
  <c r="N27" i="60" s="1"/>
  <c r="J27" i="60"/>
  <c r="B27" i="60"/>
  <c r="X26" i="60"/>
  <c r="Z26" i="60" s="1"/>
  <c r="V26" i="60"/>
  <c r="N26" i="60"/>
  <c r="L26" i="60"/>
  <c r="B26" i="60"/>
  <c r="Z25" i="60"/>
  <c r="X25" i="60"/>
  <c r="V25" i="60"/>
  <c r="N25" i="60"/>
  <c r="L25" i="60"/>
  <c r="F25" i="60"/>
  <c r="B25" i="60"/>
  <c r="Z24" i="60"/>
  <c r="X24" i="60"/>
  <c r="V24" i="60"/>
  <c r="R24" i="60"/>
  <c r="L24" i="60"/>
  <c r="N24" i="60" s="1"/>
  <c r="B24" i="60"/>
  <c r="X23" i="60"/>
  <c r="Z23" i="60" s="1"/>
  <c r="L23" i="60"/>
  <c r="N23" i="60" s="1"/>
  <c r="J23" i="60"/>
  <c r="B23" i="60"/>
  <c r="X22" i="60"/>
  <c r="Z22" i="60" s="1"/>
  <c r="V22" i="60"/>
  <c r="N22" i="60"/>
  <c r="L22" i="60"/>
  <c r="B22" i="60"/>
  <c r="Z21" i="60"/>
  <c r="X21" i="60"/>
  <c r="V21" i="60"/>
  <c r="L21" i="60"/>
  <c r="N21" i="60" s="1"/>
  <c r="F21" i="60"/>
  <c r="B21" i="60"/>
  <c r="Z20" i="60"/>
  <c r="X20" i="60"/>
  <c r="V20" i="60"/>
  <c r="R20" i="60"/>
  <c r="L20" i="60"/>
  <c r="N20" i="60" s="1"/>
  <c r="B20" i="60"/>
  <c r="T19" i="60"/>
  <c r="P19" i="60"/>
  <c r="X19" i="60" s="1"/>
  <c r="J19" i="60"/>
  <c r="H19" i="60"/>
  <c r="D19" i="60"/>
  <c r="L19" i="60" s="1"/>
  <c r="N19" i="60" s="1"/>
  <c r="B19" i="60"/>
  <c r="T18" i="60"/>
  <c r="R18" i="60"/>
  <c r="P18" i="60"/>
  <c r="H18" i="60"/>
  <c r="F18" i="60"/>
  <c r="D18" i="60"/>
  <c r="R16" i="60"/>
  <c r="P16" i="60"/>
  <c r="F16" i="60"/>
  <c r="Z14" i="60"/>
  <c r="T14" i="60"/>
  <c r="R14" i="60"/>
  <c r="P14" i="60"/>
  <c r="X14" i="60" s="1"/>
  <c r="H14" i="60"/>
  <c r="N14" i="60" s="1"/>
  <c r="F14" i="60"/>
  <c r="D14" i="60"/>
  <c r="Z12" i="60"/>
  <c r="T12" i="60"/>
  <c r="V38" i="60" s="1"/>
  <c r="P12" i="60"/>
  <c r="R56" i="60" s="1"/>
  <c r="N12" i="60"/>
  <c r="L12" i="60"/>
  <c r="H12" i="60"/>
  <c r="J44" i="60" s="1"/>
  <c r="D12" i="60"/>
  <c r="F43" i="60" s="1"/>
  <c r="D6" i="60"/>
  <c r="D4" i="60"/>
  <c r="Z76" i="59"/>
  <c r="X76" i="59"/>
  <c r="N76" i="59"/>
  <c r="L76" i="59"/>
  <c r="R74" i="59"/>
  <c r="T72" i="59"/>
  <c r="Z72" i="59" s="1"/>
  <c r="R72" i="59"/>
  <c r="P72" i="59"/>
  <c r="N72" i="59"/>
  <c r="H72" i="59"/>
  <c r="F72" i="59"/>
  <c r="D72" i="59"/>
  <c r="L72" i="59" s="1"/>
  <c r="Z70" i="59"/>
  <c r="X70" i="59"/>
  <c r="N70" i="59"/>
  <c r="L70" i="59"/>
  <c r="B70" i="59"/>
  <c r="X69" i="59"/>
  <c r="Z69" i="59" s="1"/>
  <c r="N69" i="59"/>
  <c r="L69" i="59"/>
  <c r="F69" i="59"/>
  <c r="B69" i="59"/>
  <c r="T68" i="59"/>
  <c r="P68" i="59"/>
  <c r="X68" i="59" s="1"/>
  <c r="Z68" i="59" s="1"/>
  <c r="H68" i="59"/>
  <c r="N68" i="59" s="1"/>
  <c r="F68" i="59"/>
  <c r="D68" i="59"/>
  <c r="B68" i="59"/>
  <c r="X67" i="59"/>
  <c r="Z67" i="59" s="1"/>
  <c r="N67" i="59"/>
  <c r="L67" i="59"/>
  <c r="B67" i="59"/>
  <c r="Z66" i="59"/>
  <c r="X66" i="59"/>
  <c r="T66" i="59"/>
  <c r="P66" i="59"/>
  <c r="N66" i="59"/>
  <c r="L66" i="59"/>
  <c r="H66" i="59"/>
  <c r="D66" i="59"/>
  <c r="B66" i="59"/>
  <c r="X65" i="59"/>
  <c r="Z65" i="59" s="1"/>
  <c r="L65" i="59"/>
  <c r="N65" i="59" s="1"/>
  <c r="B65" i="59"/>
  <c r="X64" i="59"/>
  <c r="Z64" i="59" s="1"/>
  <c r="N64" i="59"/>
  <c r="L64" i="59"/>
  <c r="B64" i="59"/>
  <c r="Z63" i="59"/>
  <c r="T63" i="59"/>
  <c r="P63" i="59"/>
  <c r="X63" i="59" s="1"/>
  <c r="H63" i="59"/>
  <c r="D63" i="59"/>
  <c r="L63" i="59" s="1"/>
  <c r="N63" i="59" s="1"/>
  <c r="B63" i="59"/>
  <c r="X62" i="59"/>
  <c r="Z62" i="59" s="1"/>
  <c r="N62" i="59"/>
  <c r="L62" i="59"/>
  <c r="B62" i="59"/>
  <c r="X61" i="59"/>
  <c r="Z61" i="59" s="1"/>
  <c r="N61" i="59"/>
  <c r="L61" i="59"/>
  <c r="B61" i="59"/>
  <c r="T60" i="59"/>
  <c r="P60" i="59"/>
  <c r="X60" i="59" s="1"/>
  <c r="Z60" i="59" s="1"/>
  <c r="H60" i="59"/>
  <c r="D60" i="59"/>
  <c r="B60" i="59"/>
  <c r="X59" i="59"/>
  <c r="Z59" i="59" s="1"/>
  <c r="N59" i="59"/>
  <c r="L59" i="59"/>
  <c r="B59" i="59"/>
  <c r="Z58" i="59"/>
  <c r="X58" i="59"/>
  <c r="T58" i="59"/>
  <c r="P58" i="59"/>
  <c r="N58" i="59"/>
  <c r="L58" i="59"/>
  <c r="H58" i="59"/>
  <c r="D58" i="59"/>
  <c r="B58" i="59"/>
  <c r="Z57" i="59"/>
  <c r="X57" i="59"/>
  <c r="N57" i="59"/>
  <c r="L57" i="59"/>
  <c r="B57" i="59"/>
  <c r="X56" i="59"/>
  <c r="Z56" i="59" s="1"/>
  <c r="N56" i="59"/>
  <c r="L56" i="59"/>
  <c r="B56" i="59"/>
  <c r="Z55" i="59"/>
  <c r="X55" i="59"/>
  <c r="L55" i="59"/>
  <c r="N55" i="59" s="1"/>
  <c r="B55" i="59"/>
  <c r="Z54" i="59"/>
  <c r="X54" i="59"/>
  <c r="R54" i="59"/>
  <c r="L54" i="59"/>
  <c r="N54" i="59" s="1"/>
  <c r="B54" i="59"/>
  <c r="T53" i="59"/>
  <c r="P53" i="59"/>
  <c r="X53" i="59" s="1"/>
  <c r="Z53" i="59" s="1"/>
  <c r="H53" i="59"/>
  <c r="D53" i="59"/>
  <c r="L53" i="59" s="1"/>
  <c r="N53" i="59" s="1"/>
  <c r="B53" i="59"/>
  <c r="Z52" i="59"/>
  <c r="X52" i="59"/>
  <c r="N52" i="59"/>
  <c r="L52" i="59"/>
  <c r="B52" i="59"/>
  <c r="X51" i="59"/>
  <c r="T51" i="59"/>
  <c r="P51" i="59"/>
  <c r="L51" i="59"/>
  <c r="H51" i="59"/>
  <c r="N51" i="59" s="1"/>
  <c r="D51" i="59"/>
  <c r="B51" i="59"/>
  <c r="Z50" i="59"/>
  <c r="X50" i="59"/>
  <c r="N50" i="59"/>
  <c r="L50" i="59"/>
  <c r="F50" i="59"/>
  <c r="B50" i="59"/>
  <c r="T49" i="59"/>
  <c r="P49" i="59"/>
  <c r="H49" i="59"/>
  <c r="F49" i="59"/>
  <c r="D49" i="59"/>
  <c r="B49" i="59"/>
  <c r="X48" i="59"/>
  <c r="Z48" i="59" s="1"/>
  <c r="N48" i="59"/>
  <c r="L48" i="59"/>
  <c r="B48" i="59"/>
  <c r="T47" i="59"/>
  <c r="P47" i="59"/>
  <c r="X47" i="59" s="1"/>
  <c r="Z47" i="59" s="1"/>
  <c r="L47" i="59"/>
  <c r="N47" i="59" s="1"/>
  <c r="H47" i="59"/>
  <c r="D47" i="59"/>
  <c r="B47" i="59"/>
  <c r="X46" i="59"/>
  <c r="Z46" i="59" s="1"/>
  <c r="N46" i="59"/>
  <c r="L46" i="59"/>
  <c r="B46" i="59"/>
  <c r="X45" i="59"/>
  <c r="Z45" i="59" s="1"/>
  <c r="N45" i="59"/>
  <c r="L45" i="59"/>
  <c r="F45" i="59"/>
  <c r="B45" i="59"/>
  <c r="Z44" i="59"/>
  <c r="T44" i="59"/>
  <c r="R44" i="59"/>
  <c r="P44" i="59"/>
  <c r="X44" i="59" s="1"/>
  <c r="H44" i="59"/>
  <c r="F44" i="59"/>
  <c r="D44" i="59"/>
  <c r="B44" i="59"/>
  <c r="Z43" i="59"/>
  <c r="X43" i="59"/>
  <c r="R43" i="59"/>
  <c r="N43" i="59"/>
  <c r="L43" i="59"/>
  <c r="B43" i="59"/>
  <c r="Z42" i="59"/>
  <c r="X42" i="59"/>
  <c r="T42" i="59"/>
  <c r="P42" i="59"/>
  <c r="N42" i="59"/>
  <c r="H42" i="59"/>
  <c r="D42" i="59"/>
  <c r="L42" i="59" s="1"/>
  <c r="B42" i="59"/>
  <c r="Z41" i="59"/>
  <c r="X41" i="59"/>
  <c r="N41" i="59"/>
  <c r="L41" i="59"/>
  <c r="B41" i="59"/>
  <c r="Z40" i="59"/>
  <c r="X40" i="59"/>
  <c r="N40" i="59"/>
  <c r="L40" i="59"/>
  <c r="B40" i="59"/>
  <c r="Z39" i="59"/>
  <c r="X39" i="59"/>
  <c r="N39" i="59"/>
  <c r="L39" i="59"/>
  <c r="B39" i="59"/>
  <c r="Z38" i="59"/>
  <c r="X38" i="59"/>
  <c r="R38" i="59"/>
  <c r="L38" i="59"/>
  <c r="N38" i="59" s="1"/>
  <c r="B38" i="59"/>
  <c r="Z37" i="59"/>
  <c r="X37" i="59"/>
  <c r="N37" i="59"/>
  <c r="L37" i="59"/>
  <c r="B37" i="59"/>
  <c r="Z36" i="59"/>
  <c r="X36" i="59"/>
  <c r="N36" i="59"/>
  <c r="L36" i="59"/>
  <c r="B36" i="59"/>
  <c r="Z35" i="59"/>
  <c r="X35" i="59"/>
  <c r="L35" i="59"/>
  <c r="N35" i="59" s="1"/>
  <c r="B35" i="59"/>
  <c r="Z34" i="59"/>
  <c r="X34" i="59"/>
  <c r="N34" i="59"/>
  <c r="L34" i="59"/>
  <c r="F34" i="59"/>
  <c r="B34" i="59"/>
  <c r="X33" i="59"/>
  <c r="Z33" i="59" s="1"/>
  <c r="L33" i="59"/>
  <c r="N33" i="59" s="1"/>
  <c r="B33" i="59"/>
  <c r="Z32" i="59"/>
  <c r="X32" i="59"/>
  <c r="N32" i="59"/>
  <c r="L32" i="59"/>
  <c r="B32" i="59"/>
  <c r="Z31" i="59"/>
  <c r="T31" i="59"/>
  <c r="R31" i="59"/>
  <c r="P31" i="59"/>
  <c r="X31" i="59" s="1"/>
  <c r="H31" i="59"/>
  <c r="D31" i="59"/>
  <c r="L31" i="59" s="1"/>
  <c r="N31" i="59" s="1"/>
  <c r="B31" i="59"/>
  <c r="Z30" i="59"/>
  <c r="X30" i="59"/>
  <c r="N30" i="59"/>
  <c r="L30" i="59"/>
  <c r="B30" i="59"/>
  <c r="X29" i="59"/>
  <c r="Z29" i="59" s="1"/>
  <c r="N29" i="59"/>
  <c r="L29" i="59"/>
  <c r="B29" i="59"/>
  <c r="Z28" i="59"/>
  <c r="X28" i="59"/>
  <c r="N28" i="59"/>
  <c r="L28" i="59"/>
  <c r="F28" i="59"/>
  <c r="B28" i="59"/>
  <c r="Z27" i="59"/>
  <c r="X27" i="59"/>
  <c r="R27" i="59"/>
  <c r="N27" i="59"/>
  <c r="L27" i="59"/>
  <c r="F27" i="59"/>
  <c r="B27" i="59"/>
  <c r="Z26" i="59"/>
  <c r="X26" i="59"/>
  <c r="N26" i="59"/>
  <c r="L26" i="59"/>
  <c r="B26" i="59"/>
  <c r="X25" i="59"/>
  <c r="Z25" i="59" s="1"/>
  <c r="N25" i="59"/>
  <c r="L25" i="59"/>
  <c r="F25" i="59"/>
  <c r="B25" i="59"/>
  <c r="Z24" i="59"/>
  <c r="X24" i="59"/>
  <c r="L24" i="59"/>
  <c r="N24" i="59" s="1"/>
  <c r="B24" i="59"/>
  <c r="Z23" i="59"/>
  <c r="X23" i="59"/>
  <c r="L23" i="59"/>
  <c r="N23" i="59" s="1"/>
  <c r="B23" i="59"/>
  <c r="X22" i="59"/>
  <c r="Z22" i="59" s="1"/>
  <c r="N22" i="59"/>
  <c r="L22" i="59"/>
  <c r="B22" i="59"/>
  <c r="X21" i="59"/>
  <c r="Z21" i="59" s="1"/>
  <c r="V21" i="59"/>
  <c r="N21" i="59"/>
  <c r="L21" i="59"/>
  <c r="B21" i="59"/>
  <c r="T20" i="59"/>
  <c r="R20" i="59"/>
  <c r="P20" i="59"/>
  <c r="X20" i="59" s="1"/>
  <c r="Z20" i="59" s="1"/>
  <c r="H20" i="59"/>
  <c r="D20" i="59"/>
  <c r="B20" i="59"/>
  <c r="T19" i="59"/>
  <c r="P19" i="59"/>
  <c r="H19" i="59"/>
  <c r="D19" i="59"/>
  <c r="L19" i="59" s="1"/>
  <c r="D17" i="59"/>
  <c r="X15" i="59"/>
  <c r="T15" i="59"/>
  <c r="Z15" i="59" s="1"/>
  <c r="R15" i="59"/>
  <c r="P15" i="59"/>
  <c r="N15" i="59"/>
  <c r="H15" i="59"/>
  <c r="F15" i="59"/>
  <c r="D15" i="59"/>
  <c r="X13" i="59"/>
  <c r="Z13" i="59" s="1"/>
  <c r="P13" i="59"/>
  <c r="N13" i="59"/>
  <c r="L13" i="59"/>
  <c r="D13" i="59"/>
  <c r="D12" i="59" s="1"/>
  <c r="F20" i="59" s="1"/>
  <c r="B13" i="59"/>
  <c r="T12" i="59"/>
  <c r="V56" i="59" s="1"/>
  <c r="P12" i="59"/>
  <c r="R26" i="59" s="1"/>
  <c r="H12" i="59"/>
  <c r="J33" i="59" s="1"/>
  <c r="D6" i="59"/>
  <c r="D4" i="59"/>
  <c r="J83" i="58"/>
  <c r="F80" i="58"/>
  <c r="Z78" i="58"/>
  <c r="X78" i="58"/>
  <c r="N78" i="58"/>
  <c r="L78" i="58"/>
  <c r="J76" i="58"/>
  <c r="T74" i="58"/>
  <c r="Z74" i="58" s="1"/>
  <c r="R74" i="58"/>
  <c r="P74" i="58"/>
  <c r="X74" i="58" s="1"/>
  <c r="J74" i="58"/>
  <c r="H74" i="58"/>
  <c r="N74" i="58" s="1"/>
  <c r="F74" i="58"/>
  <c r="D74" i="58"/>
  <c r="L74" i="58" s="1"/>
  <c r="Z72" i="58"/>
  <c r="X72" i="58"/>
  <c r="N72" i="58"/>
  <c r="L72" i="58"/>
  <c r="B72" i="58"/>
  <c r="T71" i="58"/>
  <c r="P71" i="58"/>
  <c r="X71" i="58" s="1"/>
  <c r="Z71" i="58" s="1"/>
  <c r="N71" i="58"/>
  <c r="H71" i="58"/>
  <c r="D71" i="58"/>
  <c r="L71" i="58" s="1"/>
  <c r="B71" i="58"/>
  <c r="Z70" i="58"/>
  <c r="X70" i="58"/>
  <c r="N70" i="58"/>
  <c r="L70" i="58"/>
  <c r="J70" i="58"/>
  <c r="B70" i="58"/>
  <c r="X69" i="58"/>
  <c r="T69" i="58"/>
  <c r="Z69" i="58" s="1"/>
  <c r="R69" i="58"/>
  <c r="P69" i="58"/>
  <c r="L69" i="58"/>
  <c r="H69" i="58"/>
  <c r="N69" i="58" s="1"/>
  <c r="D69" i="58"/>
  <c r="B69" i="58"/>
  <c r="X68" i="58"/>
  <c r="Z68" i="58" s="1"/>
  <c r="N68" i="58"/>
  <c r="L68" i="58"/>
  <c r="J68" i="58"/>
  <c r="B68" i="58"/>
  <c r="T67" i="58"/>
  <c r="R67" i="58"/>
  <c r="P67" i="58"/>
  <c r="X67" i="58" s="1"/>
  <c r="Z67" i="58" s="1"/>
  <c r="L67" i="58"/>
  <c r="H67" i="58"/>
  <c r="D67" i="58"/>
  <c r="B67" i="58"/>
  <c r="Z66" i="58"/>
  <c r="X66" i="58"/>
  <c r="R66" i="58"/>
  <c r="N66" i="58"/>
  <c r="L66" i="58"/>
  <c r="J66" i="58"/>
  <c r="B66" i="58"/>
  <c r="Z65" i="58"/>
  <c r="X65" i="58"/>
  <c r="N65" i="58"/>
  <c r="L65" i="58"/>
  <c r="J65" i="58"/>
  <c r="B65" i="58"/>
  <c r="Z64" i="58"/>
  <c r="X64" i="58"/>
  <c r="L64" i="58"/>
  <c r="N64" i="58" s="1"/>
  <c r="B64" i="58"/>
  <c r="T63" i="58"/>
  <c r="P63" i="58"/>
  <c r="N63" i="58"/>
  <c r="L63" i="58"/>
  <c r="J63" i="58"/>
  <c r="H63" i="58"/>
  <c r="D63" i="58"/>
  <c r="B63" i="58"/>
  <c r="Z62" i="58"/>
  <c r="X62" i="58"/>
  <c r="V62" i="58"/>
  <c r="N62" i="58"/>
  <c r="L62" i="58"/>
  <c r="B62" i="58"/>
  <c r="T61" i="58"/>
  <c r="R61" i="58"/>
  <c r="P61" i="58"/>
  <c r="X61" i="58" s="1"/>
  <c r="L61" i="58"/>
  <c r="H61" i="58"/>
  <c r="N61" i="58" s="1"/>
  <c r="D61" i="58"/>
  <c r="B61" i="58"/>
  <c r="Z60" i="58"/>
  <c r="X60" i="58"/>
  <c r="R60" i="58"/>
  <c r="N60" i="58"/>
  <c r="L60" i="58"/>
  <c r="J60" i="58"/>
  <c r="B60" i="58"/>
  <c r="Z59" i="58"/>
  <c r="X59" i="58"/>
  <c r="N59" i="58"/>
  <c r="L59" i="58"/>
  <c r="F59" i="58"/>
  <c r="B59" i="58"/>
  <c r="Z58" i="58"/>
  <c r="T58" i="58"/>
  <c r="X58" i="58" s="1"/>
  <c r="P58" i="58"/>
  <c r="L58" i="58"/>
  <c r="J58" i="58"/>
  <c r="H58" i="58"/>
  <c r="N58" i="58" s="1"/>
  <c r="F58" i="58"/>
  <c r="D58" i="58"/>
  <c r="B58" i="58"/>
  <c r="Z57" i="58"/>
  <c r="X57" i="58"/>
  <c r="N57" i="58"/>
  <c r="L57" i="58"/>
  <c r="J57" i="58"/>
  <c r="B57" i="58"/>
  <c r="Z56" i="58"/>
  <c r="X56" i="58"/>
  <c r="R56" i="58"/>
  <c r="L56" i="58"/>
  <c r="N56" i="58" s="1"/>
  <c r="B56" i="58"/>
  <c r="T55" i="58"/>
  <c r="P55" i="58"/>
  <c r="X55" i="58" s="1"/>
  <c r="N55" i="58"/>
  <c r="L55" i="58"/>
  <c r="J55" i="58"/>
  <c r="H55" i="58"/>
  <c r="D55" i="58"/>
  <c r="B55" i="58"/>
  <c r="Z54" i="58"/>
  <c r="X54" i="58"/>
  <c r="N54" i="58"/>
  <c r="L54" i="58"/>
  <c r="B54" i="58"/>
  <c r="T53" i="58"/>
  <c r="R53" i="58"/>
  <c r="P53" i="58"/>
  <c r="X53" i="58" s="1"/>
  <c r="L53" i="58"/>
  <c r="H53" i="58"/>
  <c r="D53" i="58"/>
  <c r="B53" i="58"/>
  <c r="X52" i="58"/>
  <c r="Z52" i="58" s="1"/>
  <c r="R52" i="58"/>
  <c r="N52" i="58"/>
  <c r="L52" i="58"/>
  <c r="J52" i="58"/>
  <c r="B52" i="58"/>
  <c r="T51" i="58"/>
  <c r="R51" i="58"/>
  <c r="P51" i="58"/>
  <c r="X51" i="58" s="1"/>
  <c r="Z51" i="58" s="1"/>
  <c r="L51" i="58"/>
  <c r="H51" i="58"/>
  <c r="D51" i="58"/>
  <c r="B51" i="58"/>
  <c r="X50" i="58"/>
  <c r="Z50" i="58" s="1"/>
  <c r="R50" i="58"/>
  <c r="N50" i="58"/>
  <c r="L50" i="58"/>
  <c r="J50" i="58"/>
  <c r="B50" i="58"/>
  <c r="Z49" i="58"/>
  <c r="X49" i="58"/>
  <c r="T49" i="58"/>
  <c r="P49" i="58"/>
  <c r="H49" i="58"/>
  <c r="D49" i="58"/>
  <c r="L49" i="58" s="1"/>
  <c r="B49" i="58"/>
  <c r="X48" i="58"/>
  <c r="Z48" i="58" s="1"/>
  <c r="L48" i="58"/>
  <c r="N48" i="58" s="1"/>
  <c r="J48" i="58"/>
  <c r="B48" i="58"/>
  <c r="X47" i="58"/>
  <c r="T47" i="58"/>
  <c r="R47" i="58"/>
  <c r="P47" i="58"/>
  <c r="J47" i="58"/>
  <c r="H47" i="58"/>
  <c r="D47" i="58"/>
  <c r="L47" i="58" s="1"/>
  <c r="B47" i="58"/>
  <c r="Z46" i="58"/>
  <c r="X46" i="58"/>
  <c r="R46" i="58"/>
  <c r="L46" i="58"/>
  <c r="N46" i="58" s="1"/>
  <c r="B46" i="58"/>
  <c r="X45" i="58"/>
  <c r="T45" i="58"/>
  <c r="R45" i="58"/>
  <c r="P45" i="58"/>
  <c r="H45" i="58"/>
  <c r="D45" i="58"/>
  <c r="L45" i="58" s="1"/>
  <c r="N45" i="58" s="1"/>
  <c r="B45" i="58"/>
  <c r="Z44" i="58"/>
  <c r="X44" i="58"/>
  <c r="R44" i="58"/>
  <c r="L44" i="58"/>
  <c r="N44" i="58" s="1"/>
  <c r="B44" i="58"/>
  <c r="T43" i="58"/>
  <c r="P43" i="58"/>
  <c r="N43" i="58"/>
  <c r="L43" i="58"/>
  <c r="J43" i="58"/>
  <c r="H43" i="58"/>
  <c r="D43" i="58"/>
  <c r="B43" i="58"/>
  <c r="Z42" i="58"/>
  <c r="X42" i="58"/>
  <c r="V42" i="58"/>
  <c r="N42" i="58"/>
  <c r="L42" i="58"/>
  <c r="B42" i="58"/>
  <c r="T41" i="58"/>
  <c r="R41" i="58"/>
  <c r="P41" i="58"/>
  <c r="X41" i="58" s="1"/>
  <c r="L41" i="58"/>
  <c r="H41" i="58"/>
  <c r="N41" i="58" s="1"/>
  <c r="D41" i="58"/>
  <c r="B41" i="58"/>
  <c r="Z40" i="58"/>
  <c r="X40" i="58"/>
  <c r="R40" i="58"/>
  <c r="N40" i="58"/>
  <c r="L40" i="58"/>
  <c r="J40" i="58"/>
  <c r="B40" i="58"/>
  <c r="Z39" i="58"/>
  <c r="X39" i="58"/>
  <c r="R39" i="58"/>
  <c r="N39" i="58"/>
  <c r="L39" i="58"/>
  <c r="F39" i="58"/>
  <c r="B39" i="58"/>
  <c r="Z38" i="58"/>
  <c r="X38" i="58"/>
  <c r="R38" i="58"/>
  <c r="N38" i="58"/>
  <c r="L38" i="58"/>
  <c r="B38" i="58"/>
  <c r="Z37" i="58"/>
  <c r="X37" i="58"/>
  <c r="R37" i="58"/>
  <c r="N37" i="58"/>
  <c r="L37" i="58"/>
  <c r="J37" i="58"/>
  <c r="B37" i="58"/>
  <c r="Z36" i="58"/>
  <c r="X36" i="58"/>
  <c r="R36" i="58"/>
  <c r="N36" i="58"/>
  <c r="L36" i="58"/>
  <c r="J36" i="58"/>
  <c r="B36" i="58"/>
  <c r="Z35" i="58"/>
  <c r="X35" i="58"/>
  <c r="R35" i="58"/>
  <c r="N35" i="58"/>
  <c r="L35" i="58"/>
  <c r="F35" i="58"/>
  <c r="B35" i="58"/>
  <c r="Z34" i="58"/>
  <c r="X34" i="58"/>
  <c r="R34" i="58"/>
  <c r="L34" i="58"/>
  <c r="N34" i="58" s="1"/>
  <c r="F34" i="58"/>
  <c r="B34" i="58"/>
  <c r="Z33" i="58"/>
  <c r="X33" i="58"/>
  <c r="R33" i="58"/>
  <c r="N33" i="58"/>
  <c r="L33" i="58"/>
  <c r="J33" i="58"/>
  <c r="B33" i="58"/>
  <c r="Z32" i="58"/>
  <c r="X32" i="58"/>
  <c r="R32" i="58"/>
  <c r="N32" i="58"/>
  <c r="L32" i="58"/>
  <c r="J32" i="58"/>
  <c r="B32" i="58"/>
  <c r="Z31" i="58"/>
  <c r="X31" i="58"/>
  <c r="R31" i="58"/>
  <c r="N31" i="58"/>
  <c r="L31" i="58"/>
  <c r="F31" i="58"/>
  <c r="B31" i="58"/>
  <c r="T30" i="58"/>
  <c r="X30" i="58" s="1"/>
  <c r="Z30" i="58" s="1"/>
  <c r="P30" i="58"/>
  <c r="L30" i="58"/>
  <c r="J30" i="58"/>
  <c r="H30" i="58"/>
  <c r="N30" i="58" s="1"/>
  <c r="F30" i="58"/>
  <c r="D30" i="58"/>
  <c r="B30" i="58"/>
  <c r="Z29" i="58"/>
  <c r="X29" i="58"/>
  <c r="N29" i="58"/>
  <c r="L29" i="58"/>
  <c r="J29" i="58"/>
  <c r="B29" i="58"/>
  <c r="Z28" i="58"/>
  <c r="X28" i="58"/>
  <c r="V28" i="58"/>
  <c r="R28" i="58"/>
  <c r="L28" i="58"/>
  <c r="N28" i="58" s="1"/>
  <c r="B28" i="58"/>
  <c r="Z27" i="58"/>
  <c r="X27" i="58"/>
  <c r="R27" i="58"/>
  <c r="L27" i="58"/>
  <c r="N27" i="58" s="1"/>
  <c r="B27" i="58"/>
  <c r="Z26" i="58"/>
  <c r="X26" i="58"/>
  <c r="R26" i="58"/>
  <c r="N26" i="58"/>
  <c r="L26" i="58"/>
  <c r="J26" i="58"/>
  <c r="B26" i="58"/>
  <c r="Z25" i="58"/>
  <c r="X25" i="58"/>
  <c r="N25" i="58"/>
  <c r="L25" i="58"/>
  <c r="J25" i="58"/>
  <c r="B25" i="58"/>
  <c r="Z24" i="58"/>
  <c r="X24" i="58"/>
  <c r="V24" i="58"/>
  <c r="R24" i="58"/>
  <c r="L24" i="58"/>
  <c r="N24" i="58" s="1"/>
  <c r="B24" i="58"/>
  <c r="Z23" i="58"/>
  <c r="X23" i="58"/>
  <c r="R23" i="58"/>
  <c r="L23" i="58"/>
  <c r="N23" i="58" s="1"/>
  <c r="B23" i="58"/>
  <c r="X22" i="58"/>
  <c r="Z22" i="58" s="1"/>
  <c r="R22" i="58"/>
  <c r="N22" i="58"/>
  <c r="L22" i="58"/>
  <c r="J22" i="58"/>
  <c r="B22" i="58"/>
  <c r="Z21" i="58"/>
  <c r="X21" i="58"/>
  <c r="N21" i="58"/>
  <c r="L21" i="58"/>
  <c r="J21" i="58"/>
  <c r="B21" i="58"/>
  <c r="Z20" i="58"/>
  <c r="X20" i="58"/>
  <c r="R20" i="58"/>
  <c r="L20" i="58"/>
  <c r="N20" i="58" s="1"/>
  <c r="B20" i="58"/>
  <c r="T19" i="58"/>
  <c r="P19" i="58"/>
  <c r="N19" i="58"/>
  <c r="L19" i="58"/>
  <c r="J19" i="58"/>
  <c r="H19" i="58"/>
  <c r="D19" i="58"/>
  <c r="B19" i="58"/>
  <c r="T18" i="58"/>
  <c r="R18" i="58"/>
  <c r="P18" i="58"/>
  <c r="X18" i="58" s="1"/>
  <c r="Z18" i="58" s="1"/>
  <c r="H18" i="58"/>
  <c r="D18" i="58"/>
  <c r="R16" i="58"/>
  <c r="Z14" i="58"/>
  <c r="T14" i="58"/>
  <c r="R14" i="58"/>
  <c r="P14" i="58"/>
  <c r="P16" i="58" s="1"/>
  <c r="H14" i="58"/>
  <c r="N14" i="58" s="1"/>
  <c r="D14" i="58"/>
  <c r="L14" i="58" s="1"/>
  <c r="T12" i="58"/>
  <c r="V56" i="58" s="1"/>
  <c r="P12" i="58"/>
  <c r="N12" i="58"/>
  <c r="H12" i="58"/>
  <c r="J72" i="58" s="1"/>
  <c r="D12" i="58"/>
  <c r="F78" i="58" s="1"/>
  <c r="D6" i="58"/>
  <c r="D4" i="58"/>
  <c r="R85" i="57"/>
  <c r="R82" i="57"/>
  <c r="Z80" i="57"/>
  <c r="X80" i="57"/>
  <c r="N80" i="57"/>
  <c r="L80" i="57"/>
  <c r="J80" i="57"/>
  <c r="J78" i="57"/>
  <c r="F78" i="57"/>
  <c r="T76" i="57"/>
  <c r="Z76" i="57" s="1"/>
  <c r="P76" i="57"/>
  <c r="X76" i="57" s="1"/>
  <c r="N76" i="57"/>
  <c r="J76" i="57"/>
  <c r="H76" i="57"/>
  <c r="F76" i="57"/>
  <c r="D76" i="57"/>
  <c r="L76" i="57" s="1"/>
  <c r="X74" i="57"/>
  <c r="Z74" i="57" s="1"/>
  <c r="L74" i="57"/>
  <c r="N74" i="57" s="1"/>
  <c r="J74" i="57"/>
  <c r="B74" i="57"/>
  <c r="X73" i="57"/>
  <c r="T73" i="57"/>
  <c r="P73" i="57"/>
  <c r="J73" i="57"/>
  <c r="H73" i="57"/>
  <c r="D73" i="57"/>
  <c r="L73" i="57" s="1"/>
  <c r="B73" i="57"/>
  <c r="Z72" i="57"/>
  <c r="X72" i="57"/>
  <c r="L72" i="57"/>
  <c r="N72" i="57" s="1"/>
  <c r="J72" i="57"/>
  <c r="F72" i="57"/>
  <c r="B72" i="57"/>
  <c r="T71" i="57"/>
  <c r="P71" i="57"/>
  <c r="J71" i="57"/>
  <c r="H71" i="57"/>
  <c r="F71" i="57"/>
  <c r="D71" i="57"/>
  <c r="L71" i="57" s="1"/>
  <c r="N71" i="57" s="1"/>
  <c r="B71" i="57"/>
  <c r="Z70" i="57"/>
  <c r="X70" i="57"/>
  <c r="N70" i="57"/>
  <c r="L70" i="57"/>
  <c r="B70" i="57"/>
  <c r="Z69" i="57"/>
  <c r="X69" i="57"/>
  <c r="R69" i="57"/>
  <c r="L69" i="57"/>
  <c r="N69" i="57" s="1"/>
  <c r="J69" i="57"/>
  <c r="B69" i="57"/>
  <c r="T68" i="57"/>
  <c r="P68" i="57"/>
  <c r="N68" i="57"/>
  <c r="J68" i="57"/>
  <c r="H68" i="57"/>
  <c r="D68" i="57"/>
  <c r="L68" i="57" s="1"/>
  <c r="B68" i="57"/>
  <c r="Z67" i="57"/>
  <c r="X67" i="57"/>
  <c r="N67" i="57"/>
  <c r="L67" i="57"/>
  <c r="F67" i="57"/>
  <c r="B67" i="57"/>
  <c r="T66" i="57"/>
  <c r="Z66" i="57" s="1"/>
  <c r="P66" i="57"/>
  <c r="X66" i="57" s="1"/>
  <c r="N66" i="57"/>
  <c r="J66" i="57"/>
  <c r="H66" i="57"/>
  <c r="F66" i="57"/>
  <c r="D66" i="57"/>
  <c r="L66" i="57" s="1"/>
  <c r="B66" i="57"/>
  <c r="Z65" i="57"/>
  <c r="X65" i="57"/>
  <c r="N65" i="57"/>
  <c r="L65" i="57"/>
  <c r="J65" i="57"/>
  <c r="F65" i="57"/>
  <c r="B65" i="57"/>
  <c r="T64" i="57"/>
  <c r="P64" i="57"/>
  <c r="X64" i="57" s="1"/>
  <c r="Z64" i="57" s="1"/>
  <c r="L64" i="57"/>
  <c r="J64" i="57"/>
  <c r="H64" i="57"/>
  <c r="N64" i="57" s="1"/>
  <c r="F64" i="57"/>
  <c r="D64" i="57"/>
  <c r="B64" i="57"/>
  <c r="Z63" i="57"/>
  <c r="X63" i="57"/>
  <c r="N63" i="57"/>
  <c r="L63" i="57"/>
  <c r="J63" i="57"/>
  <c r="B63" i="57"/>
  <c r="Z62" i="57"/>
  <c r="X62" i="57"/>
  <c r="V62" i="57"/>
  <c r="L62" i="57"/>
  <c r="N62" i="57" s="1"/>
  <c r="B62" i="57"/>
  <c r="Z61" i="57"/>
  <c r="X61" i="57"/>
  <c r="R61" i="57"/>
  <c r="L61" i="57"/>
  <c r="N61" i="57" s="1"/>
  <c r="J61" i="57"/>
  <c r="B61" i="57"/>
  <c r="T60" i="57"/>
  <c r="P60" i="57"/>
  <c r="N60" i="57"/>
  <c r="J60" i="57"/>
  <c r="H60" i="57"/>
  <c r="D60" i="57"/>
  <c r="L60" i="57" s="1"/>
  <c r="B60" i="57"/>
  <c r="Z59" i="57"/>
  <c r="X59" i="57"/>
  <c r="L59" i="57"/>
  <c r="N59" i="57" s="1"/>
  <c r="F59" i="57"/>
  <c r="B59" i="57"/>
  <c r="T58" i="57"/>
  <c r="Z58" i="57" s="1"/>
  <c r="P58" i="57"/>
  <c r="X58" i="57" s="1"/>
  <c r="J58" i="57"/>
  <c r="H58" i="57"/>
  <c r="F58" i="57"/>
  <c r="D58" i="57"/>
  <c r="L58" i="57" s="1"/>
  <c r="N58" i="57" s="1"/>
  <c r="B58" i="57"/>
  <c r="Z57" i="57"/>
  <c r="X57" i="57"/>
  <c r="N57" i="57"/>
  <c r="L57" i="57"/>
  <c r="J57" i="57"/>
  <c r="F57" i="57"/>
  <c r="B57" i="57"/>
  <c r="Z56" i="57"/>
  <c r="X56" i="57"/>
  <c r="R56" i="57"/>
  <c r="N56" i="57"/>
  <c r="L56" i="57"/>
  <c r="J56" i="57"/>
  <c r="F56" i="57"/>
  <c r="B56" i="57"/>
  <c r="Z55" i="57"/>
  <c r="X55" i="57"/>
  <c r="R55" i="57"/>
  <c r="N55" i="57"/>
  <c r="L55" i="57"/>
  <c r="J55" i="57"/>
  <c r="B55" i="57"/>
  <c r="X54" i="57"/>
  <c r="T54" i="57"/>
  <c r="Z54" i="57" s="1"/>
  <c r="R54" i="57"/>
  <c r="P54" i="57"/>
  <c r="N54" i="57"/>
  <c r="J54" i="57"/>
  <c r="H54" i="57"/>
  <c r="D54" i="57"/>
  <c r="L54" i="57" s="1"/>
  <c r="B54" i="57"/>
  <c r="Z53" i="57"/>
  <c r="X53" i="57"/>
  <c r="R53" i="57"/>
  <c r="L53" i="57"/>
  <c r="N53" i="57" s="1"/>
  <c r="J53" i="57"/>
  <c r="B53" i="57"/>
  <c r="T52" i="57"/>
  <c r="R52" i="57"/>
  <c r="P52" i="57"/>
  <c r="J52" i="57"/>
  <c r="H52" i="57"/>
  <c r="D52" i="57"/>
  <c r="L52" i="57" s="1"/>
  <c r="N52" i="57" s="1"/>
  <c r="B52" i="57"/>
  <c r="Z51" i="57"/>
  <c r="X51" i="57"/>
  <c r="R51" i="57"/>
  <c r="L51" i="57"/>
  <c r="N51" i="57" s="1"/>
  <c r="F51" i="57"/>
  <c r="B51" i="57"/>
  <c r="T50" i="57"/>
  <c r="P50" i="57"/>
  <c r="X50" i="57" s="1"/>
  <c r="J50" i="57"/>
  <c r="H50" i="57"/>
  <c r="F50" i="57"/>
  <c r="D50" i="57"/>
  <c r="L50" i="57" s="1"/>
  <c r="N50" i="57" s="1"/>
  <c r="B50" i="57"/>
  <c r="Z49" i="57"/>
  <c r="X49" i="57"/>
  <c r="N49" i="57"/>
  <c r="L49" i="57"/>
  <c r="J49" i="57"/>
  <c r="F49" i="57"/>
  <c r="B49" i="57"/>
  <c r="T48" i="57"/>
  <c r="P48" i="57"/>
  <c r="X48" i="57" s="1"/>
  <c r="Z48" i="57" s="1"/>
  <c r="L48" i="57"/>
  <c r="J48" i="57"/>
  <c r="H48" i="57"/>
  <c r="N48" i="57" s="1"/>
  <c r="F48" i="57"/>
  <c r="D48" i="57"/>
  <c r="B48" i="57"/>
  <c r="Z47" i="57"/>
  <c r="X47" i="57"/>
  <c r="N47" i="57"/>
  <c r="L47" i="57"/>
  <c r="J47" i="57"/>
  <c r="F47" i="57"/>
  <c r="B47" i="57"/>
  <c r="Z46" i="57"/>
  <c r="T46" i="57"/>
  <c r="P46" i="57"/>
  <c r="X46" i="57" s="1"/>
  <c r="J46" i="57"/>
  <c r="H46" i="57"/>
  <c r="F46" i="57"/>
  <c r="D46" i="57"/>
  <c r="B46" i="57"/>
  <c r="X45" i="57"/>
  <c r="Z45" i="57" s="1"/>
  <c r="N45" i="57"/>
  <c r="L45" i="57"/>
  <c r="J45" i="57"/>
  <c r="B45" i="57"/>
  <c r="T44" i="57"/>
  <c r="R44" i="57"/>
  <c r="P44" i="57"/>
  <c r="X44" i="57" s="1"/>
  <c r="Z44" i="57" s="1"/>
  <c r="H44" i="57"/>
  <c r="D44" i="57"/>
  <c r="L44" i="57" s="1"/>
  <c r="B44" i="57"/>
  <c r="X43" i="57"/>
  <c r="Z43" i="57" s="1"/>
  <c r="R43" i="57"/>
  <c r="N43" i="57"/>
  <c r="L43" i="57"/>
  <c r="J43" i="57"/>
  <c r="B43" i="57"/>
  <c r="X42" i="57"/>
  <c r="T42" i="57"/>
  <c r="Z42" i="57" s="1"/>
  <c r="R42" i="57"/>
  <c r="P42" i="57"/>
  <c r="J42" i="57"/>
  <c r="H42" i="57"/>
  <c r="D42" i="57"/>
  <c r="L42" i="57" s="1"/>
  <c r="N42" i="57" s="1"/>
  <c r="B42" i="57"/>
  <c r="Z41" i="57"/>
  <c r="X41" i="57"/>
  <c r="R41" i="57"/>
  <c r="N41" i="57"/>
  <c r="L41" i="57"/>
  <c r="J41" i="57"/>
  <c r="B41" i="57"/>
  <c r="T40" i="57"/>
  <c r="R40" i="57"/>
  <c r="P40" i="57"/>
  <c r="N40" i="57"/>
  <c r="J40" i="57"/>
  <c r="H40" i="57"/>
  <c r="D40" i="57"/>
  <c r="L40" i="57" s="1"/>
  <c r="B40" i="57"/>
  <c r="Z39" i="57"/>
  <c r="X39" i="57"/>
  <c r="R39" i="57"/>
  <c r="N39" i="57"/>
  <c r="L39" i="57"/>
  <c r="J39" i="57"/>
  <c r="F39" i="57"/>
  <c r="B39" i="57"/>
  <c r="Z38" i="57"/>
  <c r="X38" i="57"/>
  <c r="N38" i="57"/>
  <c r="L38" i="57"/>
  <c r="J38" i="57"/>
  <c r="B38" i="57"/>
  <c r="X37" i="57"/>
  <c r="Z37" i="57" s="1"/>
  <c r="N37" i="57"/>
  <c r="L37" i="57"/>
  <c r="J37" i="57"/>
  <c r="B37" i="57"/>
  <c r="Z36" i="57"/>
  <c r="X36" i="57"/>
  <c r="V36" i="57"/>
  <c r="N36" i="57"/>
  <c r="L36" i="57"/>
  <c r="J36" i="57"/>
  <c r="F36" i="57"/>
  <c r="B36" i="57"/>
  <c r="Z35" i="57"/>
  <c r="X35" i="57"/>
  <c r="R35" i="57"/>
  <c r="N35" i="57"/>
  <c r="L35" i="57"/>
  <c r="J35" i="57"/>
  <c r="F35" i="57"/>
  <c r="B35" i="57"/>
  <c r="Z34" i="57"/>
  <c r="X34" i="57"/>
  <c r="N34" i="57"/>
  <c r="L34" i="57"/>
  <c r="J34" i="57"/>
  <c r="B34" i="57"/>
  <c r="X33" i="57"/>
  <c r="Z33" i="57" s="1"/>
  <c r="N33" i="57"/>
  <c r="L33" i="57"/>
  <c r="J33" i="57"/>
  <c r="B33" i="57"/>
  <c r="Z32" i="57"/>
  <c r="X32" i="57"/>
  <c r="N32" i="57"/>
  <c r="L32" i="57"/>
  <c r="J32" i="57"/>
  <c r="F32" i="57"/>
  <c r="B32" i="57"/>
  <c r="Z31" i="57"/>
  <c r="X31" i="57"/>
  <c r="R31" i="57"/>
  <c r="L31" i="57"/>
  <c r="N31" i="57" s="1"/>
  <c r="J31" i="57"/>
  <c r="F31" i="57"/>
  <c r="B31" i="57"/>
  <c r="X30" i="57"/>
  <c r="Z30" i="57" s="1"/>
  <c r="L30" i="57"/>
  <c r="N30" i="57" s="1"/>
  <c r="J30" i="57"/>
  <c r="B30" i="57"/>
  <c r="X29" i="57"/>
  <c r="T29" i="57"/>
  <c r="R29" i="57"/>
  <c r="P29" i="57"/>
  <c r="J29" i="57"/>
  <c r="H29" i="57"/>
  <c r="D29" i="57"/>
  <c r="L29" i="57" s="1"/>
  <c r="B29" i="57"/>
  <c r="Z28" i="57"/>
  <c r="X28" i="57"/>
  <c r="R28" i="57"/>
  <c r="L28" i="57"/>
  <c r="N28" i="57" s="1"/>
  <c r="J28" i="57"/>
  <c r="F28" i="57"/>
  <c r="B28" i="57"/>
  <c r="X27" i="57"/>
  <c r="Z27" i="57" s="1"/>
  <c r="R27" i="57"/>
  <c r="N27" i="57"/>
  <c r="L27" i="57"/>
  <c r="J27" i="57"/>
  <c r="B27" i="57"/>
  <c r="X26" i="57"/>
  <c r="Z26" i="57" s="1"/>
  <c r="N26" i="57"/>
  <c r="L26" i="57"/>
  <c r="J26" i="57"/>
  <c r="B26" i="57"/>
  <c r="Z25" i="57"/>
  <c r="X25" i="57"/>
  <c r="N25" i="57"/>
  <c r="L25" i="57"/>
  <c r="J25" i="57"/>
  <c r="F25" i="57"/>
  <c r="B25" i="57"/>
  <c r="Z24" i="57"/>
  <c r="X24" i="57"/>
  <c r="R24" i="57"/>
  <c r="L24" i="57"/>
  <c r="N24" i="57" s="1"/>
  <c r="J24" i="57"/>
  <c r="F24" i="57"/>
  <c r="B24" i="57"/>
  <c r="X23" i="57"/>
  <c r="Z23" i="57" s="1"/>
  <c r="R23" i="57"/>
  <c r="N23" i="57"/>
  <c r="L23" i="57"/>
  <c r="J23" i="57"/>
  <c r="B23" i="57"/>
  <c r="X22" i="57"/>
  <c r="Z22" i="57" s="1"/>
  <c r="N22" i="57"/>
  <c r="L22" i="57"/>
  <c r="J22" i="57"/>
  <c r="B22" i="57"/>
  <c r="Z21" i="57"/>
  <c r="X21" i="57"/>
  <c r="N21" i="57"/>
  <c r="L21" i="57"/>
  <c r="J21" i="57"/>
  <c r="F21" i="57"/>
  <c r="B21" i="57"/>
  <c r="Z20" i="57"/>
  <c r="X20" i="57"/>
  <c r="R20" i="57"/>
  <c r="L20" i="57"/>
  <c r="N20" i="57" s="1"/>
  <c r="J20" i="57"/>
  <c r="F20" i="57"/>
  <c r="B20" i="57"/>
  <c r="T19" i="57"/>
  <c r="P19" i="57"/>
  <c r="J19" i="57"/>
  <c r="H19" i="57"/>
  <c r="F19" i="57"/>
  <c r="D19" i="57"/>
  <c r="L19" i="57" s="1"/>
  <c r="N19" i="57" s="1"/>
  <c r="B19" i="57"/>
  <c r="V18" i="57"/>
  <c r="T18" i="57"/>
  <c r="P18" i="57"/>
  <c r="X18" i="57" s="1"/>
  <c r="Z18" i="57" s="1"/>
  <c r="J18" i="57"/>
  <c r="H18" i="57"/>
  <c r="F18" i="57"/>
  <c r="D18" i="57"/>
  <c r="J16" i="57"/>
  <c r="H16" i="57"/>
  <c r="F16" i="57"/>
  <c r="Z14" i="57"/>
  <c r="V14" i="57"/>
  <c r="T14" i="57"/>
  <c r="P14" i="57"/>
  <c r="P16" i="57" s="1"/>
  <c r="J14" i="57"/>
  <c r="H14" i="57"/>
  <c r="N14" i="57" s="1"/>
  <c r="F14" i="57"/>
  <c r="D14" i="57"/>
  <c r="L14" i="57" s="1"/>
  <c r="T12" i="57"/>
  <c r="P12" i="57"/>
  <c r="R71" i="57" s="1"/>
  <c r="N12" i="57"/>
  <c r="L12" i="57"/>
  <c r="H12" i="57"/>
  <c r="J85" i="57" s="1"/>
  <c r="D12" i="57"/>
  <c r="F80" i="57" s="1"/>
  <c r="D6" i="57"/>
  <c r="D4" i="57"/>
  <c r="V88" i="56"/>
  <c r="R88" i="56"/>
  <c r="V85" i="56"/>
  <c r="R85" i="56"/>
  <c r="Z83" i="56"/>
  <c r="X83" i="56"/>
  <c r="V83" i="56"/>
  <c r="N83" i="56"/>
  <c r="L83" i="56"/>
  <c r="J81" i="56"/>
  <c r="T79" i="56"/>
  <c r="Z79" i="56" s="1"/>
  <c r="P79" i="56"/>
  <c r="N79" i="56"/>
  <c r="J79" i="56"/>
  <c r="H79" i="56"/>
  <c r="D79" i="56"/>
  <c r="L79" i="56" s="1"/>
  <c r="X77" i="56"/>
  <c r="Z77" i="56" s="1"/>
  <c r="R77" i="56"/>
  <c r="N77" i="56"/>
  <c r="L77" i="56"/>
  <c r="J77" i="56"/>
  <c r="B77" i="56"/>
  <c r="Z76" i="56"/>
  <c r="X76" i="56"/>
  <c r="N76" i="56"/>
  <c r="L76" i="56"/>
  <c r="J76" i="56"/>
  <c r="B76" i="56"/>
  <c r="Z75" i="56"/>
  <c r="V75" i="56"/>
  <c r="T75" i="56"/>
  <c r="P75" i="56"/>
  <c r="X75" i="56" s="1"/>
  <c r="H75" i="56"/>
  <c r="D75" i="56"/>
  <c r="L75" i="56" s="1"/>
  <c r="B75" i="56"/>
  <c r="X74" i="56"/>
  <c r="Z74" i="56" s="1"/>
  <c r="N74" i="56"/>
  <c r="L74" i="56"/>
  <c r="B74" i="56"/>
  <c r="Z73" i="56"/>
  <c r="X73" i="56"/>
  <c r="V73" i="56"/>
  <c r="T73" i="56"/>
  <c r="R73" i="56"/>
  <c r="P73" i="56"/>
  <c r="H73" i="56"/>
  <c r="N73" i="56" s="1"/>
  <c r="D73" i="56"/>
  <c r="L73" i="56" s="1"/>
  <c r="B73" i="56"/>
  <c r="X72" i="56"/>
  <c r="Z72" i="56" s="1"/>
  <c r="R72" i="56"/>
  <c r="N72" i="56"/>
  <c r="L72" i="56"/>
  <c r="B72" i="56"/>
  <c r="X71" i="56"/>
  <c r="T71" i="56"/>
  <c r="R71" i="56"/>
  <c r="P71" i="56"/>
  <c r="H71" i="56"/>
  <c r="L71" i="56" s="1"/>
  <c r="N71" i="56" s="1"/>
  <c r="D71" i="56"/>
  <c r="B71" i="56"/>
  <c r="Z70" i="56"/>
  <c r="X70" i="56"/>
  <c r="R70" i="56"/>
  <c r="N70" i="56"/>
  <c r="L70" i="56"/>
  <c r="B70" i="56"/>
  <c r="Z69" i="56"/>
  <c r="X69" i="56"/>
  <c r="R69" i="56"/>
  <c r="N69" i="56"/>
  <c r="L69" i="56"/>
  <c r="J69" i="56"/>
  <c r="B69" i="56"/>
  <c r="Z68" i="56"/>
  <c r="X68" i="56"/>
  <c r="V68" i="56"/>
  <c r="N68" i="56"/>
  <c r="L68" i="56"/>
  <c r="J68" i="56"/>
  <c r="B68" i="56"/>
  <c r="V67" i="56"/>
  <c r="T67" i="56"/>
  <c r="P67" i="56"/>
  <c r="X67" i="56" s="1"/>
  <c r="Z67" i="56" s="1"/>
  <c r="H67" i="56"/>
  <c r="D67" i="56"/>
  <c r="B67" i="56"/>
  <c r="X66" i="56"/>
  <c r="Z66" i="56" s="1"/>
  <c r="N66" i="56"/>
  <c r="L66" i="56"/>
  <c r="B66" i="56"/>
  <c r="Z65" i="56"/>
  <c r="X65" i="56"/>
  <c r="V65" i="56"/>
  <c r="T65" i="56"/>
  <c r="R65" i="56"/>
  <c r="P65" i="56"/>
  <c r="H65" i="56"/>
  <c r="N65" i="56" s="1"/>
  <c r="D65" i="56"/>
  <c r="L65" i="56" s="1"/>
  <c r="B65" i="56"/>
  <c r="Z64" i="56"/>
  <c r="X64" i="56"/>
  <c r="R64" i="56"/>
  <c r="N64" i="56"/>
  <c r="L64" i="56"/>
  <c r="J64" i="56"/>
  <c r="B64" i="56"/>
  <c r="X63" i="56"/>
  <c r="Z63" i="56" s="1"/>
  <c r="N63" i="56"/>
  <c r="L63" i="56"/>
  <c r="J63" i="56"/>
  <c r="B63" i="56"/>
  <c r="Z62" i="56"/>
  <c r="X62" i="56"/>
  <c r="N62" i="56"/>
  <c r="L62" i="56"/>
  <c r="B62" i="56"/>
  <c r="T61" i="56"/>
  <c r="X61" i="56" s="1"/>
  <c r="Z61" i="56" s="1"/>
  <c r="P61" i="56"/>
  <c r="L61" i="56"/>
  <c r="H61" i="56"/>
  <c r="N61" i="56" s="1"/>
  <c r="F61" i="56"/>
  <c r="D61" i="56"/>
  <c r="B61" i="56"/>
  <c r="Z60" i="56"/>
  <c r="X60" i="56"/>
  <c r="V60" i="56"/>
  <c r="N60" i="56"/>
  <c r="L60" i="56"/>
  <c r="J60" i="56"/>
  <c r="B60" i="56"/>
  <c r="Z59" i="56"/>
  <c r="X59" i="56"/>
  <c r="V59" i="56"/>
  <c r="N59" i="56"/>
  <c r="L59" i="56"/>
  <c r="B59" i="56"/>
  <c r="Z58" i="56"/>
  <c r="X58" i="56"/>
  <c r="R58" i="56"/>
  <c r="L58" i="56"/>
  <c r="N58" i="56" s="1"/>
  <c r="B58" i="56"/>
  <c r="T57" i="56"/>
  <c r="P57" i="56"/>
  <c r="N57" i="56"/>
  <c r="J57" i="56"/>
  <c r="H57" i="56"/>
  <c r="D57" i="56"/>
  <c r="L57" i="56" s="1"/>
  <c r="B57" i="56"/>
  <c r="Z56" i="56"/>
  <c r="X56" i="56"/>
  <c r="V56" i="56"/>
  <c r="L56" i="56"/>
  <c r="N56" i="56" s="1"/>
  <c r="F56" i="56"/>
  <c r="B56" i="56"/>
  <c r="T55" i="56"/>
  <c r="P55" i="56"/>
  <c r="X55" i="56" s="1"/>
  <c r="N55" i="56"/>
  <c r="L55" i="56"/>
  <c r="J55" i="56"/>
  <c r="H55" i="56"/>
  <c r="D55" i="56"/>
  <c r="B55" i="56"/>
  <c r="Z54" i="56"/>
  <c r="X54" i="56"/>
  <c r="N54" i="56"/>
  <c r="L54" i="56"/>
  <c r="F54" i="56"/>
  <c r="B54" i="56"/>
  <c r="Z53" i="56"/>
  <c r="T53" i="56"/>
  <c r="X53" i="56" s="1"/>
  <c r="P53" i="56"/>
  <c r="L53" i="56"/>
  <c r="H53" i="56"/>
  <c r="N53" i="56" s="1"/>
  <c r="D53" i="56"/>
  <c r="B53" i="56"/>
  <c r="Z52" i="56"/>
  <c r="X52" i="56"/>
  <c r="V52" i="56"/>
  <c r="N52" i="56"/>
  <c r="L52" i="56"/>
  <c r="J52" i="56"/>
  <c r="B52" i="56"/>
  <c r="Z51" i="56"/>
  <c r="V51" i="56"/>
  <c r="T51" i="56"/>
  <c r="P51" i="56"/>
  <c r="X51" i="56" s="1"/>
  <c r="H51" i="56"/>
  <c r="N51" i="56" s="1"/>
  <c r="D51" i="56"/>
  <c r="B51" i="56"/>
  <c r="X50" i="56"/>
  <c r="Z50" i="56" s="1"/>
  <c r="N50" i="56"/>
  <c r="L50" i="56"/>
  <c r="B50" i="56"/>
  <c r="Z49" i="56"/>
  <c r="X49" i="56"/>
  <c r="V49" i="56"/>
  <c r="T49" i="56"/>
  <c r="R49" i="56"/>
  <c r="P49" i="56"/>
  <c r="H49" i="56"/>
  <c r="D49" i="56"/>
  <c r="L49" i="56" s="1"/>
  <c r="B49" i="56"/>
  <c r="X48" i="56"/>
  <c r="Z48" i="56" s="1"/>
  <c r="R48" i="56"/>
  <c r="N48" i="56"/>
  <c r="L48" i="56"/>
  <c r="J48" i="56"/>
  <c r="B48" i="56"/>
  <c r="X47" i="56"/>
  <c r="V47" i="56"/>
  <c r="T47" i="56"/>
  <c r="Z47" i="56" s="1"/>
  <c r="R47" i="56"/>
  <c r="P47" i="56"/>
  <c r="N47" i="56"/>
  <c r="H47" i="56"/>
  <c r="D47" i="56"/>
  <c r="B47" i="56"/>
  <c r="Z46" i="56"/>
  <c r="X46" i="56"/>
  <c r="R46" i="56"/>
  <c r="L46" i="56"/>
  <c r="N46" i="56" s="1"/>
  <c r="B46" i="56"/>
  <c r="X45" i="56"/>
  <c r="Z45" i="56" s="1"/>
  <c r="R45" i="56"/>
  <c r="N45" i="56"/>
  <c r="L45" i="56"/>
  <c r="J45" i="56"/>
  <c r="B45" i="56"/>
  <c r="V44" i="56"/>
  <c r="T44" i="56"/>
  <c r="P44" i="56"/>
  <c r="X44" i="56" s="1"/>
  <c r="Z44" i="56" s="1"/>
  <c r="H44" i="56"/>
  <c r="D44" i="56"/>
  <c r="L44" i="56" s="1"/>
  <c r="N44" i="56" s="1"/>
  <c r="B44" i="56"/>
  <c r="X43" i="56"/>
  <c r="Z43" i="56" s="1"/>
  <c r="L43" i="56"/>
  <c r="N43" i="56" s="1"/>
  <c r="J43" i="56"/>
  <c r="B43" i="56"/>
  <c r="X42" i="56"/>
  <c r="T42" i="56"/>
  <c r="Z42" i="56" s="1"/>
  <c r="R42" i="56"/>
  <c r="P42" i="56"/>
  <c r="J42" i="56"/>
  <c r="H42" i="56"/>
  <c r="D42" i="56"/>
  <c r="L42" i="56" s="1"/>
  <c r="B42" i="56"/>
  <c r="Z41" i="56"/>
  <c r="X41" i="56"/>
  <c r="R41" i="56"/>
  <c r="L41" i="56"/>
  <c r="N41" i="56" s="1"/>
  <c r="B41" i="56"/>
  <c r="T40" i="56"/>
  <c r="P40" i="56"/>
  <c r="N40" i="56"/>
  <c r="H40" i="56"/>
  <c r="F40" i="56"/>
  <c r="D40" i="56"/>
  <c r="L40" i="56" s="1"/>
  <c r="B40" i="56"/>
  <c r="Z39" i="56"/>
  <c r="X39" i="56"/>
  <c r="V39" i="56"/>
  <c r="N39" i="56"/>
  <c r="L39" i="56"/>
  <c r="B39" i="56"/>
  <c r="Z38" i="56"/>
  <c r="X38" i="56"/>
  <c r="R38" i="56"/>
  <c r="N38" i="56"/>
  <c r="L38" i="56"/>
  <c r="B38" i="56"/>
  <c r="Z37" i="56"/>
  <c r="X37" i="56"/>
  <c r="R37" i="56"/>
  <c r="N37" i="56"/>
  <c r="L37" i="56"/>
  <c r="J37" i="56"/>
  <c r="B37" i="56"/>
  <c r="Z36" i="56"/>
  <c r="X36" i="56"/>
  <c r="V36" i="56"/>
  <c r="N36" i="56"/>
  <c r="L36" i="56"/>
  <c r="J36" i="56"/>
  <c r="B36" i="56"/>
  <c r="Z35" i="56"/>
  <c r="X35" i="56"/>
  <c r="V35" i="56"/>
  <c r="R35" i="56"/>
  <c r="N35" i="56"/>
  <c r="L35" i="56"/>
  <c r="B35" i="56"/>
  <c r="Z34" i="56"/>
  <c r="X34" i="56"/>
  <c r="R34" i="56"/>
  <c r="N34" i="56"/>
  <c r="L34" i="56"/>
  <c r="B34" i="56"/>
  <c r="Z33" i="56"/>
  <c r="X33" i="56"/>
  <c r="R33" i="56"/>
  <c r="N33" i="56"/>
  <c r="L33" i="56"/>
  <c r="J33" i="56"/>
  <c r="B33" i="56"/>
  <c r="Z32" i="56"/>
  <c r="X32" i="56"/>
  <c r="V32" i="56"/>
  <c r="N32" i="56"/>
  <c r="L32" i="56"/>
  <c r="J32" i="56"/>
  <c r="B32" i="56"/>
  <c r="Z31" i="56"/>
  <c r="X31" i="56"/>
  <c r="V31" i="56"/>
  <c r="R31" i="56"/>
  <c r="L31" i="56"/>
  <c r="N31" i="56" s="1"/>
  <c r="B31" i="56"/>
  <c r="Z30" i="56"/>
  <c r="X30" i="56"/>
  <c r="R30" i="56"/>
  <c r="L30" i="56"/>
  <c r="N30" i="56" s="1"/>
  <c r="B30" i="56"/>
  <c r="T29" i="56"/>
  <c r="R29" i="56"/>
  <c r="P29" i="56"/>
  <c r="J29" i="56"/>
  <c r="H29" i="56"/>
  <c r="D29" i="56"/>
  <c r="L29" i="56" s="1"/>
  <c r="N29" i="56" s="1"/>
  <c r="B29" i="56"/>
  <c r="Z28" i="56"/>
  <c r="X28" i="56"/>
  <c r="V28" i="56"/>
  <c r="R28" i="56"/>
  <c r="N28" i="56"/>
  <c r="L28" i="56"/>
  <c r="B28" i="56"/>
  <c r="X27" i="56"/>
  <c r="Z27" i="56" s="1"/>
  <c r="L27" i="56"/>
  <c r="N27" i="56" s="1"/>
  <c r="J27" i="56"/>
  <c r="B27" i="56"/>
  <c r="X26" i="56"/>
  <c r="Z26" i="56" s="1"/>
  <c r="V26" i="56"/>
  <c r="N26" i="56"/>
  <c r="L26" i="56"/>
  <c r="B26" i="56"/>
  <c r="Z25" i="56"/>
  <c r="X25" i="56"/>
  <c r="V25" i="56"/>
  <c r="N25" i="56"/>
  <c r="L25" i="56"/>
  <c r="F25" i="56"/>
  <c r="B25" i="56"/>
  <c r="Z24" i="56"/>
  <c r="X24" i="56"/>
  <c r="V24" i="56"/>
  <c r="R24" i="56"/>
  <c r="L24" i="56"/>
  <c r="N24" i="56" s="1"/>
  <c r="F24" i="56"/>
  <c r="B24" i="56"/>
  <c r="X23" i="56"/>
  <c r="Z23" i="56" s="1"/>
  <c r="L23" i="56"/>
  <c r="N23" i="56" s="1"/>
  <c r="J23" i="56"/>
  <c r="B23" i="56"/>
  <c r="X22" i="56"/>
  <c r="Z22" i="56" s="1"/>
  <c r="V22" i="56"/>
  <c r="N22" i="56"/>
  <c r="L22" i="56"/>
  <c r="B22" i="56"/>
  <c r="Z21" i="56"/>
  <c r="X21" i="56"/>
  <c r="V21" i="56"/>
  <c r="N21" i="56"/>
  <c r="L21" i="56"/>
  <c r="B21" i="56"/>
  <c r="Z20" i="56"/>
  <c r="X20" i="56"/>
  <c r="V20" i="56"/>
  <c r="R20" i="56"/>
  <c r="L20" i="56"/>
  <c r="N20" i="56" s="1"/>
  <c r="B20" i="56"/>
  <c r="T19" i="56"/>
  <c r="P19" i="56"/>
  <c r="X19" i="56" s="1"/>
  <c r="J19" i="56"/>
  <c r="H19" i="56"/>
  <c r="F19" i="56"/>
  <c r="D19" i="56"/>
  <c r="L19" i="56" s="1"/>
  <c r="N19" i="56" s="1"/>
  <c r="B19" i="56"/>
  <c r="T18" i="56"/>
  <c r="R18" i="56"/>
  <c r="P18" i="56"/>
  <c r="H18" i="56"/>
  <c r="D18" i="56"/>
  <c r="L18" i="56" s="1"/>
  <c r="R16" i="56"/>
  <c r="P16" i="56"/>
  <c r="Z14" i="56"/>
  <c r="T14" i="56"/>
  <c r="R14" i="56"/>
  <c r="P14" i="56"/>
  <c r="X14" i="56" s="1"/>
  <c r="L14" i="56"/>
  <c r="H14" i="56"/>
  <c r="N14" i="56" s="1"/>
  <c r="D14" i="56"/>
  <c r="Z12" i="56"/>
  <c r="T12" i="56"/>
  <c r="V74" i="56" s="1"/>
  <c r="P12" i="56"/>
  <c r="R59" i="56" s="1"/>
  <c r="N12" i="56"/>
  <c r="L12" i="56"/>
  <c r="H12" i="56"/>
  <c r="J70" i="56" s="1"/>
  <c r="D12" i="56"/>
  <c r="F53" i="56" s="1"/>
  <c r="D6" i="56"/>
  <c r="D4" i="56"/>
  <c r="V40" i="55"/>
  <c r="R40" i="55"/>
  <c r="R37" i="55"/>
  <c r="Z35" i="55"/>
  <c r="X35" i="55"/>
  <c r="N35" i="55"/>
  <c r="L35" i="55"/>
  <c r="J35" i="55"/>
  <c r="R33" i="55"/>
  <c r="X31" i="55"/>
  <c r="T31" i="55"/>
  <c r="Z31" i="55" s="1"/>
  <c r="R31" i="55"/>
  <c r="P31" i="55"/>
  <c r="N31" i="55"/>
  <c r="H31" i="55"/>
  <c r="D31" i="55"/>
  <c r="L31" i="55" s="1"/>
  <c r="X29" i="55"/>
  <c r="Z29" i="55" s="1"/>
  <c r="R29" i="55"/>
  <c r="N29" i="55"/>
  <c r="L29" i="55"/>
  <c r="J29" i="55"/>
  <c r="B29" i="55"/>
  <c r="X28" i="55"/>
  <c r="Z28" i="55" s="1"/>
  <c r="V28" i="55"/>
  <c r="R28" i="55"/>
  <c r="N28" i="55"/>
  <c r="L28" i="55"/>
  <c r="J28" i="55"/>
  <c r="B28" i="55"/>
  <c r="T27" i="55"/>
  <c r="R27" i="55"/>
  <c r="P27" i="55"/>
  <c r="X27" i="55" s="1"/>
  <c r="Z27" i="55" s="1"/>
  <c r="H27" i="55"/>
  <c r="D27" i="55"/>
  <c r="B27" i="55"/>
  <c r="X26" i="55"/>
  <c r="Z26" i="55" s="1"/>
  <c r="R26" i="55"/>
  <c r="N26" i="55"/>
  <c r="L26" i="55"/>
  <c r="J26" i="55"/>
  <c r="B26" i="55"/>
  <c r="V25" i="55"/>
  <c r="T25" i="55"/>
  <c r="R25" i="55"/>
  <c r="P25" i="55"/>
  <c r="X25" i="55" s="1"/>
  <c r="Z25" i="55" s="1"/>
  <c r="N25" i="55"/>
  <c r="L25" i="55"/>
  <c r="J25" i="55"/>
  <c r="H25" i="55"/>
  <c r="D25" i="55"/>
  <c r="B25" i="55"/>
  <c r="X24" i="55"/>
  <c r="Z24" i="55" s="1"/>
  <c r="R24" i="55"/>
  <c r="L24" i="55"/>
  <c r="N24" i="55" s="1"/>
  <c r="J24" i="55"/>
  <c r="B24" i="55"/>
  <c r="X23" i="55"/>
  <c r="V23" i="55"/>
  <c r="T23" i="55"/>
  <c r="R23" i="55"/>
  <c r="P23" i="55"/>
  <c r="J23" i="55"/>
  <c r="H23" i="55"/>
  <c r="D23" i="55"/>
  <c r="L23" i="55" s="1"/>
  <c r="B23" i="55"/>
  <c r="Z22" i="55"/>
  <c r="X22" i="55"/>
  <c r="R22" i="55"/>
  <c r="L22" i="55"/>
  <c r="N22" i="55" s="1"/>
  <c r="F22" i="55"/>
  <c r="B22" i="55"/>
  <c r="T21" i="55"/>
  <c r="R21" i="55"/>
  <c r="P21" i="55"/>
  <c r="H21" i="55"/>
  <c r="D21" i="55"/>
  <c r="L21" i="55" s="1"/>
  <c r="N21" i="55" s="1"/>
  <c r="B21" i="55"/>
  <c r="Z20" i="55"/>
  <c r="X20" i="55"/>
  <c r="V20" i="55"/>
  <c r="R20" i="55"/>
  <c r="L20" i="55"/>
  <c r="N20" i="55" s="1"/>
  <c r="B20" i="55"/>
  <c r="T19" i="55"/>
  <c r="P19" i="55"/>
  <c r="X19" i="55" s="1"/>
  <c r="J19" i="55"/>
  <c r="H19" i="55"/>
  <c r="D19" i="55"/>
  <c r="L19" i="55" s="1"/>
  <c r="N19" i="55" s="1"/>
  <c r="B19" i="55"/>
  <c r="T18" i="55"/>
  <c r="R18" i="55"/>
  <c r="P18" i="55"/>
  <c r="H18" i="55"/>
  <c r="D18" i="55"/>
  <c r="L18" i="55" s="1"/>
  <c r="V16" i="55"/>
  <c r="R16" i="55"/>
  <c r="Z14" i="55"/>
  <c r="T14" i="55"/>
  <c r="R14" i="55"/>
  <c r="P14" i="55"/>
  <c r="P16" i="55" s="1"/>
  <c r="H14" i="55"/>
  <c r="N14" i="55" s="1"/>
  <c r="D14" i="55"/>
  <c r="L14" i="55" s="1"/>
  <c r="Z12" i="55"/>
  <c r="T12" i="55"/>
  <c r="V14" i="55" s="1"/>
  <c r="P12" i="55"/>
  <c r="R35" i="55" s="1"/>
  <c r="N12" i="55"/>
  <c r="H12" i="55"/>
  <c r="J20" i="55" s="1"/>
  <c r="D12" i="55"/>
  <c r="D6" i="55"/>
  <c r="D4" i="55"/>
  <c r="V31" i="54"/>
  <c r="V29" i="54"/>
  <c r="T29" i="54"/>
  <c r="P29" i="54"/>
  <c r="N29" i="54"/>
  <c r="L29" i="54"/>
  <c r="H29" i="54"/>
  <c r="D29" i="54"/>
  <c r="X28" i="54"/>
  <c r="V28" i="54"/>
  <c r="T28" i="54"/>
  <c r="P28" i="54"/>
  <c r="N28" i="54"/>
  <c r="L28" i="54"/>
  <c r="H28" i="54"/>
  <c r="D28" i="54"/>
  <c r="V26" i="54"/>
  <c r="Z24" i="54"/>
  <c r="X24" i="54"/>
  <c r="V24" i="54"/>
  <c r="N24" i="54"/>
  <c r="L24" i="54"/>
  <c r="J24" i="54"/>
  <c r="F24" i="54"/>
  <c r="J22" i="54"/>
  <c r="F22" i="54"/>
  <c r="T20" i="54"/>
  <c r="Z20" i="54" s="1"/>
  <c r="P20" i="54"/>
  <c r="N20" i="54"/>
  <c r="L20" i="54"/>
  <c r="H20" i="54"/>
  <c r="F20" i="54"/>
  <c r="D20" i="54"/>
  <c r="X18" i="54"/>
  <c r="T18" i="54"/>
  <c r="Z18" i="54" s="1"/>
  <c r="P18" i="54"/>
  <c r="N18" i="54"/>
  <c r="L18" i="54"/>
  <c r="J18" i="54"/>
  <c r="H18" i="54"/>
  <c r="F18" i="54"/>
  <c r="D18" i="54"/>
  <c r="T16" i="54"/>
  <c r="Z16" i="54" s="1"/>
  <c r="F16" i="54"/>
  <c r="D16" i="54"/>
  <c r="X14" i="54"/>
  <c r="T14" i="54"/>
  <c r="Z14" i="54" s="1"/>
  <c r="P14" i="54"/>
  <c r="N14" i="54"/>
  <c r="H14" i="54"/>
  <c r="F14" i="54"/>
  <c r="D14" i="54"/>
  <c r="L14" i="54" s="1"/>
  <c r="Z12" i="54"/>
  <c r="X12" i="54"/>
  <c r="T12" i="54"/>
  <c r="V22" i="54" s="1"/>
  <c r="P12" i="54"/>
  <c r="R31" i="54" s="1"/>
  <c r="H12" i="54"/>
  <c r="J20" i="54" s="1"/>
  <c r="D12" i="54"/>
  <c r="D6" i="54"/>
  <c r="D4" i="54"/>
  <c r="X114" i="51"/>
  <c r="Z114" i="51" s="1"/>
  <c r="L114" i="51"/>
  <c r="N114" i="51" s="1"/>
  <c r="X110" i="51"/>
  <c r="Z110" i="51" s="1"/>
  <c r="V110" i="51"/>
  <c r="P110" i="51"/>
  <c r="D110" i="51"/>
  <c r="L110" i="51" s="1"/>
  <c r="N110" i="51" s="1"/>
  <c r="B110" i="51"/>
  <c r="Z109" i="51"/>
  <c r="V109" i="51"/>
  <c r="P109" i="51"/>
  <c r="X109" i="51" s="1"/>
  <c r="N109" i="51"/>
  <c r="L109" i="51"/>
  <c r="D109" i="51"/>
  <c r="D106" i="51" s="1"/>
  <c r="L106" i="51" s="1"/>
  <c r="N106" i="51" s="1"/>
  <c r="B109" i="51"/>
  <c r="Z108" i="51"/>
  <c r="P108" i="51"/>
  <c r="X108" i="51" s="1"/>
  <c r="N108" i="51"/>
  <c r="L108" i="51"/>
  <c r="D108" i="51"/>
  <c r="B108" i="51"/>
  <c r="Z107" i="51"/>
  <c r="P107" i="51"/>
  <c r="N107" i="51"/>
  <c r="L107" i="51"/>
  <c r="D107" i="51"/>
  <c r="B107" i="51"/>
  <c r="V106" i="51"/>
  <c r="T106" i="51"/>
  <c r="H106" i="51"/>
  <c r="Z104" i="51"/>
  <c r="X104" i="51"/>
  <c r="V104" i="51"/>
  <c r="N104" i="51"/>
  <c r="L104" i="51"/>
  <c r="J104" i="51"/>
  <c r="B104" i="51"/>
  <c r="Z103" i="51"/>
  <c r="T103" i="51"/>
  <c r="P103" i="51"/>
  <c r="X103" i="51" s="1"/>
  <c r="H103" i="51"/>
  <c r="N103" i="51" s="1"/>
  <c r="D103" i="51"/>
  <c r="L103" i="51" s="1"/>
  <c r="B103" i="51"/>
  <c r="X102" i="51"/>
  <c r="Z102" i="51" s="1"/>
  <c r="N102" i="51"/>
  <c r="L102" i="51"/>
  <c r="B102" i="51"/>
  <c r="T101" i="51"/>
  <c r="P101" i="51"/>
  <c r="X101" i="51" s="1"/>
  <c r="Z101" i="51" s="1"/>
  <c r="H101" i="51"/>
  <c r="D101" i="51"/>
  <c r="L101" i="51" s="1"/>
  <c r="N101" i="51" s="1"/>
  <c r="B101" i="51"/>
  <c r="Z100" i="51"/>
  <c r="X100" i="51"/>
  <c r="N100" i="51"/>
  <c r="L100" i="51"/>
  <c r="B100" i="51"/>
  <c r="X99" i="51"/>
  <c r="Z99" i="51" s="1"/>
  <c r="N99" i="51"/>
  <c r="L99" i="51"/>
  <c r="B99" i="51"/>
  <c r="T98" i="51"/>
  <c r="P98" i="51"/>
  <c r="L98" i="51"/>
  <c r="N98" i="51" s="1"/>
  <c r="H98" i="51"/>
  <c r="D98" i="51"/>
  <c r="B98" i="51"/>
  <c r="Z97" i="51"/>
  <c r="X97" i="51"/>
  <c r="V97" i="51"/>
  <c r="N97" i="51"/>
  <c r="L97" i="51"/>
  <c r="B97" i="51"/>
  <c r="X96" i="51"/>
  <c r="Z96" i="51" s="1"/>
  <c r="V96" i="51"/>
  <c r="L96" i="51"/>
  <c r="N96" i="51" s="1"/>
  <c r="J96" i="51"/>
  <c r="B96" i="51"/>
  <c r="T95" i="51"/>
  <c r="P95" i="51"/>
  <c r="X95" i="51" s="1"/>
  <c r="Z95" i="51" s="1"/>
  <c r="H95" i="51"/>
  <c r="D95" i="51"/>
  <c r="B95" i="51"/>
  <c r="Z94" i="51"/>
  <c r="X94" i="51"/>
  <c r="N94" i="51"/>
  <c r="L94" i="51"/>
  <c r="B94" i="51"/>
  <c r="Z93" i="51"/>
  <c r="T93" i="51"/>
  <c r="P93" i="51"/>
  <c r="X93" i="51" s="1"/>
  <c r="N93" i="51"/>
  <c r="H93" i="51"/>
  <c r="D93" i="51"/>
  <c r="L93" i="51" s="1"/>
  <c r="B93" i="51"/>
  <c r="Z92" i="51"/>
  <c r="X92" i="51"/>
  <c r="N92" i="51"/>
  <c r="L92" i="51"/>
  <c r="J92" i="51"/>
  <c r="B92" i="51"/>
  <c r="Z91" i="51"/>
  <c r="X91" i="51"/>
  <c r="T91" i="51"/>
  <c r="P91" i="51"/>
  <c r="H91" i="51"/>
  <c r="N91" i="51" s="1"/>
  <c r="D91" i="51"/>
  <c r="B91" i="51"/>
  <c r="Z90" i="51"/>
  <c r="X90" i="51"/>
  <c r="L90" i="51"/>
  <c r="N90" i="51" s="1"/>
  <c r="B90" i="51"/>
  <c r="V89" i="51"/>
  <c r="T89" i="51"/>
  <c r="P89" i="51"/>
  <c r="X89" i="51" s="1"/>
  <c r="H89" i="51"/>
  <c r="D89" i="51"/>
  <c r="L89" i="51" s="1"/>
  <c r="N89" i="51" s="1"/>
  <c r="B89" i="51"/>
  <c r="X88" i="51"/>
  <c r="Z88" i="51" s="1"/>
  <c r="V88" i="51"/>
  <c r="L88" i="51"/>
  <c r="N88" i="51" s="1"/>
  <c r="B88" i="51"/>
  <c r="T87" i="51"/>
  <c r="P87" i="51"/>
  <c r="X87" i="51" s="1"/>
  <c r="Z87" i="51" s="1"/>
  <c r="H87" i="51"/>
  <c r="D87" i="51"/>
  <c r="L87" i="51" s="1"/>
  <c r="N87" i="51" s="1"/>
  <c r="B87" i="51"/>
  <c r="Z86" i="51"/>
  <c r="X86" i="51"/>
  <c r="N86" i="51"/>
  <c r="L86" i="51"/>
  <c r="B86" i="51"/>
  <c r="T85" i="51"/>
  <c r="P85" i="51"/>
  <c r="N85" i="51"/>
  <c r="L85" i="51"/>
  <c r="H85" i="51"/>
  <c r="D85" i="51"/>
  <c r="B85" i="51"/>
  <c r="Z84" i="51"/>
  <c r="X84" i="51"/>
  <c r="V84" i="51"/>
  <c r="N84" i="51"/>
  <c r="L84" i="51"/>
  <c r="J84" i="51"/>
  <c r="B84" i="51"/>
  <c r="Z83" i="51"/>
  <c r="T83" i="51"/>
  <c r="P83" i="51"/>
  <c r="X83" i="51" s="1"/>
  <c r="H83" i="51"/>
  <c r="N83" i="51" s="1"/>
  <c r="D83" i="51"/>
  <c r="L83" i="51" s="1"/>
  <c r="B83" i="51"/>
  <c r="X82" i="51"/>
  <c r="Z82" i="51" s="1"/>
  <c r="N82" i="51"/>
  <c r="L82" i="51"/>
  <c r="B82" i="51"/>
  <c r="T81" i="51"/>
  <c r="P81" i="51"/>
  <c r="X81" i="51" s="1"/>
  <c r="Z81" i="51" s="1"/>
  <c r="H81" i="51"/>
  <c r="D81" i="51"/>
  <c r="L81" i="51" s="1"/>
  <c r="N81" i="51" s="1"/>
  <c r="B81" i="51"/>
  <c r="Z80" i="51"/>
  <c r="X80" i="51"/>
  <c r="N80" i="51"/>
  <c r="L80" i="51"/>
  <c r="J80" i="51"/>
  <c r="B80" i="51"/>
  <c r="Z79" i="51"/>
  <c r="X79" i="51"/>
  <c r="N79" i="51"/>
  <c r="L79" i="51"/>
  <c r="B79" i="51"/>
  <c r="Z78" i="51"/>
  <c r="X78" i="51"/>
  <c r="N78" i="51"/>
  <c r="L78" i="51"/>
  <c r="B78" i="51"/>
  <c r="X77" i="51"/>
  <c r="Z77" i="51" s="1"/>
  <c r="N77" i="51"/>
  <c r="L77" i="51"/>
  <c r="J77" i="51"/>
  <c r="B77" i="51"/>
  <c r="Z76" i="51"/>
  <c r="X76" i="51"/>
  <c r="N76" i="51"/>
  <c r="L76" i="51"/>
  <c r="J76" i="51"/>
  <c r="B76" i="51"/>
  <c r="Z75" i="51"/>
  <c r="X75" i="51"/>
  <c r="N75" i="51"/>
  <c r="L75" i="51"/>
  <c r="B75" i="51"/>
  <c r="Z74" i="51"/>
  <c r="X74" i="51"/>
  <c r="N74" i="51"/>
  <c r="L74" i="51"/>
  <c r="B74" i="51"/>
  <c r="Z73" i="51"/>
  <c r="X73" i="51"/>
  <c r="N73" i="51"/>
  <c r="L73" i="51"/>
  <c r="J73" i="51"/>
  <c r="B73" i="51"/>
  <c r="Z72" i="51"/>
  <c r="X72" i="51"/>
  <c r="N72" i="51"/>
  <c r="L72" i="51"/>
  <c r="J72" i="51"/>
  <c r="B72" i="51"/>
  <c r="Z71" i="51"/>
  <c r="X71" i="51"/>
  <c r="N71" i="51"/>
  <c r="L71" i="51"/>
  <c r="B71" i="51"/>
  <c r="T70" i="51"/>
  <c r="P70" i="51"/>
  <c r="H70" i="51"/>
  <c r="D70" i="51"/>
  <c r="L70" i="51" s="1"/>
  <c r="N70" i="51" s="1"/>
  <c r="B70" i="51"/>
  <c r="Z69" i="51"/>
  <c r="X69" i="51"/>
  <c r="V69" i="51"/>
  <c r="N69" i="51"/>
  <c r="L69" i="51"/>
  <c r="B69" i="51"/>
  <c r="X68" i="51"/>
  <c r="Z68" i="51" s="1"/>
  <c r="V68" i="51"/>
  <c r="L68" i="51"/>
  <c r="N68" i="51" s="1"/>
  <c r="J68" i="51"/>
  <c r="B68" i="51"/>
  <c r="Z67" i="51"/>
  <c r="X67" i="51"/>
  <c r="L67" i="51"/>
  <c r="N67" i="51" s="1"/>
  <c r="B67" i="51"/>
  <c r="Z66" i="51"/>
  <c r="X66" i="51"/>
  <c r="N66" i="51"/>
  <c r="L66" i="51"/>
  <c r="B66" i="51"/>
  <c r="Z65" i="51"/>
  <c r="X65" i="51"/>
  <c r="V65" i="51"/>
  <c r="N65" i="51"/>
  <c r="L65" i="51"/>
  <c r="B65" i="51"/>
  <c r="X64" i="51"/>
  <c r="Z64" i="51" s="1"/>
  <c r="V64" i="51"/>
  <c r="L64" i="51"/>
  <c r="N64" i="51" s="1"/>
  <c r="J64" i="51"/>
  <c r="B64" i="51"/>
  <c r="Z63" i="51"/>
  <c r="X63" i="51"/>
  <c r="L63" i="51"/>
  <c r="N63" i="51" s="1"/>
  <c r="B63" i="51"/>
  <c r="Z62" i="51"/>
  <c r="X62" i="51"/>
  <c r="L62" i="51"/>
  <c r="N62" i="51" s="1"/>
  <c r="B62" i="51"/>
  <c r="Z61" i="51"/>
  <c r="X61" i="51"/>
  <c r="V61" i="51"/>
  <c r="N61" i="51"/>
  <c r="L61" i="51"/>
  <c r="B61" i="51"/>
  <c r="X60" i="51"/>
  <c r="Z60" i="51" s="1"/>
  <c r="V60" i="51"/>
  <c r="L60" i="51"/>
  <c r="N60" i="51" s="1"/>
  <c r="J60" i="51"/>
  <c r="B60" i="51"/>
  <c r="T59" i="51"/>
  <c r="P59" i="51"/>
  <c r="X59" i="51" s="1"/>
  <c r="Z59" i="51" s="1"/>
  <c r="J59" i="51"/>
  <c r="H59" i="51"/>
  <c r="D59" i="51"/>
  <c r="L59" i="51" s="1"/>
  <c r="B59" i="51"/>
  <c r="T58" i="51"/>
  <c r="P58" i="51"/>
  <c r="H58" i="51"/>
  <c r="J58" i="51" s="1"/>
  <c r="D58" i="51"/>
  <c r="L58" i="51" s="1"/>
  <c r="Z54" i="51"/>
  <c r="X54" i="51"/>
  <c r="N54" i="51"/>
  <c r="L54" i="51"/>
  <c r="B54" i="51"/>
  <c r="Z53" i="51"/>
  <c r="X53" i="51"/>
  <c r="V53" i="51"/>
  <c r="N53" i="51"/>
  <c r="L53" i="51"/>
  <c r="B53" i="51"/>
  <c r="Z52" i="51"/>
  <c r="X52" i="51"/>
  <c r="V52" i="51"/>
  <c r="N52" i="51"/>
  <c r="L52" i="51"/>
  <c r="B52" i="51"/>
  <c r="Z51" i="51"/>
  <c r="X51" i="51"/>
  <c r="V51" i="51"/>
  <c r="N51" i="51"/>
  <c r="L51" i="51"/>
  <c r="B51" i="51"/>
  <c r="Z50" i="51"/>
  <c r="X50" i="51"/>
  <c r="N50" i="51"/>
  <c r="L50" i="51"/>
  <c r="B50" i="51"/>
  <c r="Z49" i="51"/>
  <c r="X49" i="51"/>
  <c r="V49" i="51"/>
  <c r="N49" i="51"/>
  <c r="L49" i="51"/>
  <c r="B49" i="51"/>
  <c r="Z48" i="51"/>
  <c r="X48" i="51"/>
  <c r="V48" i="51"/>
  <c r="N48" i="51"/>
  <c r="L48" i="51"/>
  <c r="B48" i="51"/>
  <c r="Z47" i="51"/>
  <c r="X47" i="51"/>
  <c r="V47" i="51"/>
  <c r="N47" i="51"/>
  <c r="L47" i="51"/>
  <c r="B47" i="51"/>
  <c r="Z46" i="51"/>
  <c r="X46" i="51"/>
  <c r="N46" i="51"/>
  <c r="L46" i="51"/>
  <c r="B46" i="51"/>
  <c r="Z45" i="51"/>
  <c r="X45" i="51"/>
  <c r="V45" i="51"/>
  <c r="N45" i="51"/>
  <c r="L45" i="51"/>
  <c r="B45" i="51"/>
  <c r="Z44" i="51"/>
  <c r="X44" i="51"/>
  <c r="V44" i="51"/>
  <c r="N44" i="51"/>
  <c r="L44" i="51"/>
  <c r="B44" i="51"/>
  <c r="Z43" i="51"/>
  <c r="X43" i="51"/>
  <c r="V43" i="51"/>
  <c r="N43" i="51"/>
  <c r="L43" i="51"/>
  <c r="J43" i="51"/>
  <c r="B43" i="51"/>
  <c r="Z42" i="51"/>
  <c r="X42" i="51"/>
  <c r="V42" i="51"/>
  <c r="N42" i="51"/>
  <c r="L42" i="51"/>
  <c r="B42" i="51"/>
  <c r="Z41" i="51"/>
  <c r="X41" i="51"/>
  <c r="V41" i="51"/>
  <c r="L41" i="51"/>
  <c r="N41" i="51" s="1"/>
  <c r="J41" i="51"/>
  <c r="B41" i="51"/>
  <c r="X40" i="51"/>
  <c r="V40" i="51"/>
  <c r="T40" i="51"/>
  <c r="T56" i="51" s="1"/>
  <c r="P40" i="51"/>
  <c r="H40" i="51"/>
  <c r="D40" i="51"/>
  <c r="L40" i="51" s="1"/>
  <c r="Z38" i="51"/>
  <c r="X38" i="51"/>
  <c r="P38" i="51"/>
  <c r="N38" i="51"/>
  <c r="D38" i="51"/>
  <c r="L38" i="51" s="1"/>
  <c r="B38" i="51"/>
  <c r="Z37" i="51"/>
  <c r="P37" i="51"/>
  <c r="X37" i="51" s="1"/>
  <c r="N37" i="51"/>
  <c r="L37" i="51"/>
  <c r="D37" i="51"/>
  <c r="B37" i="51"/>
  <c r="Z36" i="51"/>
  <c r="X36" i="51"/>
  <c r="P36" i="51"/>
  <c r="N36" i="51"/>
  <c r="D36" i="51"/>
  <c r="L36" i="51" s="1"/>
  <c r="B36" i="51"/>
  <c r="Z35" i="51"/>
  <c r="X35" i="51"/>
  <c r="P35" i="51"/>
  <c r="N35" i="51"/>
  <c r="D35" i="51"/>
  <c r="L35" i="51" s="1"/>
  <c r="B35" i="51"/>
  <c r="Z34" i="51"/>
  <c r="X34" i="51"/>
  <c r="P34" i="51"/>
  <c r="N34" i="51"/>
  <c r="D34" i="51"/>
  <c r="L34" i="51" s="1"/>
  <c r="B34" i="51"/>
  <c r="Z33" i="51"/>
  <c r="P33" i="51"/>
  <c r="X33" i="51" s="1"/>
  <c r="N33" i="51"/>
  <c r="L33" i="51"/>
  <c r="D33" i="51"/>
  <c r="B33" i="51"/>
  <c r="Z32" i="51"/>
  <c r="P32" i="51"/>
  <c r="X32" i="51" s="1"/>
  <c r="N32" i="51"/>
  <c r="L32" i="51"/>
  <c r="D32" i="51"/>
  <c r="B32" i="51"/>
  <c r="Z31" i="51"/>
  <c r="X31" i="51"/>
  <c r="P31" i="51"/>
  <c r="N31" i="51"/>
  <c r="L31" i="51"/>
  <c r="D31" i="51"/>
  <c r="B31" i="51"/>
  <c r="Z30" i="51"/>
  <c r="P30" i="51"/>
  <c r="X30" i="51" s="1"/>
  <c r="N30" i="51"/>
  <c r="D30" i="51"/>
  <c r="L30" i="51" s="1"/>
  <c r="B30" i="51"/>
  <c r="Z29" i="51"/>
  <c r="P29" i="51"/>
  <c r="X29" i="51" s="1"/>
  <c r="N29" i="51"/>
  <c r="D29" i="51"/>
  <c r="L29" i="51" s="1"/>
  <c r="B29" i="51"/>
  <c r="Z28" i="51"/>
  <c r="X28" i="51"/>
  <c r="P28" i="51"/>
  <c r="N28" i="51"/>
  <c r="L28" i="51"/>
  <c r="D28" i="51"/>
  <c r="B28" i="51"/>
  <c r="Z27" i="51"/>
  <c r="P27" i="51"/>
  <c r="X27" i="51" s="1"/>
  <c r="N27" i="51"/>
  <c r="D27" i="51"/>
  <c r="L27" i="51" s="1"/>
  <c r="B27" i="51"/>
  <c r="Z26" i="51"/>
  <c r="X26" i="51"/>
  <c r="P26" i="51"/>
  <c r="N26" i="51"/>
  <c r="D26" i="51"/>
  <c r="L26" i="51" s="1"/>
  <c r="B26" i="51"/>
  <c r="Z25" i="51"/>
  <c r="P25" i="51"/>
  <c r="X25" i="51" s="1"/>
  <c r="N25" i="51"/>
  <c r="L25" i="51"/>
  <c r="D25" i="51"/>
  <c r="B25" i="51"/>
  <c r="Z24" i="51"/>
  <c r="X24" i="51"/>
  <c r="P24" i="51"/>
  <c r="N24" i="51"/>
  <c r="D24" i="51"/>
  <c r="L24" i="51" s="1"/>
  <c r="B24" i="51"/>
  <c r="Z23" i="51"/>
  <c r="X23" i="51"/>
  <c r="P23" i="51"/>
  <c r="N23" i="51"/>
  <c r="D23" i="51"/>
  <c r="L23" i="51" s="1"/>
  <c r="B23" i="51"/>
  <c r="Z22" i="51"/>
  <c r="X22" i="51"/>
  <c r="P22" i="51"/>
  <c r="N22" i="51"/>
  <c r="D22" i="51"/>
  <c r="L22" i="51" s="1"/>
  <c r="B22" i="51"/>
  <c r="P21" i="51"/>
  <c r="X21" i="51" s="1"/>
  <c r="Z21" i="51" s="1"/>
  <c r="N21" i="51"/>
  <c r="L21" i="51"/>
  <c r="D21" i="51"/>
  <c r="B21" i="51"/>
  <c r="Z20" i="51"/>
  <c r="P20" i="51"/>
  <c r="X20" i="51" s="1"/>
  <c r="N20" i="51"/>
  <c r="L20" i="51"/>
  <c r="D20" i="51"/>
  <c r="B20" i="51"/>
  <c r="Z19" i="51"/>
  <c r="X19" i="51"/>
  <c r="P19" i="51"/>
  <c r="N19" i="51"/>
  <c r="L19" i="51"/>
  <c r="D19" i="51"/>
  <c r="B19" i="51"/>
  <c r="Z18" i="51"/>
  <c r="P18" i="51"/>
  <c r="X18" i="51" s="1"/>
  <c r="N18" i="51"/>
  <c r="D18" i="51"/>
  <c r="L18" i="51" s="1"/>
  <c r="B18" i="51"/>
  <c r="Z17" i="51"/>
  <c r="P17" i="51"/>
  <c r="X17" i="51" s="1"/>
  <c r="N17" i="51"/>
  <c r="D17" i="51"/>
  <c r="L17" i="51" s="1"/>
  <c r="B17" i="51"/>
  <c r="Z16" i="51"/>
  <c r="X16" i="51"/>
  <c r="P16" i="51"/>
  <c r="N16" i="51"/>
  <c r="L16" i="51"/>
  <c r="D16" i="51"/>
  <c r="B16" i="51"/>
  <c r="Z15" i="51"/>
  <c r="P15" i="51"/>
  <c r="X15" i="51" s="1"/>
  <c r="N15" i="51"/>
  <c r="D15" i="51"/>
  <c r="B15" i="51"/>
  <c r="Z14" i="51"/>
  <c r="P14" i="51"/>
  <c r="X14" i="51" s="1"/>
  <c r="N14" i="51"/>
  <c r="D14" i="51"/>
  <c r="L14" i="51" s="1"/>
  <c r="B14" i="51"/>
  <c r="P13" i="51"/>
  <c r="N13" i="51"/>
  <c r="L13" i="51"/>
  <c r="D13" i="51"/>
  <c r="B13" i="51"/>
  <c r="T12" i="51"/>
  <c r="V99" i="51" s="1"/>
  <c r="H12" i="51"/>
  <c r="J85" i="51" s="1"/>
  <c r="D4" i="51"/>
  <c r="Z78" i="48"/>
  <c r="X78" i="48"/>
  <c r="N78" i="48"/>
  <c r="L78" i="48"/>
  <c r="X74" i="48"/>
  <c r="Z74" i="48" s="1"/>
  <c r="P74" i="48"/>
  <c r="N74" i="48"/>
  <c r="L74" i="48"/>
  <c r="D74" i="48"/>
  <c r="B74" i="48"/>
  <c r="T73" i="48"/>
  <c r="P73" i="48"/>
  <c r="X73" i="48" s="1"/>
  <c r="N73" i="48"/>
  <c r="L73" i="48"/>
  <c r="H73" i="48"/>
  <c r="D73" i="48"/>
  <c r="X71" i="48"/>
  <c r="Z71" i="48" s="1"/>
  <c r="N71" i="48"/>
  <c r="L71" i="48"/>
  <c r="J71" i="48"/>
  <c r="B71" i="48"/>
  <c r="T70" i="48"/>
  <c r="P70" i="48"/>
  <c r="X70" i="48" s="1"/>
  <c r="Z70" i="48" s="1"/>
  <c r="H70" i="48"/>
  <c r="N70" i="48" s="1"/>
  <c r="D70" i="48"/>
  <c r="B70" i="48"/>
  <c r="X69" i="48"/>
  <c r="Z69" i="48" s="1"/>
  <c r="N69" i="48"/>
  <c r="L69" i="48"/>
  <c r="B69" i="48"/>
  <c r="T68" i="48"/>
  <c r="P68" i="48"/>
  <c r="X68" i="48" s="1"/>
  <c r="Z68" i="48" s="1"/>
  <c r="L68" i="48"/>
  <c r="N68" i="48" s="1"/>
  <c r="H68" i="48"/>
  <c r="D68" i="48"/>
  <c r="B68" i="48"/>
  <c r="Z67" i="48"/>
  <c r="X67" i="48"/>
  <c r="N67" i="48"/>
  <c r="L67" i="48"/>
  <c r="J67" i="48"/>
  <c r="B67" i="48"/>
  <c r="Z66" i="48"/>
  <c r="X66" i="48"/>
  <c r="N66" i="48"/>
  <c r="L66" i="48"/>
  <c r="B66" i="48"/>
  <c r="Z65" i="48"/>
  <c r="X65" i="48"/>
  <c r="N65" i="48"/>
  <c r="L65" i="48"/>
  <c r="B65" i="48"/>
  <c r="T64" i="48"/>
  <c r="P64" i="48"/>
  <c r="N64" i="48"/>
  <c r="L64" i="48"/>
  <c r="H64" i="48"/>
  <c r="D64" i="48"/>
  <c r="B64" i="48"/>
  <c r="Z63" i="48"/>
  <c r="X63" i="48"/>
  <c r="V63" i="48"/>
  <c r="N63" i="48"/>
  <c r="L63" i="48"/>
  <c r="B63" i="48"/>
  <c r="Z62" i="48"/>
  <c r="T62" i="48"/>
  <c r="P62" i="48"/>
  <c r="X62" i="48" s="1"/>
  <c r="H62" i="48"/>
  <c r="N62" i="48" s="1"/>
  <c r="D62" i="48"/>
  <c r="B62" i="48"/>
  <c r="Z61" i="48"/>
  <c r="X61" i="48"/>
  <c r="N61" i="48"/>
  <c r="L61" i="48"/>
  <c r="B61" i="48"/>
  <c r="Z60" i="48"/>
  <c r="X60" i="48"/>
  <c r="N60" i="48"/>
  <c r="L60" i="48"/>
  <c r="B60" i="48"/>
  <c r="X59" i="48"/>
  <c r="Z59" i="48" s="1"/>
  <c r="L59" i="48"/>
  <c r="N59" i="48" s="1"/>
  <c r="B59" i="48"/>
  <c r="X58" i="48"/>
  <c r="Z58" i="48" s="1"/>
  <c r="N58" i="48"/>
  <c r="L58" i="48"/>
  <c r="B58" i="48"/>
  <c r="T57" i="48"/>
  <c r="R57" i="48"/>
  <c r="P57" i="48"/>
  <c r="X57" i="48" s="1"/>
  <c r="L57" i="48"/>
  <c r="J57" i="48"/>
  <c r="H57" i="48"/>
  <c r="D57" i="48"/>
  <c r="B57" i="48"/>
  <c r="X56" i="48"/>
  <c r="Z56" i="48" s="1"/>
  <c r="R56" i="48"/>
  <c r="N56" i="48"/>
  <c r="L56" i="48"/>
  <c r="B56" i="48"/>
  <c r="T55" i="48"/>
  <c r="P55" i="48"/>
  <c r="X55" i="48" s="1"/>
  <c r="Z55" i="48" s="1"/>
  <c r="H55" i="48"/>
  <c r="D55" i="48"/>
  <c r="B55" i="48"/>
  <c r="Z54" i="48"/>
  <c r="X54" i="48"/>
  <c r="L54" i="48"/>
  <c r="N54" i="48" s="1"/>
  <c r="B54" i="48"/>
  <c r="Z53" i="48"/>
  <c r="X53" i="48"/>
  <c r="T53" i="48"/>
  <c r="P53" i="48"/>
  <c r="J53" i="48"/>
  <c r="H53" i="48"/>
  <c r="D53" i="48"/>
  <c r="L53" i="48" s="1"/>
  <c r="B53" i="48"/>
  <c r="Z52" i="48"/>
  <c r="X52" i="48"/>
  <c r="L52" i="48"/>
  <c r="N52" i="48" s="1"/>
  <c r="B52" i="48"/>
  <c r="X51" i="48"/>
  <c r="V51" i="48"/>
  <c r="T51" i="48"/>
  <c r="P51" i="48"/>
  <c r="H51" i="48"/>
  <c r="D51" i="48"/>
  <c r="L51" i="48" s="1"/>
  <c r="B51" i="48"/>
  <c r="Z50" i="48"/>
  <c r="X50" i="48"/>
  <c r="N50" i="48"/>
  <c r="L50" i="48"/>
  <c r="B50" i="48"/>
  <c r="Z49" i="48"/>
  <c r="T49" i="48"/>
  <c r="X49" i="48" s="1"/>
  <c r="R49" i="48"/>
  <c r="P49" i="48"/>
  <c r="H49" i="48"/>
  <c r="D49" i="48"/>
  <c r="L49" i="48" s="1"/>
  <c r="N49" i="48" s="1"/>
  <c r="B49" i="48"/>
  <c r="Z48" i="48"/>
  <c r="X48" i="48"/>
  <c r="V48" i="48"/>
  <c r="R48" i="48"/>
  <c r="N48" i="48"/>
  <c r="L48" i="48"/>
  <c r="B48" i="48"/>
  <c r="V47" i="48"/>
  <c r="T47" i="48"/>
  <c r="P47" i="48"/>
  <c r="X47" i="48" s="1"/>
  <c r="N47" i="48"/>
  <c r="L47" i="48"/>
  <c r="H47" i="48"/>
  <c r="D47" i="48"/>
  <c r="B47" i="48"/>
  <c r="X46" i="48"/>
  <c r="Z46" i="48" s="1"/>
  <c r="L46" i="48"/>
  <c r="N46" i="48" s="1"/>
  <c r="B46" i="48"/>
  <c r="T45" i="48"/>
  <c r="Z45" i="48" s="1"/>
  <c r="P45" i="48"/>
  <c r="X45" i="48" s="1"/>
  <c r="L45" i="48"/>
  <c r="H45" i="48"/>
  <c r="D45" i="48"/>
  <c r="B45" i="48"/>
  <c r="X44" i="48"/>
  <c r="Z44" i="48" s="1"/>
  <c r="N44" i="48"/>
  <c r="L44" i="48"/>
  <c r="J44" i="48"/>
  <c r="B44" i="48"/>
  <c r="T43" i="48"/>
  <c r="P43" i="48"/>
  <c r="X43" i="48" s="1"/>
  <c r="Z43" i="48" s="1"/>
  <c r="N43" i="48"/>
  <c r="H43" i="48"/>
  <c r="D43" i="48"/>
  <c r="L43" i="48" s="1"/>
  <c r="B43" i="48"/>
  <c r="Z42" i="48"/>
  <c r="X42" i="48"/>
  <c r="L42" i="48"/>
  <c r="N42" i="48" s="1"/>
  <c r="B42" i="48"/>
  <c r="Z41" i="48"/>
  <c r="X41" i="48"/>
  <c r="T41" i="48"/>
  <c r="P41" i="48"/>
  <c r="H41" i="48"/>
  <c r="N41" i="48" s="1"/>
  <c r="D41" i="48"/>
  <c r="L41" i="48" s="1"/>
  <c r="B41" i="48"/>
  <c r="Z40" i="48"/>
  <c r="X40" i="48"/>
  <c r="N40" i="48"/>
  <c r="L40" i="48"/>
  <c r="B40" i="48"/>
  <c r="Z39" i="48"/>
  <c r="X39" i="48"/>
  <c r="N39" i="48"/>
  <c r="L39" i="48"/>
  <c r="B39" i="48"/>
  <c r="X38" i="48"/>
  <c r="Z38" i="48" s="1"/>
  <c r="L38" i="48"/>
  <c r="N38" i="48" s="1"/>
  <c r="B38" i="48"/>
  <c r="X37" i="48"/>
  <c r="Z37" i="48" s="1"/>
  <c r="N37" i="48"/>
  <c r="L37" i="48"/>
  <c r="B37" i="48"/>
  <c r="Z36" i="48"/>
  <c r="X36" i="48"/>
  <c r="N36" i="48"/>
  <c r="L36" i="48"/>
  <c r="B36" i="48"/>
  <c r="Z35" i="48"/>
  <c r="X35" i="48"/>
  <c r="V35" i="48"/>
  <c r="N35" i="48"/>
  <c r="L35" i="48"/>
  <c r="B35" i="48"/>
  <c r="X34" i="48"/>
  <c r="Z34" i="48" s="1"/>
  <c r="V34" i="48"/>
  <c r="L34" i="48"/>
  <c r="N34" i="48" s="1"/>
  <c r="B34" i="48"/>
  <c r="Z33" i="48"/>
  <c r="X33" i="48"/>
  <c r="N33" i="48"/>
  <c r="L33" i="48"/>
  <c r="B33" i="48"/>
  <c r="Z32" i="48"/>
  <c r="X32" i="48"/>
  <c r="L32" i="48"/>
  <c r="N32" i="48" s="1"/>
  <c r="B32" i="48"/>
  <c r="Z31" i="48"/>
  <c r="X31" i="48"/>
  <c r="V31" i="48"/>
  <c r="R31" i="48"/>
  <c r="N31" i="48"/>
  <c r="L31" i="48"/>
  <c r="B31" i="48"/>
  <c r="T30" i="48"/>
  <c r="P30" i="48"/>
  <c r="X30" i="48" s="1"/>
  <c r="Z30" i="48" s="1"/>
  <c r="H30" i="48"/>
  <c r="D30" i="48"/>
  <c r="L30" i="48" s="1"/>
  <c r="N30" i="48" s="1"/>
  <c r="B30" i="48"/>
  <c r="Z29" i="48"/>
  <c r="X29" i="48"/>
  <c r="R29" i="48"/>
  <c r="N29" i="48"/>
  <c r="L29" i="48"/>
  <c r="B29" i="48"/>
  <c r="X28" i="48"/>
  <c r="Z28" i="48" s="1"/>
  <c r="V28" i="48"/>
  <c r="N28" i="48"/>
  <c r="L28" i="48"/>
  <c r="B28" i="48"/>
  <c r="X27" i="48"/>
  <c r="Z27" i="48" s="1"/>
  <c r="L27" i="48"/>
  <c r="N27" i="48" s="1"/>
  <c r="B27" i="48"/>
  <c r="Z26" i="48"/>
  <c r="X26" i="48"/>
  <c r="V26" i="48"/>
  <c r="N26" i="48"/>
  <c r="L26" i="48"/>
  <c r="B26" i="48"/>
  <c r="X25" i="48"/>
  <c r="Z25" i="48" s="1"/>
  <c r="R25" i="48"/>
  <c r="L25" i="48"/>
  <c r="N25" i="48" s="1"/>
  <c r="B25" i="48"/>
  <c r="X24" i="48"/>
  <c r="Z24" i="48" s="1"/>
  <c r="R24" i="48"/>
  <c r="N24" i="48"/>
  <c r="L24" i="48"/>
  <c r="B24" i="48"/>
  <c r="X23" i="48"/>
  <c r="Z23" i="48" s="1"/>
  <c r="L23" i="48"/>
  <c r="N23" i="48" s="1"/>
  <c r="J23" i="48"/>
  <c r="B23" i="48"/>
  <c r="X22" i="48"/>
  <c r="Z22" i="48" s="1"/>
  <c r="V22" i="48"/>
  <c r="N22" i="48"/>
  <c r="L22" i="48"/>
  <c r="B22" i="48"/>
  <c r="Z21" i="48"/>
  <c r="X21" i="48"/>
  <c r="N21" i="48"/>
  <c r="L21" i="48"/>
  <c r="B21" i="48"/>
  <c r="T20" i="48"/>
  <c r="P20" i="48"/>
  <c r="L20" i="48"/>
  <c r="N20" i="48" s="1"/>
  <c r="H20" i="48"/>
  <c r="D20" i="48"/>
  <c r="B20" i="48"/>
  <c r="T19" i="48"/>
  <c r="P19" i="48"/>
  <c r="H19" i="48"/>
  <c r="D19" i="48"/>
  <c r="P17" i="48"/>
  <c r="V15" i="48"/>
  <c r="T15" i="48"/>
  <c r="Z15" i="48" s="1"/>
  <c r="P15" i="48"/>
  <c r="X15" i="48" s="1"/>
  <c r="H15" i="48"/>
  <c r="D15" i="48"/>
  <c r="X13" i="48"/>
  <c r="Z13" i="48" s="1"/>
  <c r="P13" i="48"/>
  <c r="P12" i="48" s="1"/>
  <c r="R20" i="48" s="1"/>
  <c r="D13" i="48"/>
  <c r="L13" i="48" s="1"/>
  <c r="N13" i="48" s="1"/>
  <c r="B13" i="48"/>
  <c r="T12" i="48"/>
  <c r="V71" i="48" s="1"/>
  <c r="H12" i="48"/>
  <c r="J20" i="48" s="1"/>
  <c r="D4" i="48"/>
  <c r="Z104" i="45"/>
  <c r="X104" i="45"/>
  <c r="V104" i="45"/>
  <c r="L104" i="45"/>
  <c r="N104" i="45" s="1"/>
  <c r="Z100" i="45"/>
  <c r="T100" i="45"/>
  <c r="P100" i="45"/>
  <c r="N100" i="45"/>
  <c r="H100" i="45"/>
  <c r="D100" i="45"/>
  <c r="L100" i="45" s="1"/>
  <c r="Z98" i="45"/>
  <c r="X98" i="45"/>
  <c r="L98" i="45"/>
  <c r="N98" i="45" s="1"/>
  <c r="B98" i="45"/>
  <c r="X97" i="45"/>
  <c r="Z97" i="45" s="1"/>
  <c r="N97" i="45"/>
  <c r="L97" i="45"/>
  <c r="B97" i="45"/>
  <c r="T96" i="45"/>
  <c r="Z96" i="45" s="1"/>
  <c r="P96" i="45"/>
  <c r="X96" i="45" s="1"/>
  <c r="H96" i="45"/>
  <c r="D96" i="45"/>
  <c r="L96" i="45" s="1"/>
  <c r="B96" i="45"/>
  <c r="Z95" i="45"/>
  <c r="X95" i="45"/>
  <c r="L95" i="45"/>
  <c r="N95" i="45" s="1"/>
  <c r="B95" i="45"/>
  <c r="V94" i="45"/>
  <c r="T94" i="45"/>
  <c r="P94" i="45"/>
  <c r="X94" i="45" s="1"/>
  <c r="Z94" i="45" s="1"/>
  <c r="H94" i="45"/>
  <c r="D94" i="45"/>
  <c r="L94" i="45" s="1"/>
  <c r="N94" i="45" s="1"/>
  <c r="B94" i="45"/>
  <c r="Z93" i="45"/>
  <c r="X93" i="45"/>
  <c r="N93" i="45"/>
  <c r="L93" i="45"/>
  <c r="B93" i="45"/>
  <c r="T92" i="45"/>
  <c r="P92" i="45"/>
  <c r="X92" i="45" s="1"/>
  <c r="H92" i="45"/>
  <c r="D92" i="45"/>
  <c r="L92" i="45" s="1"/>
  <c r="B92" i="45"/>
  <c r="X91" i="45"/>
  <c r="Z91" i="45" s="1"/>
  <c r="N91" i="45"/>
  <c r="L91" i="45"/>
  <c r="B91" i="45"/>
  <c r="X90" i="45"/>
  <c r="Z90" i="45" s="1"/>
  <c r="L90" i="45"/>
  <c r="N90" i="45" s="1"/>
  <c r="B90" i="45"/>
  <c r="Z89" i="45"/>
  <c r="X89" i="45"/>
  <c r="N89" i="45"/>
  <c r="L89" i="45"/>
  <c r="B89" i="45"/>
  <c r="X88" i="45"/>
  <c r="Z88" i="45" s="1"/>
  <c r="N88" i="45"/>
  <c r="L88" i="45"/>
  <c r="B88" i="45"/>
  <c r="Z87" i="45"/>
  <c r="X87" i="45"/>
  <c r="N87" i="45"/>
  <c r="L87" i="45"/>
  <c r="B87" i="45"/>
  <c r="X86" i="45"/>
  <c r="Z86" i="45" s="1"/>
  <c r="N86" i="45"/>
  <c r="L86" i="45"/>
  <c r="B86" i="45"/>
  <c r="Z85" i="45"/>
  <c r="X85" i="45"/>
  <c r="V85" i="45"/>
  <c r="N85" i="45"/>
  <c r="L85" i="45"/>
  <c r="B85" i="45"/>
  <c r="X84" i="45"/>
  <c r="Z84" i="45" s="1"/>
  <c r="N84" i="45"/>
  <c r="L84" i="45"/>
  <c r="B84" i="45"/>
  <c r="Z83" i="45"/>
  <c r="X83" i="45"/>
  <c r="V83" i="45"/>
  <c r="N83" i="45"/>
  <c r="L83" i="45"/>
  <c r="B83" i="45"/>
  <c r="Z82" i="45"/>
  <c r="X82" i="45"/>
  <c r="T82" i="45"/>
  <c r="P82" i="45"/>
  <c r="N82" i="45"/>
  <c r="H82" i="45"/>
  <c r="L82" i="45" s="1"/>
  <c r="D82" i="45"/>
  <c r="B82" i="45"/>
  <c r="Z81" i="45"/>
  <c r="X81" i="45"/>
  <c r="N81" i="45"/>
  <c r="L81" i="45"/>
  <c r="J81" i="45"/>
  <c r="B81" i="45"/>
  <c r="X80" i="45"/>
  <c r="Z80" i="45" s="1"/>
  <c r="L80" i="45"/>
  <c r="N80" i="45" s="1"/>
  <c r="B80" i="45"/>
  <c r="Z79" i="45"/>
  <c r="X79" i="45"/>
  <c r="V79" i="45"/>
  <c r="L79" i="45"/>
  <c r="N79" i="45" s="1"/>
  <c r="B79" i="45"/>
  <c r="X78" i="45"/>
  <c r="Z78" i="45" s="1"/>
  <c r="L78" i="45"/>
  <c r="N78" i="45" s="1"/>
  <c r="B78" i="45"/>
  <c r="Z77" i="45"/>
  <c r="V77" i="45"/>
  <c r="T77" i="45"/>
  <c r="P77" i="45"/>
  <c r="X77" i="45" s="1"/>
  <c r="H77" i="45"/>
  <c r="D77" i="45"/>
  <c r="B77" i="45"/>
  <c r="X76" i="45"/>
  <c r="Z76" i="45" s="1"/>
  <c r="L76" i="45"/>
  <c r="N76" i="45" s="1"/>
  <c r="B76" i="45"/>
  <c r="Z75" i="45"/>
  <c r="X75" i="45"/>
  <c r="V75" i="45"/>
  <c r="L75" i="45"/>
  <c r="N75" i="45" s="1"/>
  <c r="B75" i="45"/>
  <c r="X74" i="45"/>
  <c r="Z74" i="45" s="1"/>
  <c r="N74" i="45"/>
  <c r="L74" i="45"/>
  <c r="B74" i="45"/>
  <c r="X73" i="45"/>
  <c r="Z73" i="45" s="1"/>
  <c r="L73" i="45"/>
  <c r="N73" i="45" s="1"/>
  <c r="B73" i="45"/>
  <c r="X72" i="45"/>
  <c r="T72" i="45"/>
  <c r="P72" i="45"/>
  <c r="L72" i="45"/>
  <c r="H72" i="45"/>
  <c r="D72" i="45"/>
  <c r="B72" i="45"/>
  <c r="X71" i="45"/>
  <c r="Z71" i="45" s="1"/>
  <c r="N71" i="45"/>
  <c r="L71" i="45"/>
  <c r="B71" i="45"/>
  <c r="T70" i="45"/>
  <c r="P70" i="45"/>
  <c r="X70" i="45" s="1"/>
  <c r="Z70" i="45" s="1"/>
  <c r="H70" i="45"/>
  <c r="D70" i="45"/>
  <c r="B70" i="45"/>
  <c r="Z69" i="45"/>
  <c r="X69" i="45"/>
  <c r="L69" i="45"/>
  <c r="N69" i="45" s="1"/>
  <c r="B69" i="45"/>
  <c r="V68" i="45"/>
  <c r="T68" i="45"/>
  <c r="P68" i="45"/>
  <c r="X68" i="45" s="1"/>
  <c r="Z68" i="45" s="1"/>
  <c r="H68" i="45"/>
  <c r="D68" i="45"/>
  <c r="L68" i="45" s="1"/>
  <c r="N68" i="45" s="1"/>
  <c r="B68" i="45"/>
  <c r="X67" i="45"/>
  <c r="Z67" i="45" s="1"/>
  <c r="N67" i="45"/>
  <c r="L67" i="45"/>
  <c r="B67" i="45"/>
  <c r="T66" i="45"/>
  <c r="P66" i="45"/>
  <c r="L66" i="45"/>
  <c r="H66" i="45"/>
  <c r="D66" i="45"/>
  <c r="B66" i="45"/>
  <c r="X65" i="45"/>
  <c r="Z65" i="45" s="1"/>
  <c r="N65" i="45"/>
  <c r="L65" i="45"/>
  <c r="B65" i="45"/>
  <c r="T64" i="45"/>
  <c r="Z64" i="45" s="1"/>
  <c r="P64" i="45"/>
  <c r="X64" i="45" s="1"/>
  <c r="L64" i="45"/>
  <c r="H64" i="45"/>
  <c r="D64" i="45"/>
  <c r="B64" i="45"/>
  <c r="Z63" i="45"/>
  <c r="X63" i="45"/>
  <c r="L63" i="45"/>
  <c r="N63" i="45" s="1"/>
  <c r="B63" i="45"/>
  <c r="V62" i="45"/>
  <c r="T62" i="45"/>
  <c r="P62" i="45"/>
  <c r="X62" i="45" s="1"/>
  <c r="Z62" i="45" s="1"/>
  <c r="H62" i="45"/>
  <c r="D62" i="45"/>
  <c r="L62" i="45" s="1"/>
  <c r="N62" i="45" s="1"/>
  <c r="B62" i="45"/>
  <c r="Z61" i="45"/>
  <c r="X61" i="45"/>
  <c r="N61" i="45"/>
  <c r="L61" i="45"/>
  <c r="B61" i="45"/>
  <c r="T60" i="45"/>
  <c r="P60" i="45"/>
  <c r="X60" i="45" s="1"/>
  <c r="H60" i="45"/>
  <c r="D60" i="45"/>
  <c r="B60" i="45"/>
  <c r="X59" i="45"/>
  <c r="Z59" i="45" s="1"/>
  <c r="N59" i="45"/>
  <c r="L59" i="45"/>
  <c r="B59" i="45"/>
  <c r="X58" i="45"/>
  <c r="Z58" i="45" s="1"/>
  <c r="L58" i="45"/>
  <c r="N58" i="45" s="1"/>
  <c r="B58" i="45"/>
  <c r="T57" i="45"/>
  <c r="X57" i="45" s="1"/>
  <c r="P57" i="45"/>
  <c r="L57" i="45"/>
  <c r="N57" i="45" s="1"/>
  <c r="H57" i="45"/>
  <c r="D57" i="45"/>
  <c r="B57" i="45"/>
  <c r="Z56" i="45"/>
  <c r="X56" i="45"/>
  <c r="V56" i="45"/>
  <c r="L56" i="45"/>
  <c r="N56" i="45" s="1"/>
  <c r="B56" i="45"/>
  <c r="V55" i="45"/>
  <c r="T55" i="45"/>
  <c r="Z55" i="45" s="1"/>
  <c r="P55" i="45"/>
  <c r="X55" i="45" s="1"/>
  <c r="N55" i="45"/>
  <c r="H55" i="45"/>
  <c r="D55" i="45"/>
  <c r="L55" i="45" s="1"/>
  <c r="B55" i="45"/>
  <c r="X54" i="45"/>
  <c r="Z54" i="45" s="1"/>
  <c r="L54" i="45"/>
  <c r="N54" i="45" s="1"/>
  <c r="B54" i="45"/>
  <c r="Z53" i="45"/>
  <c r="X53" i="45"/>
  <c r="V53" i="45"/>
  <c r="L53" i="45"/>
  <c r="N53" i="45" s="1"/>
  <c r="B53" i="45"/>
  <c r="V52" i="45"/>
  <c r="T52" i="45"/>
  <c r="P52" i="45"/>
  <c r="X52" i="45" s="1"/>
  <c r="H52" i="45"/>
  <c r="D52" i="45"/>
  <c r="L52" i="45" s="1"/>
  <c r="B52" i="45"/>
  <c r="Z51" i="45"/>
  <c r="X51" i="45"/>
  <c r="V51" i="45"/>
  <c r="N51" i="45"/>
  <c r="L51" i="45"/>
  <c r="B51" i="45"/>
  <c r="X50" i="45"/>
  <c r="Z50" i="45" s="1"/>
  <c r="T50" i="45"/>
  <c r="P50" i="45"/>
  <c r="N50" i="45"/>
  <c r="L50" i="45"/>
  <c r="H50" i="45"/>
  <c r="D50" i="45"/>
  <c r="B50" i="45"/>
  <c r="Z49" i="45"/>
  <c r="X49" i="45"/>
  <c r="V49" i="45"/>
  <c r="N49" i="45"/>
  <c r="L49" i="45"/>
  <c r="B49" i="45"/>
  <c r="Z48" i="45"/>
  <c r="X48" i="45"/>
  <c r="N48" i="45"/>
  <c r="L48" i="45"/>
  <c r="B48" i="45"/>
  <c r="Z47" i="45"/>
  <c r="X47" i="45"/>
  <c r="V47" i="45"/>
  <c r="N47" i="45"/>
  <c r="L47" i="45"/>
  <c r="B47" i="45"/>
  <c r="X46" i="45"/>
  <c r="Z46" i="45" s="1"/>
  <c r="L46" i="45"/>
  <c r="N46" i="45" s="1"/>
  <c r="B46" i="45"/>
  <c r="Z45" i="45"/>
  <c r="X45" i="45"/>
  <c r="V45" i="45"/>
  <c r="N45" i="45"/>
  <c r="L45" i="45"/>
  <c r="B45" i="45"/>
  <c r="X44" i="45"/>
  <c r="Z44" i="45" s="1"/>
  <c r="V44" i="45"/>
  <c r="L44" i="45"/>
  <c r="N44" i="45" s="1"/>
  <c r="B44" i="45"/>
  <c r="Z43" i="45"/>
  <c r="X43" i="45"/>
  <c r="L43" i="45"/>
  <c r="N43" i="45" s="1"/>
  <c r="B43" i="45"/>
  <c r="Z42" i="45"/>
  <c r="X42" i="45"/>
  <c r="V42" i="45"/>
  <c r="N42" i="45"/>
  <c r="L42" i="45"/>
  <c r="B42" i="45"/>
  <c r="Z41" i="45"/>
  <c r="X41" i="45"/>
  <c r="L41" i="45"/>
  <c r="N41" i="45" s="1"/>
  <c r="B41" i="45"/>
  <c r="Z40" i="45"/>
  <c r="X40" i="45"/>
  <c r="V40" i="45"/>
  <c r="N40" i="45"/>
  <c r="L40" i="45"/>
  <c r="B40" i="45"/>
  <c r="T39" i="45"/>
  <c r="P39" i="45"/>
  <c r="H39" i="45"/>
  <c r="D39" i="45"/>
  <c r="B39" i="45"/>
  <c r="X38" i="45"/>
  <c r="Z38" i="45" s="1"/>
  <c r="V38" i="45"/>
  <c r="L38" i="45"/>
  <c r="N38" i="45" s="1"/>
  <c r="B38" i="45"/>
  <c r="X37" i="45"/>
  <c r="Z37" i="45" s="1"/>
  <c r="V37" i="45"/>
  <c r="L37" i="45"/>
  <c r="N37" i="45" s="1"/>
  <c r="B37" i="45"/>
  <c r="X36" i="45"/>
  <c r="Z36" i="45" s="1"/>
  <c r="V36" i="45"/>
  <c r="N36" i="45"/>
  <c r="L36" i="45"/>
  <c r="B36" i="45"/>
  <c r="Z35" i="45"/>
  <c r="X35" i="45"/>
  <c r="N35" i="45"/>
  <c r="L35" i="45"/>
  <c r="B35" i="45"/>
  <c r="Z34" i="45"/>
  <c r="X34" i="45"/>
  <c r="V34" i="45"/>
  <c r="N34" i="45"/>
  <c r="L34" i="45"/>
  <c r="B34" i="45"/>
  <c r="X33" i="45"/>
  <c r="Z33" i="45" s="1"/>
  <c r="V33" i="45"/>
  <c r="L33" i="45"/>
  <c r="N33" i="45" s="1"/>
  <c r="B33" i="45"/>
  <c r="X32" i="45"/>
  <c r="Z32" i="45" s="1"/>
  <c r="V32" i="45"/>
  <c r="N32" i="45"/>
  <c r="L32" i="45"/>
  <c r="B32" i="45"/>
  <c r="X31" i="45"/>
  <c r="Z31" i="45" s="1"/>
  <c r="N31" i="45"/>
  <c r="L31" i="45"/>
  <c r="B31" i="45"/>
  <c r="X30" i="45"/>
  <c r="Z30" i="45" s="1"/>
  <c r="N30" i="45"/>
  <c r="L30" i="45"/>
  <c r="B30" i="45"/>
  <c r="Z29" i="45"/>
  <c r="X29" i="45"/>
  <c r="N29" i="45"/>
  <c r="L29" i="45"/>
  <c r="B29" i="45"/>
  <c r="T28" i="45"/>
  <c r="P28" i="45"/>
  <c r="X28" i="45" s="1"/>
  <c r="H28" i="45"/>
  <c r="D28" i="45"/>
  <c r="B28" i="45"/>
  <c r="T27" i="45"/>
  <c r="P27" i="45"/>
  <c r="H27" i="45"/>
  <c r="N27" i="45" s="1"/>
  <c r="D27" i="45"/>
  <c r="L27" i="45" s="1"/>
  <c r="T25" i="45"/>
  <c r="Z23" i="45"/>
  <c r="X23" i="45"/>
  <c r="N23" i="45"/>
  <c r="L23" i="45"/>
  <c r="B23" i="45"/>
  <c r="Z22" i="45"/>
  <c r="X22" i="45"/>
  <c r="N22" i="45"/>
  <c r="L22" i="45"/>
  <c r="B22" i="45"/>
  <c r="Z21" i="45"/>
  <c r="X21" i="45"/>
  <c r="V21" i="45"/>
  <c r="N21" i="45"/>
  <c r="L21" i="45"/>
  <c r="B21" i="45"/>
  <c r="V20" i="45"/>
  <c r="T20" i="45"/>
  <c r="P20" i="45"/>
  <c r="X20" i="45" s="1"/>
  <c r="Z20" i="45" s="1"/>
  <c r="L20" i="45"/>
  <c r="H20" i="45"/>
  <c r="D20" i="45"/>
  <c r="Z18" i="45"/>
  <c r="P18" i="45"/>
  <c r="N18" i="45"/>
  <c r="D18" i="45"/>
  <c r="L18" i="45" s="1"/>
  <c r="B18" i="45"/>
  <c r="Z17" i="45"/>
  <c r="P17" i="45"/>
  <c r="X17" i="45" s="1"/>
  <c r="N17" i="45"/>
  <c r="D17" i="45"/>
  <c r="L17" i="45" s="1"/>
  <c r="B17" i="45"/>
  <c r="Z16" i="45"/>
  <c r="X16" i="45"/>
  <c r="P16" i="45"/>
  <c r="N16" i="45"/>
  <c r="D16" i="45"/>
  <c r="L16" i="45" s="1"/>
  <c r="B16" i="45"/>
  <c r="X15" i="45"/>
  <c r="Z15" i="45" s="1"/>
  <c r="P15" i="45"/>
  <c r="N15" i="45"/>
  <c r="D15" i="45"/>
  <c r="L15" i="45" s="1"/>
  <c r="B15" i="45"/>
  <c r="Z14" i="45"/>
  <c r="X14" i="45"/>
  <c r="P14" i="45"/>
  <c r="N14" i="45"/>
  <c r="D14" i="45"/>
  <c r="L14" i="45" s="1"/>
  <c r="B14" i="45"/>
  <c r="Z13" i="45"/>
  <c r="X13" i="45"/>
  <c r="P13" i="45"/>
  <c r="N13" i="45"/>
  <c r="L13" i="45"/>
  <c r="D13" i="45"/>
  <c r="B13" i="45"/>
  <c r="T12" i="45"/>
  <c r="V95" i="45" s="1"/>
  <c r="H12" i="45"/>
  <c r="J55" i="45" s="1"/>
  <c r="D4" i="45"/>
  <c r="Z136" i="42"/>
  <c r="X136" i="42"/>
  <c r="L136" i="42"/>
  <c r="N136" i="42" s="1"/>
  <c r="Z132" i="42"/>
  <c r="P132" i="42"/>
  <c r="X132" i="42" s="1"/>
  <c r="N132" i="42"/>
  <c r="L132" i="42"/>
  <c r="D132" i="42"/>
  <c r="B132" i="42"/>
  <c r="Z131" i="42"/>
  <c r="X131" i="42"/>
  <c r="P131" i="42"/>
  <c r="N131" i="42"/>
  <c r="D131" i="42"/>
  <c r="L131" i="42" s="1"/>
  <c r="B131" i="42"/>
  <c r="P130" i="42"/>
  <c r="X130" i="42" s="1"/>
  <c r="Z130" i="42" s="1"/>
  <c r="L130" i="42"/>
  <c r="N130" i="42" s="1"/>
  <c r="D130" i="42"/>
  <c r="B130" i="42"/>
  <c r="P129" i="42"/>
  <c r="X129" i="42" s="1"/>
  <c r="Z129" i="42" s="1"/>
  <c r="D129" i="42"/>
  <c r="B129" i="42"/>
  <c r="T128" i="42"/>
  <c r="H128" i="42"/>
  <c r="X126" i="42"/>
  <c r="Z126" i="42" s="1"/>
  <c r="L126" i="42"/>
  <c r="N126" i="42" s="1"/>
  <c r="B126" i="42"/>
  <c r="T125" i="42"/>
  <c r="P125" i="42"/>
  <c r="H125" i="42"/>
  <c r="D125" i="42"/>
  <c r="L125" i="42" s="1"/>
  <c r="N125" i="42" s="1"/>
  <c r="B125" i="42"/>
  <c r="Z124" i="42"/>
  <c r="X124" i="42"/>
  <c r="V124" i="42"/>
  <c r="N124" i="42"/>
  <c r="L124" i="42"/>
  <c r="B124" i="42"/>
  <c r="Z123" i="42"/>
  <c r="X123" i="42"/>
  <c r="N123" i="42"/>
  <c r="L123" i="42"/>
  <c r="B123" i="42"/>
  <c r="X122" i="42"/>
  <c r="Z122" i="42" s="1"/>
  <c r="N122" i="42"/>
  <c r="L122" i="42"/>
  <c r="B122" i="42"/>
  <c r="V121" i="42"/>
  <c r="T121" i="42"/>
  <c r="P121" i="42"/>
  <c r="X121" i="42" s="1"/>
  <c r="Z121" i="42" s="1"/>
  <c r="L121" i="42"/>
  <c r="H121" i="42"/>
  <c r="D121" i="42"/>
  <c r="B121" i="42"/>
  <c r="X120" i="42"/>
  <c r="Z120" i="42" s="1"/>
  <c r="N120" i="42"/>
  <c r="L120" i="42"/>
  <c r="B120" i="42"/>
  <c r="X119" i="42"/>
  <c r="Z119" i="42" s="1"/>
  <c r="V119" i="42"/>
  <c r="T119" i="42"/>
  <c r="P119" i="42"/>
  <c r="H119" i="42"/>
  <c r="D119" i="42"/>
  <c r="L119" i="42" s="1"/>
  <c r="N119" i="42" s="1"/>
  <c r="B119" i="42"/>
  <c r="Z118" i="42"/>
  <c r="X118" i="42"/>
  <c r="L118" i="42"/>
  <c r="N118" i="42" s="1"/>
  <c r="J118" i="42"/>
  <c r="B118" i="42"/>
  <c r="X117" i="42"/>
  <c r="Z117" i="42" s="1"/>
  <c r="N117" i="42"/>
  <c r="L117" i="42"/>
  <c r="B117" i="42"/>
  <c r="T116" i="42"/>
  <c r="P116" i="42"/>
  <c r="X116" i="42" s="1"/>
  <c r="Z116" i="42" s="1"/>
  <c r="H116" i="42"/>
  <c r="D116" i="42"/>
  <c r="B116" i="42"/>
  <c r="X115" i="42"/>
  <c r="Z115" i="42" s="1"/>
  <c r="L115" i="42"/>
  <c r="N115" i="42" s="1"/>
  <c r="B115" i="42"/>
  <c r="X114" i="42"/>
  <c r="Z114" i="42" s="1"/>
  <c r="V114" i="42"/>
  <c r="N114" i="42"/>
  <c r="L114" i="42"/>
  <c r="B114" i="42"/>
  <c r="Z113" i="42"/>
  <c r="X113" i="42"/>
  <c r="N113" i="42"/>
  <c r="L113" i="42"/>
  <c r="B113" i="42"/>
  <c r="Z112" i="42"/>
  <c r="X112" i="42"/>
  <c r="L112" i="42"/>
  <c r="N112" i="42" s="1"/>
  <c r="B112" i="42"/>
  <c r="X111" i="42"/>
  <c r="Z111" i="42" s="1"/>
  <c r="L111" i="42"/>
  <c r="N111" i="42" s="1"/>
  <c r="B111" i="42"/>
  <c r="X110" i="42"/>
  <c r="Z110" i="42" s="1"/>
  <c r="N110" i="42"/>
  <c r="L110" i="42"/>
  <c r="B110" i="42"/>
  <c r="Z109" i="42"/>
  <c r="X109" i="42"/>
  <c r="V109" i="42"/>
  <c r="N109" i="42"/>
  <c r="L109" i="42"/>
  <c r="B109" i="42"/>
  <c r="Z108" i="42"/>
  <c r="X108" i="42"/>
  <c r="L108" i="42"/>
  <c r="N108" i="42" s="1"/>
  <c r="B108" i="42"/>
  <c r="X107" i="42"/>
  <c r="Z107" i="42" s="1"/>
  <c r="L107" i="42"/>
  <c r="N107" i="42" s="1"/>
  <c r="B107" i="42"/>
  <c r="X106" i="42"/>
  <c r="Z106" i="42" s="1"/>
  <c r="N106" i="42"/>
  <c r="L106" i="42"/>
  <c r="B106" i="42"/>
  <c r="V105" i="42"/>
  <c r="T105" i="42"/>
  <c r="P105" i="42"/>
  <c r="X105" i="42" s="1"/>
  <c r="Z105" i="42" s="1"/>
  <c r="L105" i="42"/>
  <c r="H105" i="42"/>
  <c r="D105" i="42"/>
  <c r="B105" i="42"/>
  <c r="X104" i="42"/>
  <c r="Z104" i="42" s="1"/>
  <c r="N104" i="42"/>
  <c r="L104" i="42"/>
  <c r="B104" i="42"/>
  <c r="X103" i="42"/>
  <c r="Z103" i="42" s="1"/>
  <c r="V103" i="42"/>
  <c r="N103" i="42"/>
  <c r="L103" i="42"/>
  <c r="B103" i="42"/>
  <c r="Z102" i="42"/>
  <c r="T102" i="42"/>
  <c r="P102" i="42"/>
  <c r="X102" i="42" s="1"/>
  <c r="H102" i="42"/>
  <c r="D102" i="42"/>
  <c r="B102" i="42"/>
  <c r="X101" i="42"/>
  <c r="Z101" i="42" s="1"/>
  <c r="N101" i="42"/>
  <c r="L101" i="42"/>
  <c r="B101" i="42"/>
  <c r="Z100" i="42"/>
  <c r="X100" i="42"/>
  <c r="V100" i="42"/>
  <c r="N100" i="42"/>
  <c r="L100" i="42"/>
  <c r="B100" i="42"/>
  <c r="Z99" i="42"/>
  <c r="X99" i="42"/>
  <c r="L99" i="42"/>
  <c r="N99" i="42" s="1"/>
  <c r="B99" i="42"/>
  <c r="Z98" i="42"/>
  <c r="X98" i="42"/>
  <c r="N98" i="42"/>
  <c r="L98" i="42"/>
  <c r="B98" i="42"/>
  <c r="X97" i="42"/>
  <c r="Z97" i="42" s="1"/>
  <c r="N97" i="42"/>
  <c r="L97" i="42"/>
  <c r="B97" i="42"/>
  <c r="V96" i="42"/>
  <c r="T96" i="42"/>
  <c r="P96" i="42"/>
  <c r="X96" i="42" s="1"/>
  <c r="Z96" i="42" s="1"/>
  <c r="H96" i="42"/>
  <c r="N96" i="42" s="1"/>
  <c r="D96" i="42"/>
  <c r="L96" i="42" s="1"/>
  <c r="B96" i="42"/>
  <c r="X95" i="42"/>
  <c r="Z95" i="42" s="1"/>
  <c r="L95" i="42"/>
  <c r="N95" i="42" s="1"/>
  <c r="B95" i="42"/>
  <c r="Z94" i="42"/>
  <c r="X94" i="42"/>
  <c r="V94" i="42"/>
  <c r="N94" i="42"/>
  <c r="L94" i="42"/>
  <c r="B94" i="42"/>
  <c r="Z93" i="42"/>
  <c r="X93" i="42"/>
  <c r="N93" i="42"/>
  <c r="L93" i="42"/>
  <c r="B93" i="42"/>
  <c r="X92" i="42"/>
  <c r="Z92" i="42" s="1"/>
  <c r="V92" i="42"/>
  <c r="L92" i="42"/>
  <c r="N92" i="42" s="1"/>
  <c r="B92" i="42"/>
  <c r="X91" i="42"/>
  <c r="T91" i="42"/>
  <c r="P91" i="42"/>
  <c r="J91" i="42"/>
  <c r="H91" i="42"/>
  <c r="D91" i="42"/>
  <c r="B91" i="42"/>
  <c r="Z90" i="42"/>
  <c r="X90" i="42"/>
  <c r="V90" i="42"/>
  <c r="N90" i="42"/>
  <c r="L90" i="42"/>
  <c r="B90" i="42"/>
  <c r="Z89" i="42"/>
  <c r="X89" i="42"/>
  <c r="L89" i="42"/>
  <c r="N89" i="42" s="1"/>
  <c r="B89" i="42"/>
  <c r="X88" i="42"/>
  <c r="Z88" i="42" s="1"/>
  <c r="N88" i="42"/>
  <c r="L88" i="42"/>
  <c r="B88" i="42"/>
  <c r="Z87" i="42"/>
  <c r="X87" i="42"/>
  <c r="N87" i="42"/>
  <c r="L87" i="42"/>
  <c r="B87" i="42"/>
  <c r="Z86" i="42"/>
  <c r="V86" i="42"/>
  <c r="T86" i="42"/>
  <c r="P86" i="42"/>
  <c r="X86" i="42" s="1"/>
  <c r="H86" i="42"/>
  <c r="D86" i="42"/>
  <c r="L86" i="42" s="1"/>
  <c r="B86" i="42"/>
  <c r="X85" i="42"/>
  <c r="Z85" i="42" s="1"/>
  <c r="V85" i="42"/>
  <c r="N85" i="42"/>
  <c r="L85" i="42"/>
  <c r="B85" i="42"/>
  <c r="V84" i="42"/>
  <c r="T84" i="42"/>
  <c r="P84" i="42"/>
  <c r="X84" i="42" s="1"/>
  <c r="Z84" i="42" s="1"/>
  <c r="N84" i="42"/>
  <c r="H84" i="42"/>
  <c r="L84" i="42" s="1"/>
  <c r="D84" i="42"/>
  <c r="B84" i="42"/>
  <c r="Z83" i="42"/>
  <c r="X83" i="42"/>
  <c r="N83" i="42"/>
  <c r="L83" i="42"/>
  <c r="B83" i="42"/>
  <c r="Z82" i="42"/>
  <c r="X82" i="42"/>
  <c r="V82" i="42"/>
  <c r="T82" i="42"/>
  <c r="P82" i="42"/>
  <c r="N82" i="42"/>
  <c r="H82" i="42"/>
  <c r="D82" i="42"/>
  <c r="L82" i="42" s="1"/>
  <c r="B82" i="42"/>
  <c r="X81" i="42"/>
  <c r="Z81" i="42" s="1"/>
  <c r="V81" i="42"/>
  <c r="L81" i="42"/>
  <c r="N81" i="42" s="1"/>
  <c r="B81" i="42"/>
  <c r="T80" i="42"/>
  <c r="P80" i="42"/>
  <c r="H80" i="42"/>
  <c r="D80" i="42"/>
  <c r="L80" i="42" s="1"/>
  <c r="N80" i="42" s="1"/>
  <c r="B80" i="42"/>
  <c r="Z79" i="42"/>
  <c r="X79" i="42"/>
  <c r="N79" i="42"/>
  <c r="L79" i="42"/>
  <c r="B79" i="42"/>
  <c r="T78" i="42"/>
  <c r="P78" i="42"/>
  <c r="X78" i="42" s="1"/>
  <c r="H78" i="42"/>
  <c r="D78" i="42"/>
  <c r="L78" i="42" s="1"/>
  <c r="N78" i="42" s="1"/>
  <c r="B78" i="42"/>
  <c r="Z77" i="42"/>
  <c r="X77" i="42"/>
  <c r="V77" i="42"/>
  <c r="N77" i="42"/>
  <c r="L77" i="42"/>
  <c r="B77" i="42"/>
  <c r="X76" i="42"/>
  <c r="Z76" i="42" s="1"/>
  <c r="V76" i="42"/>
  <c r="L76" i="42"/>
  <c r="N76" i="42" s="1"/>
  <c r="B76" i="42"/>
  <c r="T75" i="42"/>
  <c r="P75" i="42"/>
  <c r="H75" i="42"/>
  <c r="D75" i="42"/>
  <c r="L75" i="42" s="1"/>
  <c r="N75" i="42" s="1"/>
  <c r="B75" i="42"/>
  <c r="Z74" i="42"/>
  <c r="X74" i="42"/>
  <c r="N74" i="42"/>
  <c r="L74" i="42"/>
  <c r="B74" i="42"/>
  <c r="V73" i="42"/>
  <c r="T73" i="42"/>
  <c r="P73" i="42"/>
  <c r="X73" i="42" s="1"/>
  <c r="J73" i="42"/>
  <c r="H73" i="42"/>
  <c r="D73" i="42"/>
  <c r="L73" i="42" s="1"/>
  <c r="N73" i="42" s="1"/>
  <c r="B73" i="42"/>
  <c r="X72" i="42"/>
  <c r="Z72" i="42" s="1"/>
  <c r="V72" i="42"/>
  <c r="L72" i="42"/>
  <c r="N72" i="42" s="1"/>
  <c r="B72" i="42"/>
  <c r="T71" i="42"/>
  <c r="P71" i="42"/>
  <c r="X71" i="42" s="1"/>
  <c r="Z71" i="42" s="1"/>
  <c r="H71" i="42"/>
  <c r="D71" i="42"/>
  <c r="B71" i="42"/>
  <c r="Z70" i="42"/>
  <c r="X70" i="42"/>
  <c r="N70" i="42"/>
  <c r="L70" i="42"/>
  <c r="B70" i="42"/>
  <c r="T69" i="42"/>
  <c r="P69" i="42"/>
  <c r="N69" i="42"/>
  <c r="L69" i="42"/>
  <c r="H69" i="42"/>
  <c r="D69" i="42"/>
  <c r="B69" i="42"/>
  <c r="Z68" i="42"/>
  <c r="X68" i="42"/>
  <c r="N68" i="42"/>
  <c r="L68" i="42"/>
  <c r="B68" i="42"/>
  <c r="Z67" i="42"/>
  <c r="X67" i="42"/>
  <c r="V67" i="42"/>
  <c r="T67" i="42"/>
  <c r="P67" i="42"/>
  <c r="L67" i="42"/>
  <c r="H67" i="42"/>
  <c r="N67" i="42" s="1"/>
  <c r="D67" i="42"/>
  <c r="B67" i="42"/>
  <c r="X66" i="42"/>
  <c r="Z66" i="42" s="1"/>
  <c r="L66" i="42"/>
  <c r="N66" i="42" s="1"/>
  <c r="B66" i="42"/>
  <c r="X65" i="42"/>
  <c r="Z65" i="42" s="1"/>
  <c r="N65" i="42"/>
  <c r="L65" i="42"/>
  <c r="B65" i="42"/>
  <c r="Z64" i="42"/>
  <c r="X64" i="42"/>
  <c r="L64" i="42"/>
  <c r="N64" i="42" s="1"/>
  <c r="B64" i="42"/>
  <c r="X63" i="42"/>
  <c r="Z63" i="42" s="1"/>
  <c r="V63" i="42"/>
  <c r="N63" i="42"/>
  <c r="L63" i="42"/>
  <c r="B63" i="42"/>
  <c r="Z62" i="42"/>
  <c r="T62" i="42"/>
  <c r="X62" i="42" s="1"/>
  <c r="P62" i="42"/>
  <c r="L62" i="42"/>
  <c r="N62" i="42" s="1"/>
  <c r="H62" i="42"/>
  <c r="D62" i="42"/>
  <c r="B62" i="42"/>
  <c r="Z61" i="42"/>
  <c r="X61" i="42"/>
  <c r="L61" i="42"/>
  <c r="N61" i="42" s="1"/>
  <c r="B61" i="42"/>
  <c r="T60" i="42"/>
  <c r="P60" i="42"/>
  <c r="L60" i="42"/>
  <c r="H60" i="42"/>
  <c r="N60" i="42" s="1"/>
  <c r="D60" i="42"/>
  <c r="B60" i="42"/>
  <c r="Z59" i="42"/>
  <c r="X59" i="42"/>
  <c r="V59" i="42"/>
  <c r="N59" i="42"/>
  <c r="L59" i="42"/>
  <c r="B59" i="42"/>
  <c r="Z58" i="42"/>
  <c r="V58" i="42"/>
  <c r="T58" i="42"/>
  <c r="P58" i="42"/>
  <c r="X58" i="42" s="1"/>
  <c r="H58" i="42"/>
  <c r="D58" i="42"/>
  <c r="B58" i="42"/>
  <c r="X57" i="42"/>
  <c r="Z57" i="42" s="1"/>
  <c r="N57" i="42"/>
  <c r="L57" i="42"/>
  <c r="B57" i="42"/>
  <c r="T56" i="42"/>
  <c r="P56" i="42"/>
  <c r="X56" i="42" s="1"/>
  <c r="Z56" i="42" s="1"/>
  <c r="H56" i="42"/>
  <c r="D56" i="42"/>
  <c r="B56" i="42"/>
  <c r="Z55" i="42"/>
  <c r="X55" i="42"/>
  <c r="N55" i="42"/>
  <c r="L55" i="42"/>
  <c r="B55" i="42"/>
  <c r="Z54" i="42"/>
  <c r="X54" i="42"/>
  <c r="N54" i="42"/>
  <c r="L54" i="42"/>
  <c r="B54" i="42"/>
  <c r="Z53" i="42"/>
  <c r="X53" i="42"/>
  <c r="V53" i="42"/>
  <c r="N53" i="42"/>
  <c r="L53" i="42"/>
  <c r="B53" i="42"/>
  <c r="X52" i="42"/>
  <c r="Z52" i="42" s="1"/>
  <c r="V52" i="42"/>
  <c r="L52" i="42"/>
  <c r="N52" i="42" s="1"/>
  <c r="B52" i="42"/>
  <c r="Z51" i="42"/>
  <c r="X51" i="42"/>
  <c r="N51" i="42"/>
  <c r="L51" i="42"/>
  <c r="B51" i="42"/>
  <c r="X50" i="42"/>
  <c r="Z50" i="42" s="1"/>
  <c r="V50" i="42"/>
  <c r="N50" i="42"/>
  <c r="L50" i="42"/>
  <c r="B50" i="42"/>
  <c r="Z49" i="42"/>
  <c r="X49" i="42"/>
  <c r="V49" i="42"/>
  <c r="L49" i="42"/>
  <c r="N49" i="42" s="1"/>
  <c r="B49" i="42"/>
  <c r="Z48" i="42"/>
  <c r="X48" i="42"/>
  <c r="V48" i="42"/>
  <c r="N48" i="42"/>
  <c r="L48" i="42"/>
  <c r="B48" i="42"/>
  <c r="X47" i="42"/>
  <c r="Z47" i="42" s="1"/>
  <c r="L47" i="42"/>
  <c r="N47" i="42" s="1"/>
  <c r="B47" i="42"/>
  <c r="X46" i="42"/>
  <c r="Z46" i="42" s="1"/>
  <c r="N46" i="42"/>
  <c r="L46" i="42"/>
  <c r="B46" i="42"/>
  <c r="Z45" i="42"/>
  <c r="V45" i="42"/>
  <c r="T45" i="42"/>
  <c r="P45" i="42"/>
  <c r="X45" i="42" s="1"/>
  <c r="H45" i="42"/>
  <c r="N45" i="42" s="1"/>
  <c r="D45" i="42"/>
  <c r="L45" i="42" s="1"/>
  <c r="B45" i="42"/>
  <c r="X44" i="42"/>
  <c r="Z44" i="42" s="1"/>
  <c r="V44" i="42"/>
  <c r="L44" i="42"/>
  <c r="N44" i="42" s="1"/>
  <c r="B44" i="42"/>
  <c r="X43" i="42"/>
  <c r="Z43" i="42" s="1"/>
  <c r="N43" i="42"/>
  <c r="L43" i="42"/>
  <c r="B43" i="42"/>
  <c r="Z42" i="42"/>
  <c r="X42" i="42"/>
  <c r="V42" i="42"/>
  <c r="L42" i="42"/>
  <c r="N42" i="42" s="1"/>
  <c r="B42" i="42"/>
  <c r="Z41" i="42"/>
  <c r="X41" i="42"/>
  <c r="V41" i="42"/>
  <c r="N41" i="42"/>
  <c r="L41" i="42"/>
  <c r="B41" i="42"/>
  <c r="X40" i="42"/>
  <c r="Z40" i="42" s="1"/>
  <c r="N40" i="42"/>
  <c r="L40" i="42"/>
  <c r="B40" i="42"/>
  <c r="X39" i="42"/>
  <c r="Z39" i="42" s="1"/>
  <c r="V39" i="42"/>
  <c r="L39" i="42"/>
  <c r="N39" i="42" s="1"/>
  <c r="B39" i="42"/>
  <c r="Z38" i="42"/>
  <c r="X38" i="42"/>
  <c r="V38" i="42"/>
  <c r="L38" i="42"/>
  <c r="N38" i="42" s="1"/>
  <c r="B38" i="42"/>
  <c r="X37" i="42"/>
  <c r="Z37" i="42" s="1"/>
  <c r="L37" i="42"/>
  <c r="N37" i="42" s="1"/>
  <c r="B37" i="42"/>
  <c r="X36" i="42"/>
  <c r="Z36" i="42" s="1"/>
  <c r="V36" i="42"/>
  <c r="L36" i="42"/>
  <c r="N36" i="42" s="1"/>
  <c r="B36" i="42"/>
  <c r="Z35" i="42"/>
  <c r="X35" i="42"/>
  <c r="L35" i="42"/>
  <c r="N35" i="42" s="1"/>
  <c r="B35" i="42"/>
  <c r="T34" i="42"/>
  <c r="Z34" i="42" s="1"/>
  <c r="P34" i="42"/>
  <c r="X34" i="42" s="1"/>
  <c r="H34" i="42"/>
  <c r="D34" i="42"/>
  <c r="B34" i="42"/>
  <c r="T33" i="42"/>
  <c r="P33" i="42"/>
  <c r="X33" i="42" s="1"/>
  <c r="H33" i="42"/>
  <c r="D33" i="42"/>
  <c r="Z29" i="42"/>
  <c r="X29" i="42"/>
  <c r="N29" i="42"/>
  <c r="L29" i="42"/>
  <c r="B29" i="42"/>
  <c r="Z28" i="42"/>
  <c r="X28" i="42"/>
  <c r="V28" i="42"/>
  <c r="N28" i="42"/>
  <c r="L28" i="42"/>
  <c r="B28" i="42"/>
  <c r="Z27" i="42"/>
  <c r="X27" i="42"/>
  <c r="L27" i="42"/>
  <c r="N27" i="42" s="1"/>
  <c r="B27" i="42"/>
  <c r="T26" i="42"/>
  <c r="T31" i="42" s="1"/>
  <c r="P26" i="42"/>
  <c r="N26" i="42"/>
  <c r="L26" i="42"/>
  <c r="H26" i="42"/>
  <c r="D26" i="42"/>
  <c r="Z24" i="42"/>
  <c r="X24" i="42"/>
  <c r="P24" i="42"/>
  <c r="N24" i="42"/>
  <c r="L24" i="42"/>
  <c r="D24" i="42"/>
  <c r="B24" i="42"/>
  <c r="Z23" i="42"/>
  <c r="X23" i="42"/>
  <c r="P23" i="42"/>
  <c r="N23" i="42"/>
  <c r="D23" i="42"/>
  <c r="L23" i="42" s="1"/>
  <c r="B23" i="42"/>
  <c r="Z22" i="42"/>
  <c r="X22" i="42"/>
  <c r="P22" i="42"/>
  <c r="N22" i="42"/>
  <c r="L22" i="42"/>
  <c r="D22" i="42"/>
  <c r="D12" i="42" s="1"/>
  <c r="B22" i="42"/>
  <c r="Z21" i="42"/>
  <c r="X21" i="42"/>
  <c r="P21" i="42"/>
  <c r="N21" i="42"/>
  <c r="L21" i="42"/>
  <c r="D21" i="42"/>
  <c r="B21" i="42"/>
  <c r="Z20" i="42"/>
  <c r="P20" i="42"/>
  <c r="X20" i="42" s="1"/>
  <c r="N20" i="42"/>
  <c r="L20" i="42"/>
  <c r="D20" i="42"/>
  <c r="B20" i="42"/>
  <c r="P19" i="42"/>
  <c r="X19" i="42" s="1"/>
  <c r="Z19" i="42" s="1"/>
  <c r="L19" i="42"/>
  <c r="N19" i="42" s="1"/>
  <c r="D19" i="42"/>
  <c r="B19" i="42"/>
  <c r="Z18" i="42"/>
  <c r="P18" i="42"/>
  <c r="X18" i="42" s="1"/>
  <c r="N18" i="42"/>
  <c r="L18" i="42"/>
  <c r="D18" i="42"/>
  <c r="B18" i="42"/>
  <c r="Z17" i="42"/>
  <c r="P17" i="42"/>
  <c r="X17" i="42" s="1"/>
  <c r="N17" i="42"/>
  <c r="D17" i="42"/>
  <c r="L17" i="42" s="1"/>
  <c r="B17" i="42"/>
  <c r="Z16" i="42"/>
  <c r="P16" i="42"/>
  <c r="X16" i="42" s="1"/>
  <c r="N16" i="42"/>
  <c r="D16" i="42"/>
  <c r="L16" i="42" s="1"/>
  <c r="B16" i="42"/>
  <c r="Z15" i="42"/>
  <c r="X15" i="42"/>
  <c r="P15" i="42"/>
  <c r="N15" i="42"/>
  <c r="L15" i="42"/>
  <c r="D15" i="42"/>
  <c r="B15" i="42"/>
  <c r="Z14" i="42"/>
  <c r="P14" i="42"/>
  <c r="X14" i="42" s="1"/>
  <c r="N14" i="42"/>
  <c r="D14" i="42"/>
  <c r="L14" i="42" s="1"/>
  <c r="B14" i="42"/>
  <c r="P13" i="42"/>
  <c r="N13" i="42"/>
  <c r="D13" i="42"/>
  <c r="L13" i="42" s="1"/>
  <c r="B13" i="42"/>
  <c r="T12" i="42"/>
  <c r="H12" i="42"/>
  <c r="J123" i="42" s="1"/>
  <c r="D4" i="42"/>
  <c r="X147" i="39"/>
  <c r="Z147" i="39" s="1"/>
  <c r="N147" i="39"/>
  <c r="L147" i="39"/>
  <c r="Z143" i="39"/>
  <c r="X143" i="39"/>
  <c r="P143" i="39"/>
  <c r="N143" i="39"/>
  <c r="L143" i="39"/>
  <c r="D143" i="39"/>
  <c r="B143" i="39"/>
  <c r="Z142" i="39"/>
  <c r="X142" i="39"/>
  <c r="P142" i="39"/>
  <c r="N142" i="39"/>
  <c r="D142" i="39"/>
  <c r="L142" i="39" s="1"/>
  <c r="B142" i="39"/>
  <c r="X141" i="39"/>
  <c r="Z141" i="39" s="1"/>
  <c r="P141" i="39"/>
  <c r="D141" i="39"/>
  <c r="L141" i="39" s="1"/>
  <c r="N141" i="39" s="1"/>
  <c r="B141" i="39"/>
  <c r="V140" i="39"/>
  <c r="P140" i="39"/>
  <c r="L140" i="39"/>
  <c r="N140" i="39" s="1"/>
  <c r="D140" i="39"/>
  <c r="D139" i="39" s="1"/>
  <c r="L139" i="39" s="1"/>
  <c r="B140" i="39"/>
  <c r="T139" i="39"/>
  <c r="H139" i="39"/>
  <c r="Z137" i="39"/>
  <c r="X137" i="39"/>
  <c r="N137" i="39"/>
  <c r="L137" i="39"/>
  <c r="B137" i="39"/>
  <c r="T136" i="39"/>
  <c r="P136" i="39"/>
  <c r="N136" i="39"/>
  <c r="L136" i="39"/>
  <c r="J136" i="39"/>
  <c r="H136" i="39"/>
  <c r="D136" i="39"/>
  <c r="B136" i="39"/>
  <c r="Z135" i="39"/>
  <c r="X135" i="39"/>
  <c r="N135" i="39"/>
  <c r="L135" i="39"/>
  <c r="B135" i="39"/>
  <c r="Z134" i="39"/>
  <c r="X134" i="39"/>
  <c r="N134" i="39"/>
  <c r="L134" i="39"/>
  <c r="B134" i="39"/>
  <c r="Z133" i="39"/>
  <c r="X133" i="39"/>
  <c r="L133" i="39"/>
  <c r="N133" i="39" s="1"/>
  <c r="B133" i="39"/>
  <c r="T132" i="39"/>
  <c r="P132" i="39"/>
  <c r="X132" i="39" s="1"/>
  <c r="H132" i="39"/>
  <c r="D132" i="39"/>
  <c r="L132" i="39" s="1"/>
  <c r="N132" i="39" s="1"/>
  <c r="B132" i="39"/>
  <c r="X131" i="39"/>
  <c r="Z131" i="39" s="1"/>
  <c r="V131" i="39"/>
  <c r="L131" i="39"/>
  <c r="N131" i="39" s="1"/>
  <c r="B131" i="39"/>
  <c r="T130" i="39"/>
  <c r="P130" i="39"/>
  <c r="X130" i="39" s="1"/>
  <c r="Z130" i="39" s="1"/>
  <c r="H130" i="39"/>
  <c r="D130" i="39"/>
  <c r="L130" i="39" s="1"/>
  <c r="N130" i="39" s="1"/>
  <c r="B130" i="39"/>
  <c r="Z129" i="39"/>
  <c r="X129" i="39"/>
  <c r="N129" i="39"/>
  <c r="L129" i="39"/>
  <c r="B129" i="39"/>
  <c r="X128" i="39"/>
  <c r="Z128" i="39" s="1"/>
  <c r="N128" i="39"/>
  <c r="L128" i="39"/>
  <c r="J128" i="39"/>
  <c r="B128" i="39"/>
  <c r="X127" i="39"/>
  <c r="T127" i="39"/>
  <c r="Z127" i="39" s="1"/>
  <c r="P127" i="39"/>
  <c r="H127" i="39"/>
  <c r="N127" i="39" s="1"/>
  <c r="D127" i="39"/>
  <c r="L127" i="39" s="1"/>
  <c r="B127" i="39"/>
  <c r="Z126" i="39"/>
  <c r="X126" i="39"/>
  <c r="L126" i="39"/>
  <c r="N126" i="39" s="1"/>
  <c r="B126" i="39"/>
  <c r="X125" i="39"/>
  <c r="Z125" i="39" s="1"/>
  <c r="L125" i="39"/>
  <c r="N125" i="39" s="1"/>
  <c r="B125" i="39"/>
  <c r="Z124" i="39"/>
  <c r="X124" i="39"/>
  <c r="N124" i="39"/>
  <c r="L124" i="39"/>
  <c r="B124" i="39"/>
  <c r="Z123" i="39"/>
  <c r="X123" i="39"/>
  <c r="L123" i="39"/>
  <c r="N123" i="39" s="1"/>
  <c r="B123" i="39"/>
  <c r="Z122" i="39"/>
  <c r="X122" i="39"/>
  <c r="L122" i="39"/>
  <c r="N122" i="39" s="1"/>
  <c r="B122" i="39"/>
  <c r="X121" i="39"/>
  <c r="Z121" i="39" s="1"/>
  <c r="L121" i="39"/>
  <c r="N121" i="39" s="1"/>
  <c r="B121" i="39"/>
  <c r="Z120" i="39"/>
  <c r="X120" i="39"/>
  <c r="N120" i="39"/>
  <c r="L120" i="39"/>
  <c r="B120" i="39"/>
  <c r="Z119" i="39"/>
  <c r="X119" i="39"/>
  <c r="V119" i="39"/>
  <c r="L119" i="39"/>
  <c r="N119" i="39" s="1"/>
  <c r="J119" i="39"/>
  <c r="B119" i="39"/>
  <c r="Z118" i="39"/>
  <c r="X118" i="39"/>
  <c r="L118" i="39"/>
  <c r="N118" i="39" s="1"/>
  <c r="B118" i="39"/>
  <c r="X117" i="39"/>
  <c r="Z117" i="39" s="1"/>
  <c r="L117" i="39"/>
  <c r="N117" i="39" s="1"/>
  <c r="B117" i="39"/>
  <c r="T116" i="39"/>
  <c r="P116" i="39"/>
  <c r="H116" i="39"/>
  <c r="N116" i="39" s="1"/>
  <c r="D116" i="39"/>
  <c r="L116" i="39" s="1"/>
  <c r="B116" i="39"/>
  <c r="X115" i="39"/>
  <c r="Z115" i="39" s="1"/>
  <c r="L115" i="39"/>
  <c r="N115" i="39" s="1"/>
  <c r="B115" i="39"/>
  <c r="X114" i="39"/>
  <c r="Z114" i="39" s="1"/>
  <c r="N114" i="39"/>
  <c r="L114" i="39"/>
  <c r="B114" i="39"/>
  <c r="X113" i="39"/>
  <c r="T113" i="39"/>
  <c r="Z113" i="39" s="1"/>
  <c r="P113" i="39"/>
  <c r="H113" i="39"/>
  <c r="D113" i="39"/>
  <c r="B113" i="39"/>
  <c r="X112" i="39"/>
  <c r="Z112" i="39" s="1"/>
  <c r="N112" i="39"/>
  <c r="L112" i="39"/>
  <c r="J112" i="39"/>
  <c r="B112" i="39"/>
  <c r="X111" i="39"/>
  <c r="Z111" i="39" s="1"/>
  <c r="N111" i="39"/>
  <c r="L111" i="39"/>
  <c r="J111" i="39"/>
  <c r="B111" i="39"/>
  <c r="Z110" i="39"/>
  <c r="X110" i="39"/>
  <c r="N110" i="39"/>
  <c r="L110" i="39"/>
  <c r="B110" i="39"/>
  <c r="Z109" i="39"/>
  <c r="X109" i="39"/>
  <c r="N109" i="39"/>
  <c r="L109" i="39"/>
  <c r="B109" i="39"/>
  <c r="X108" i="39"/>
  <c r="Z108" i="39" s="1"/>
  <c r="N108" i="39"/>
  <c r="L108" i="39"/>
  <c r="J108" i="39"/>
  <c r="B108" i="39"/>
  <c r="Z107" i="39"/>
  <c r="X107" i="39"/>
  <c r="N107" i="39"/>
  <c r="L107" i="39"/>
  <c r="J107" i="39"/>
  <c r="B107" i="39"/>
  <c r="X106" i="39"/>
  <c r="Z106" i="39" s="1"/>
  <c r="T106" i="39"/>
  <c r="P106" i="39"/>
  <c r="H106" i="39"/>
  <c r="D106" i="39"/>
  <c r="B106" i="39"/>
  <c r="Z105" i="39"/>
  <c r="X105" i="39"/>
  <c r="L105" i="39"/>
  <c r="N105" i="39" s="1"/>
  <c r="B105" i="39"/>
  <c r="Z104" i="39"/>
  <c r="X104" i="39"/>
  <c r="N104" i="39"/>
  <c r="L104" i="39"/>
  <c r="B104" i="39"/>
  <c r="Z103" i="39"/>
  <c r="X103" i="39"/>
  <c r="L103" i="39"/>
  <c r="N103" i="39" s="1"/>
  <c r="J103" i="39"/>
  <c r="B103" i="39"/>
  <c r="Z102" i="39"/>
  <c r="X102" i="39"/>
  <c r="L102" i="39"/>
  <c r="N102" i="39" s="1"/>
  <c r="B102" i="39"/>
  <c r="Z101" i="39"/>
  <c r="X101" i="39"/>
  <c r="T101" i="39"/>
  <c r="P101" i="39"/>
  <c r="J101" i="39"/>
  <c r="H101" i="39"/>
  <c r="D101" i="39"/>
  <c r="L101" i="39" s="1"/>
  <c r="N101" i="39" s="1"/>
  <c r="B101" i="39"/>
  <c r="Z100" i="39"/>
  <c r="X100" i="39"/>
  <c r="L100" i="39"/>
  <c r="N100" i="39" s="1"/>
  <c r="B100" i="39"/>
  <c r="X99" i="39"/>
  <c r="Z99" i="39" s="1"/>
  <c r="V99" i="39"/>
  <c r="L99" i="39"/>
  <c r="N99" i="39" s="1"/>
  <c r="B99" i="39"/>
  <c r="X98" i="39"/>
  <c r="Z98" i="39" s="1"/>
  <c r="N98" i="39"/>
  <c r="L98" i="39"/>
  <c r="J98" i="39"/>
  <c r="B98" i="39"/>
  <c r="X97" i="39"/>
  <c r="Z97" i="39" s="1"/>
  <c r="N97" i="39"/>
  <c r="L97" i="39"/>
  <c r="B97" i="39"/>
  <c r="Z96" i="39"/>
  <c r="T96" i="39"/>
  <c r="P96" i="39"/>
  <c r="X96" i="39" s="1"/>
  <c r="H96" i="39"/>
  <c r="D96" i="39"/>
  <c r="L96" i="39" s="1"/>
  <c r="N96" i="39" s="1"/>
  <c r="B96" i="39"/>
  <c r="X95" i="39"/>
  <c r="Z95" i="39" s="1"/>
  <c r="N95" i="39"/>
  <c r="L95" i="39"/>
  <c r="J95" i="39"/>
  <c r="B95" i="39"/>
  <c r="Z94" i="39"/>
  <c r="X94" i="39"/>
  <c r="T94" i="39"/>
  <c r="P94" i="39"/>
  <c r="H94" i="39"/>
  <c r="D94" i="39"/>
  <c r="B94" i="39"/>
  <c r="Z93" i="39"/>
  <c r="X93" i="39"/>
  <c r="N93" i="39"/>
  <c r="L93" i="39"/>
  <c r="B93" i="39"/>
  <c r="T92" i="39"/>
  <c r="Z92" i="39" s="1"/>
  <c r="P92" i="39"/>
  <c r="X92" i="39" s="1"/>
  <c r="H92" i="39"/>
  <c r="N92" i="39" s="1"/>
  <c r="D92" i="39"/>
  <c r="L92" i="39" s="1"/>
  <c r="B92" i="39"/>
  <c r="Z91" i="39"/>
  <c r="X91" i="39"/>
  <c r="N91" i="39"/>
  <c r="L91" i="39"/>
  <c r="B91" i="39"/>
  <c r="Z90" i="39"/>
  <c r="T90" i="39"/>
  <c r="P90" i="39"/>
  <c r="X90" i="39" s="1"/>
  <c r="N90" i="39"/>
  <c r="H90" i="39"/>
  <c r="D90" i="39"/>
  <c r="L90" i="39" s="1"/>
  <c r="B90" i="39"/>
  <c r="Z89" i="39"/>
  <c r="X89" i="39"/>
  <c r="L89" i="39"/>
  <c r="N89" i="39" s="1"/>
  <c r="B89" i="39"/>
  <c r="T88" i="39"/>
  <c r="P88" i="39"/>
  <c r="L88" i="39"/>
  <c r="N88" i="39" s="1"/>
  <c r="J88" i="39"/>
  <c r="H88" i="39"/>
  <c r="D88" i="39"/>
  <c r="B88" i="39"/>
  <c r="Z87" i="39"/>
  <c r="X87" i="39"/>
  <c r="L87" i="39"/>
  <c r="N87" i="39" s="1"/>
  <c r="J87" i="39"/>
  <c r="B87" i="39"/>
  <c r="T86" i="39"/>
  <c r="Z86" i="39" s="1"/>
  <c r="P86" i="39"/>
  <c r="X86" i="39" s="1"/>
  <c r="J86" i="39"/>
  <c r="H86" i="39"/>
  <c r="D86" i="39"/>
  <c r="B86" i="39"/>
  <c r="X85" i="39"/>
  <c r="Z85" i="39" s="1"/>
  <c r="N85" i="39"/>
  <c r="L85" i="39"/>
  <c r="B85" i="39"/>
  <c r="Z84" i="39"/>
  <c r="X84" i="39"/>
  <c r="L84" i="39"/>
  <c r="N84" i="39" s="1"/>
  <c r="B84" i="39"/>
  <c r="T83" i="39"/>
  <c r="P83" i="39"/>
  <c r="L83" i="39"/>
  <c r="H83" i="39"/>
  <c r="N83" i="39" s="1"/>
  <c r="D83" i="39"/>
  <c r="B83" i="39"/>
  <c r="Z82" i="39"/>
  <c r="X82" i="39"/>
  <c r="N82" i="39"/>
  <c r="L82" i="39"/>
  <c r="B82" i="39"/>
  <c r="T81" i="39"/>
  <c r="Z81" i="39" s="1"/>
  <c r="P81" i="39"/>
  <c r="L81" i="39"/>
  <c r="H81" i="39"/>
  <c r="N81" i="39" s="1"/>
  <c r="D81" i="39"/>
  <c r="B81" i="39"/>
  <c r="Z80" i="39"/>
  <c r="X80" i="39"/>
  <c r="N80" i="39"/>
  <c r="L80" i="39"/>
  <c r="B80" i="39"/>
  <c r="T79" i="39"/>
  <c r="P79" i="39"/>
  <c r="X79" i="39" s="1"/>
  <c r="Z79" i="39" s="1"/>
  <c r="N79" i="39"/>
  <c r="L79" i="39"/>
  <c r="H79" i="39"/>
  <c r="D79" i="39"/>
  <c r="B79" i="39"/>
  <c r="X78" i="39"/>
  <c r="Z78" i="39" s="1"/>
  <c r="L78" i="39"/>
  <c r="N78" i="39" s="1"/>
  <c r="J78" i="39"/>
  <c r="B78" i="39"/>
  <c r="X77" i="39"/>
  <c r="T77" i="39"/>
  <c r="Z77" i="39" s="1"/>
  <c r="P77" i="39"/>
  <c r="J77" i="39"/>
  <c r="H77" i="39"/>
  <c r="D77" i="39"/>
  <c r="B77" i="39"/>
  <c r="X76" i="39"/>
  <c r="Z76" i="39" s="1"/>
  <c r="N76" i="39"/>
  <c r="L76" i="39"/>
  <c r="J76" i="39"/>
  <c r="B76" i="39"/>
  <c r="X75" i="39"/>
  <c r="T75" i="39"/>
  <c r="Z75" i="39" s="1"/>
  <c r="P75" i="39"/>
  <c r="N75" i="39"/>
  <c r="H75" i="39"/>
  <c r="D75" i="39"/>
  <c r="L75" i="39" s="1"/>
  <c r="B75" i="39"/>
  <c r="Z74" i="39"/>
  <c r="X74" i="39"/>
  <c r="N74" i="39"/>
  <c r="L74" i="39"/>
  <c r="B74" i="39"/>
  <c r="Z73" i="39"/>
  <c r="X73" i="39"/>
  <c r="T73" i="39"/>
  <c r="P73" i="39"/>
  <c r="N73" i="39"/>
  <c r="J73" i="39"/>
  <c r="H73" i="39"/>
  <c r="D73" i="39"/>
  <c r="L73" i="39" s="1"/>
  <c r="B73" i="39"/>
  <c r="Z72" i="39"/>
  <c r="X72" i="39"/>
  <c r="L72" i="39"/>
  <c r="N72" i="39" s="1"/>
  <c r="B72" i="39"/>
  <c r="X71" i="39"/>
  <c r="Z71" i="39" s="1"/>
  <c r="L71" i="39"/>
  <c r="N71" i="39" s="1"/>
  <c r="B71" i="39"/>
  <c r="X70" i="39"/>
  <c r="Z70" i="39" s="1"/>
  <c r="L70" i="39"/>
  <c r="N70" i="39" s="1"/>
  <c r="J70" i="39"/>
  <c r="B70" i="39"/>
  <c r="X69" i="39"/>
  <c r="Z69" i="39" s="1"/>
  <c r="N69" i="39"/>
  <c r="L69" i="39"/>
  <c r="B69" i="39"/>
  <c r="T68" i="39"/>
  <c r="P68" i="39"/>
  <c r="X68" i="39" s="1"/>
  <c r="Z68" i="39" s="1"/>
  <c r="L68" i="39"/>
  <c r="N68" i="39" s="1"/>
  <c r="H68" i="39"/>
  <c r="D68" i="39"/>
  <c r="B68" i="39"/>
  <c r="X67" i="39"/>
  <c r="Z67" i="39" s="1"/>
  <c r="N67" i="39"/>
  <c r="L67" i="39"/>
  <c r="J67" i="39"/>
  <c r="B67" i="39"/>
  <c r="X66" i="39"/>
  <c r="Z66" i="39" s="1"/>
  <c r="T66" i="39"/>
  <c r="P66" i="39"/>
  <c r="H66" i="39"/>
  <c r="D66" i="39"/>
  <c r="B66" i="39"/>
  <c r="Z65" i="39"/>
  <c r="X65" i="39"/>
  <c r="L65" i="39"/>
  <c r="N65" i="39" s="1"/>
  <c r="B65" i="39"/>
  <c r="T64" i="39"/>
  <c r="P64" i="39"/>
  <c r="H64" i="39"/>
  <c r="D64" i="39"/>
  <c r="L64" i="39" s="1"/>
  <c r="N64" i="39" s="1"/>
  <c r="B64" i="39"/>
  <c r="X63" i="39"/>
  <c r="Z63" i="39" s="1"/>
  <c r="V63" i="39"/>
  <c r="L63" i="39"/>
  <c r="N63" i="39" s="1"/>
  <c r="B63" i="39"/>
  <c r="T62" i="39"/>
  <c r="P62" i="39"/>
  <c r="X62" i="39" s="1"/>
  <c r="Z62" i="39" s="1"/>
  <c r="N62" i="39"/>
  <c r="H62" i="39"/>
  <c r="D62" i="39"/>
  <c r="L62" i="39" s="1"/>
  <c r="B62" i="39"/>
  <c r="Z61" i="39"/>
  <c r="X61" i="39"/>
  <c r="N61" i="39"/>
  <c r="L61" i="39"/>
  <c r="B61" i="39"/>
  <c r="Z60" i="39"/>
  <c r="X60" i="39"/>
  <c r="N60" i="39"/>
  <c r="L60" i="39"/>
  <c r="J60" i="39"/>
  <c r="B60" i="39"/>
  <c r="X59" i="39"/>
  <c r="Z59" i="39" s="1"/>
  <c r="N59" i="39"/>
  <c r="L59" i="39"/>
  <c r="J59" i="39"/>
  <c r="B59" i="39"/>
  <c r="X58" i="39"/>
  <c r="Z58" i="39" s="1"/>
  <c r="N58" i="39"/>
  <c r="L58" i="39"/>
  <c r="B58" i="39"/>
  <c r="Z57" i="39"/>
  <c r="X57" i="39"/>
  <c r="N57" i="39"/>
  <c r="L57" i="39"/>
  <c r="B57" i="39"/>
  <c r="X56" i="39"/>
  <c r="Z56" i="39" s="1"/>
  <c r="N56" i="39"/>
  <c r="L56" i="39"/>
  <c r="J56" i="39"/>
  <c r="B56" i="39"/>
  <c r="X55" i="39"/>
  <c r="Z55" i="39" s="1"/>
  <c r="N55" i="39"/>
  <c r="L55" i="39"/>
  <c r="J55" i="39"/>
  <c r="B55" i="39"/>
  <c r="Z54" i="39"/>
  <c r="X54" i="39"/>
  <c r="N54" i="39"/>
  <c r="L54" i="39"/>
  <c r="B54" i="39"/>
  <c r="Z53" i="39"/>
  <c r="X53" i="39"/>
  <c r="L53" i="39"/>
  <c r="N53" i="39" s="1"/>
  <c r="B53" i="39"/>
  <c r="X52" i="39"/>
  <c r="Z52" i="39" s="1"/>
  <c r="N52" i="39"/>
  <c r="L52" i="39"/>
  <c r="J52" i="39"/>
  <c r="B52" i="39"/>
  <c r="X51" i="39"/>
  <c r="T51" i="39"/>
  <c r="Z51" i="39" s="1"/>
  <c r="P51" i="39"/>
  <c r="N51" i="39"/>
  <c r="H51" i="39"/>
  <c r="D51" i="39"/>
  <c r="L51" i="39" s="1"/>
  <c r="B51" i="39"/>
  <c r="Z50" i="39"/>
  <c r="X50" i="39"/>
  <c r="L50" i="39"/>
  <c r="N50" i="39" s="1"/>
  <c r="B50" i="39"/>
  <c r="X49" i="39"/>
  <c r="Z49" i="39" s="1"/>
  <c r="L49" i="39"/>
  <c r="N49" i="39" s="1"/>
  <c r="B49" i="39"/>
  <c r="Z48" i="39"/>
  <c r="X48" i="39"/>
  <c r="N48" i="39"/>
  <c r="L48" i="39"/>
  <c r="B48" i="39"/>
  <c r="Z47" i="39"/>
  <c r="X47" i="39"/>
  <c r="V47" i="39"/>
  <c r="N47" i="39"/>
  <c r="L47" i="39"/>
  <c r="J47" i="39"/>
  <c r="B47" i="39"/>
  <c r="Z46" i="39"/>
  <c r="X46" i="39"/>
  <c r="N46" i="39"/>
  <c r="L46" i="39"/>
  <c r="B46" i="39"/>
  <c r="X45" i="39"/>
  <c r="Z45" i="39" s="1"/>
  <c r="L45" i="39"/>
  <c r="N45" i="39" s="1"/>
  <c r="B45" i="39"/>
  <c r="Z44" i="39"/>
  <c r="X44" i="39"/>
  <c r="N44" i="39"/>
  <c r="L44" i="39"/>
  <c r="B44" i="39"/>
  <c r="Z43" i="39"/>
  <c r="X43" i="39"/>
  <c r="V43" i="39"/>
  <c r="L43" i="39"/>
  <c r="N43" i="39" s="1"/>
  <c r="J43" i="39"/>
  <c r="B43" i="39"/>
  <c r="Z42" i="39"/>
  <c r="X42" i="39"/>
  <c r="L42" i="39"/>
  <c r="N42" i="39" s="1"/>
  <c r="B42" i="39"/>
  <c r="Z41" i="39"/>
  <c r="X41" i="39"/>
  <c r="L41" i="39"/>
  <c r="N41" i="39" s="1"/>
  <c r="B41" i="39"/>
  <c r="T40" i="39"/>
  <c r="P40" i="39"/>
  <c r="H40" i="39"/>
  <c r="D40" i="39"/>
  <c r="L40" i="39" s="1"/>
  <c r="N40" i="39" s="1"/>
  <c r="B40" i="39"/>
  <c r="T39" i="39"/>
  <c r="V39" i="39" s="1"/>
  <c r="P39" i="39"/>
  <c r="H39" i="39"/>
  <c r="D39" i="39"/>
  <c r="Z35" i="39"/>
  <c r="X35" i="39"/>
  <c r="V35" i="39"/>
  <c r="N35" i="39"/>
  <c r="L35" i="39"/>
  <c r="B35" i="39"/>
  <c r="Z34" i="39"/>
  <c r="X34" i="39"/>
  <c r="N34" i="39"/>
  <c r="L34" i="39"/>
  <c r="J34" i="39"/>
  <c r="B34" i="39"/>
  <c r="X33" i="39"/>
  <c r="Z33" i="39" s="1"/>
  <c r="V33" i="39"/>
  <c r="N33" i="39"/>
  <c r="L33" i="39"/>
  <c r="B33" i="39"/>
  <c r="T32" i="39"/>
  <c r="P32" i="39"/>
  <c r="X32" i="39" s="1"/>
  <c r="Z32" i="39" s="1"/>
  <c r="L32" i="39"/>
  <c r="N32" i="39" s="1"/>
  <c r="J32" i="39"/>
  <c r="H32" i="39"/>
  <c r="D32" i="39"/>
  <c r="Z30" i="39"/>
  <c r="P30" i="39"/>
  <c r="X30" i="39" s="1"/>
  <c r="N30" i="39"/>
  <c r="D30" i="39"/>
  <c r="L30" i="39" s="1"/>
  <c r="B30" i="39"/>
  <c r="Z29" i="39"/>
  <c r="X29" i="39"/>
  <c r="P29" i="39"/>
  <c r="N29" i="39"/>
  <c r="D29" i="39"/>
  <c r="L29" i="39" s="1"/>
  <c r="B29" i="39"/>
  <c r="Z28" i="39"/>
  <c r="P28" i="39"/>
  <c r="X28" i="39" s="1"/>
  <c r="N28" i="39"/>
  <c r="D28" i="39"/>
  <c r="L28" i="39" s="1"/>
  <c r="B28" i="39"/>
  <c r="Z27" i="39"/>
  <c r="P27" i="39"/>
  <c r="X27" i="39" s="1"/>
  <c r="N27" i="39"/>
  <c r="D27" i="39"/>
  <c r="L27" i="39" s="1"/>
  <c r="B27" i="39"/>
  <c r="Z26" i="39"/>
  <c r="X26" i="39"/>
  <c r="P26" i="39"/>
  <c r="N26" i="39"/>
  <c r="L26" i="39"/>
  <c r="D26" i="39"/>
  <c r="B26" i="39"/>
  <c r="Z25" i="39"/>
  <c r="X25" i="39"/>
  <c r="P25" i="39"/>
  <c r="N25" i="39"/>
  <c r="D25" i="39"/>
  <c r="L25" i="39" s="1"/>
  <c r="B25" i="39"/>
  <c r="Z24" i="39"/>
  <c r="P24" i="39"/>
  <c r="X24" i="39" s="1"/>
  <c r="N24" i="39"/>
  <c r="L24" i="39"/>
  <c r="D24" i="39"/>
  <c r="B24" i="39"/>
  <c r="Z23" i="39"/>
  <c r="X23" i="39"/>
  <c r="P23" i="39"/>
  <c r="N23" i="39"/>
  <c r="D23" i="39"/>
  <c r="L23" i="39" s="1"/>
  <c r="B23" i="39"/>
  <c r="Z22" i="39"/>
  <c r="P22" i="39"/>
  <c r="X22" i="39" s="1"/>
  <c r="N22" i="39"/>
  <c r="L22" i="39"/>
  <c r="D22" i="39"/>
  <c r="B22" i="39"/>
  <c r="P21" i="39"/>
  <c r="X21" i="39" s="1"/>
  <c r="Z21" i="39" s="1"/>
  <c r="N21" i="39"/>
  <c r="D21" i="39"/>
  <c r="L21" i="39" s="1"/>
  <c r="B21" i="39"/>
  <c r="Z20" i="39"/>
  <c r="P20" i="39"/>
  <c r="X20" i="39" s="1"/>
  <c r="N20" i="39"/>
  <c r="L20" i="39"/>
  <c r="D20" i="39"/>
  <c r="B20" i="39"/>
  <c r="Z19" i="39"/>
  <c r="X19" i="39"/>
  <c r="P19" i="39"/>
  <c r="N19" i="39"/>
  <c r="D19" i="39"/>
  <c r="L19" i="39" s="1"/>
  <c r="B19" i="39"/>
  <c r="Z18" i="39"/>
  <c r="P18" i="39"/>
  <c r="X18" i="39" s="1"/>
  <c r="N18" i="39"/>
  <c r="D18" i="39"/>
  <c r="L18" i="39" s="1"/>
  <c r="B18" i="39"/>
  <c r="Z17" i="39"/>
  <c r="X17" i="39"/>
  <c r="P17" i="39"/>
  <c r="N17" i="39"/>
  <c r="D17" i="39"/>
  <c r="L17" i="39" s="1"/>
  <c r="B17" i="39"/>
  <c r="Z16" i="39"/>
  <c r="P16" i="39"/>
  <c r="X16" i="39" s="1"/>
  <c r="N16" i="39"/>
  <c r="D16" i="39"/>
  <c r="L16" i="39" s="1"/>
  <c r="B16" i="39"/>
  <c r="Z15" i="39"/>
  <c r="X15" i="39"/>
  <c r="P15" i="39"/>
  <c r="N15" i="39"/>
  <c r="D15" i="39"/>
  <c r="L15" i="39" s="1"/>
  <c r="B15" i="39"/>
  <c r="Z14" i="39"/>
  <c r="P14" i="39"/>
  <c r="X14" i="39" s="1"/>
  <c r="N14" i="39"/>
  <c r="L14" i="39"/>
  <c r="D14" i="39"/>
  <c r="B14" i="39"/>
  <c r="Z13" i="39"/>
  <c r="X13" i="39"/>
  <c r="P13" i="39"/>
  <c r="D13" i="39"/>
  <c r="B13" i="39"/>
  <c r="T12" i="39"/>
  <c r="V115" i="39" s="1"/>
  <c r="H12" i="39"/>
  <c r="D4" i="39"/>
  <c r="Z142" i="36"/>
  <c r="X142" i="36"/>
  <c r="L142" i="36"/>
  <c r="N142" i="36" s="1"/>
  <c r="J142" i="36"/>
  <c r="Z138" i="36"/>
  <c r="P138" i="36"/>
  <c r="X138" i="36" s="1"/>
  <c r="N138" i="36"/>
  <c r="L138" i="36"/>
  <c r="D138" i="36"/>
  <c r="B138" i="36"/>
  <c r="Z137" i="36"/>
  <c r="P137" i="36"/>
  <c r="X137" i="36" s="1"/>
  <c r="N137" i="36"/>
  <c r="L137" i="36"/>
  <c r="D137" i="36"/>
  <c r="B137" i="36"/>
  <c r="X136" i="36"/>
  <c r="Z136" i="36" s="1"/>
  <c r="P136" i="36"/>
  <c r="J136" i="36"/>
  <c r="D136" i="36"/>
  <c r="L136" i="36" s="1"/>
  <c r="N136" i="36" s="1"/>
  <c r="B136" i="36"/>
  <c r="P135" i="36"/>
  <c r="X135" i="36" s="1"/>
  <c r="Z135" i="36" s="1"/>
  <c r="J135" i="36"/>
  <c r="D135" i="36"/>
  <c r="B135" i="36"/>
  <c r="T134" i="36"/>
  <c r="H134" i="36"/>
  <c r="X132" i="36"/>
  <c r="Z132" i="36" s="1"/>
  <c r="N132" i="36"/>
  <c r="L132" i="36"/>
  <c r="B132" i="36"/>
  <c r="T131" i="36"/>
  <c r="P131" i="36"/>
  <c r="X131" i="36" s="1"/>
  <c r="Z131" i="36" s="1"/>
  <c r="L131" i="36"/>
  <c r="N131" i="36" s="1"/>
  <c r="H131" i="36"/>
  <c r="D131" i="36"/>
  <c r="B131" i="36"/>
  <c r="X130" i="36"/>
  <c r="Z130" i="36" s="1"/>
  <c r="L130" i="36"/>
  <c r="N130" i="36" s="1"/>
  <c r="B130" i="36"/>
  <c r="Z129" i="36"/>
  <c r="X129" i="36"/>
  <c r="N129" i="36"/>
  <c r="L129" i="36"/>
  <c r="J129" i="36"/>
  <c r="B129" i="36"/>
  <c r="X128" i="36"/>
  <c r="Z128" i="36" s="1"/>
  <c r="L128" i="36"/>
  <c r="N128" i="36" s="1"/>
  <c r="B128" i="36"/>
  <c r="T127" i="36"/>
  <c r="P127" i="36"/>
  <c r="H127" i="36"/>
  <c r="L127" i="36" s="1"/>
  <c r="N127" i="36" s="1"/>
  <c r="D127" i="36"/>
  <c r="B127" i="36"/>
  <c r="Z126" i="36"/>
  <c r="X126" i="36"/>
  <c r="V126" i="36"/>
  <c r="L126" i="36"/>
  <c r="N126" i="36" s="1"/>
  <c r="B126" i="36"/>
  <c r="T125" i="36"/>
  <c r="Z125" i="36" s="1"/>
  <c r="P125" i="36"/>
  <c r="X125" i="36" s="1"/>
  <c r="J125" i="36"/>
  <c r="H125" i="36"/>
  <c r="N125" i="36" s="1"/>
  <c r="D125" i="36"/>
  <c r="L125" i="36" s="1"/>
  <c r="B125" i="36"/>
  <c r="X124" i="36"/>
  <c r="Z124" i="36" s="1"/>
  <c r="L124" i="36"/>
  <c r="N124" i="36" s="1"/>
  <c r="B124" i="36"/>
  <c r="Z123" i="36"/>
  <c r="X123" i="36"/>
  <c r="N123" i="36"/>
  <c r="L123" i="36"/>
  <c r="B123" i="36"/>
  <c r="T122" i="36"/>
  <c r="P122" i="36"/>
  <c r="X122" i="36" s="1"/>
  <c r="H122" i="36"/>
  <c r="D122" i="36"/>
  <c r="B122" i="36"/>
  <c r="Z121" i="36"/>
  <c r="X121" i="36"/>
  <c r="N121" i="36"/>
  <c r="L121" i="36"/>
  <c r="B121" i="36"/>
  <c r="X120" i="36"/>
  <c r="Z120" i="36" s="1"/>
  <c r="N120" i="36"/>
  <c r="L120" i="36"/>
  <c r="B120" i="36"/>
  <c r="Z119" i="36"/>
  <c r="X119" i="36"/>
  <c r="N119" i="36"/>
  <c r="L119" i="36"/>
  <c r="B119" i="36"/>
  <c r="X118" i="36"/>
  <c r="Z118" i="36" s="1"/>
  <c r="N118" i="36"/>
  <c r="L118" i="36"/>
  <c r="B118" i="36"/>
  <c r="Z117" i="36"/>
  <c r="X117" i="36"/>
  <c r="N117" i="36"/>
  <c r="L117" i="36"/>
  <c r="B117" i="36"/>
  <c r="X116" i="36"/>
  <c r="Z116" i="36" s="1"/>
  <c r="N116" i="36"/>
  <c r="L116" i="36"/>
  <c r="B116" i="36"/>
  <c r="Z115" i="36"/>
  <c r="X115" i="36"/>
  <c r="V115" i="36"/>
  <c r="N115" i="36"/>
  <c r="L115" i="36"/>
  <c r="B115" i="36"/>
  <c r="Z114" i="36"/>
  <c r="X114" i="36"/>
  <c r="N114" i="36"/>
  <c r="L114" i="36"/>
  <c r="J114" i="36"/>
  <c r="B114" i="36"/>
  <c r="Z113" i="36"/>
  <c r="X113" i="36"/>
  <c r="N113" i="36"/>
  <c r="L113" i="36"/>
  <c r="B113" i="36"/>
  <c r="Z112" i="36"/>
  <c r="X112" i="36"/>
  <c r="N112" i="36"/>
  <c r="L112" i="36"/>
  <c r="B112" i="36"/>
  <c r="X111" i="36"/>
  <c r="Z111" i="36" s="1"/>
  <c r="V111" i="36"/>
  <c r="T111" i="36"/>
  <c r="P111" i="36"/>
  <c r="L111" i="36"/>
  <c r="N111" i="36" s="1"/>
  <c r="H111" i="36"/>
  <c r="D111" i="36"/>
  <c r="B111" i="36"/>
  <c r="X110" i="36"/>
  <c r="Z110" i="36" s="1"/>
  <c r="L110" i="36"/>
  <c r="N110" i="36" s="1"/>
  <c r="B110" i="36"/>
  <c r="Z109" i="36"/>
  <c r="X109" i="36"/>
  <c r="L109" i="36"/>
  <c r="N109" i="36" s="1"/>
  <c r="B109" i="36"/>
  <c r="X108" i="36"/>
  <c r="Z108" i="36" s="1"/>
  <c r="T108" i="36"/>
  <c r="P108" i="36"/>
  <c r="H108" i="36"/>
  <c r="N108" i="36" s="1"/>
  <c r="D108" i="36"/>
  <c r="L108" i="36" s="1"/>
  <c r="B108" i="36"/>
  <c r="Z107" i="36"/>
  <c r="X107" i="36"/>
  <c r="N107" i="36"/>
  <c r="L107" i="36"/>
  <c r="B107" i="36"/>
  <c r="X106" i="36"/>
  <c r="Z106" i="36" s="1"/>
  <c r="L106" i="36"/>
  <c r="N106" i="36" s="1"/>
  <c r="B106" i="36"/>
  <c r="Z105" i="36"/>
  <c r="X105" i="36"/>
  <c r="L105" i="36"/>
  <c r="N105" i="36" s="1"/>
  <c r="B105" i="36"/>
  <c r="X104" i="36"/>
  <c r="Z104" i="36" s="1"/>
  <c r="V104" i="36"/>
  <c r="L104" i="36"/>
  <c r="N104" i="36" s="1"/>
  <c r="B104" i="36"/>
  <c r="X103" i="36"/>
  <c r="Z103" i="36" s="1"/>
  <c r="L103" i="36"/>
  <c r="N103" i="36" s="1"/>
  <c r="B103" i="36"/>
  <c r="X102" i="36"/>
  <c r="T102" i="36"/>
  <c r="P102" i="36"/>
  <c r="L102" i="36"/>
  <c r="H102" i="36"/>
  <c r="D102" i="36"/>
  <c r="B102" i="36"/>
  <c r="X101" i="36"/>
  <c r="Z101" i="36" s="1"/>
  <c r="N101" i="36"/>
  <c r="L101" i="36"/>
  <c r="B101" i="36"/>
  <c r="Z100" i="36"/>
  <c r="X100" i="36"/>
  <c r="L100" i="36"/>
  <c r="N100" i="36" s="1"/>
  <c r="B100" i="36"/>
  <c r="X99" i="36"/>
  <c r="Z99" i="36" s="1"/>
  <c r="N99" i="36"/>
  <c r="L99" i="36"/>
  <c r="J99" i="36"/>
  <c r="B99" i="36"/>
  <c r="Z98" i="36"/>
  <c r="X98" i="36"/>
  <c r="L98" i="36"/>
  <c r="N98" i="36" s="1"/>
  <c r="B98" i="36"/>
  <c r="X97" i="36"/>
  <c r="T97" i="36"/>
  <c r="Z97" i="36" s="1"/>
  <c r="P97" i="36"/>
  <c r="H97" i="36"/>
  <c r="D97" i="36"/>
  <c r="B97" i="36"/>
  <c r="Z96" i="36"/>
  <c r="X96" i="36"/>
  <c r="L96" i="36"/>
  <c r="N96" i="36" s="1"/>
  <c r="B96" i="36"/>
  <c r="Z95" i="36"/>
  <c r="X95" i="36"/>
  <c r="V95" i="36"/>
  <c r="N95" i="36"/>
  <c r="L95" i="36"/>
  <c r="B95" i="36"/>
  <c r="X94" i="36"/>
  <c r="Z94" i="36" s="1"/>
  <c r="N94" i="36"/>
  <c r="L94" i="36"/>
  <c r="J94" i="36"/>
  <c r="B94" i="36"/>
  <c r="Z93" i="36"/>
  <c r="X93" i="36"/>
  <c r="N93" i="36"/>
  <c r="L93" i="36"/>
  <c r="B93" i="36"/>
  <c r="T92" i="36"/>
  <c r="P92" i="36"/>
  <c r="L92" i="36"/>
  <c r="N92" i="36" s="1"/>
  <c r="H92" i="36"/>
  <c r="D92" i="36"/>
  <c r="B92" i="36"/>
  <c r="X91" i="36"/>
  <c r="Z91" i="36" s="1"/>
  <c r="V91" i="36"/>
  <c r="L91" i="36"/>
  <c r="N91" i="36" s="1"/>
  <c r="B91" i="36"/>
  <c r="T90" i="36"/>
  <c r="P90" i="36"/>
  <c r="X90" i="36" s="1"/>
  <c r="L90" i="36"/>
  <c r="J90" i="36"/>
  <c r="H90" i="36"/>
  <c r="D90" i="36"/>
  <c r="B90" i="36"/>
  <c r="Z89" i="36"/>
  <c r="X89" i="36"/>
  <c r="N89" i="36"/>
  <c r="L89" i="36"/>
  <c r="B89" i="36"/>
  <c r="Z88" i="36"/>
  <c r="T88" i="36"/>
  <c r="X88" i="36" s="1"/>
  <c r="P88" i="36"/>
  <c r="H88" i="36"/>
  <c r="N88" i="36" s="1"/>
  <c r="D88" i="36"/>
  <c r="L88" i="36" s="1"/>
  <c r="B88" i="36"/>
  <c r="Z87" i="36"/>
  <c r="X87" i="36"/>
  <c r="N87" i="36"/>
  <c r="L87" i="36"/>
  <c r="B87" i="36"/>
  <c r="T86" i="36"/>
  <c r="Z86" i="36" s="1"/>
  <c r="P86" i="36"/>
  <c r="N86" i="36"/>
  <c r="H86" i="36"/>
  <c r="D86" i="36"/>
  <c r="L86" i="36" s="1"/>
  <c r="B86" i="36"/>
  <c r="X85" i="36"/>
  <c r="Z85" i="36" s="1"/>
  <c r="N85" i="36"/>
  <c r="L85" i="36"/>
  <c r="B85" i="36"/>
  <c r="V84" i="36"/>
  <c r="T84" i="36"/>
  <c r="P84" i="36"/>
  <c r="X84" i="36" s="1"/>
  <c r="J84" i="36"/>
  <c r="H84" i="36"/>
  <c r="D84" i="36"/>
  <c r="L84" i="36" s="1"/>
  <c r="B84" i="36"/>
  <c r="Z83" i="36"/>
  <c r="X83" i="36"/>
  <c r="V83" i="36"/>
  <c r="N83" i="36"/>
  <c r="L83" i="36"/>
  <c r="B83" i="36"/>
  <c r="T82" i="36"/>
  <c r="P82" i="36"/>
  <c r="X82" i="36" s="1"/>
  <c r="Z82" i="36" s="1"/>
  <c r="H82" i="36"/>
  <c r="D82" i="36"/>
  <c r="B82" i="36"/>
  <c r="X81" i="36"/>
  <c r="Z81" i="36" s="1"/>
  <c r="L81" i="36"/>
  <c r="N81" i="36" s="1"/>
  <c r="B81" i="36"/>
  <c r="Z80" i="36"/>
  <c r="X80" i="36"/>
  <c r="V80" i="36"/>
  <c r="L80" i="36"/>
  <c r="N80" i="36" s="1"/>
  <c r="B80" i="36"/>
  <c r="T79" i="36"/>
  <c r="P79" i="36"/>
  <c r="H79" i="36"/>
  <c r="L79" i="36" s="1"/>
  <c r="N79" i="36" s="1"/>
  <c r="D79" i="36"/>
  <c r="B79" i="36"/>
  <c r="Z78" i="36"/>
  <c r="X78" i="36"/>
  <c r="L78" i="36"/>
  <c r="N78" i="36" s="1"/>
  <c r="B78" i="36"/>
  <c r="T77" i="36"/>
  <c r="P77" i="36"/>
  <c r="X77" i="36" s="1"/>
  <c r="N77" i="36"/>
  <c r="J77" i="36"/>
  <c r="H77" i="36"/>
  <c r="D77" i="36"/>
  <c r="L77" i="36" s="1"/>
  <c r="B77" i="36"/>
  <c r="X76" i="36"/>
  <c r="Z76" i="36" s="1"/>
  <c r="V76" i="36"/>
  <c r="L76" i="36"/>
  <c r="N76" i="36" s="1"/>
  <c r="B76" i="36"/>
  <c r="T75" i="36"/>
  <c r="P75" i="36"/>
  <c r="X75" i="36" s="1"/>
  <c r="Z75" i="36" s="1"/>
  <c r="L75" i="36"/>
  <c r="N75" i="36" s="1"/>
  <c r="J75" i="36"/>
  <c r="H75" i="36"/>
  <c r="D75" i="36"/>
  <c r="B75" i="36"/>
  <c r="Z74" i="36"/>
  <c r="X74" i="36"/>
  <c r="N74" i="36"/>
  <c r="L74" i="36"/>
  <c r="B74" i="36"/>
  <c r="Z73" i="36"/>
  <c r="T73" i="36"/>
  <c r="X73" i="36" s="1"/>
  <c r="P73" i="36"/>
  <c r="L73" i="36"/>
  <c r="H73" i="36"/>
  <c r="N73" i="36" s="1"/>
  <c r="D73" i="36"/>
  <c r="B73" i="36"/>
  <c r="Z72" i="36"/>
  <c r="X72" i="36"/>
  <c r="L72" i="36"/>
  <c r="N72" i="36" s="1"/>
  <c r="B72" i="36"/>
  <c r="Z71" i="36"/>
  <c r="X71" i="36"/>
  <c r="V71" i="36"/>
  <c r="L71" i="36"/>
  <c r="N71" i="36" s="1"/>
  <c r="B71" i="36"/>
  <c r="T70" i="36"/>
  <c r="P70" i="36"/>
  <c r="X70" i="36" s="1"/>
  <c r="H70" i="36"/>
  <c r="D70" i="36"/>
  <c r="L70" i="36" s="1"/>
  <c r="N70" i="36" s="1"/>
  <c r="B70" i="36"/>
  <c r="Z69" i="36"/>
  <c r="X69" i="36"/>
  <c r="V69" i="36"/>
  <c r="N69" i="36"/>
  <c r="L69" i="36"/>
  <c r="B69" i="36"/>
  <c r="V68" i="36"/>
  <c r="T68" i="36"/>
  <c r="Z68" i="36" s="1"/>
  <c r="P68" i="36"/>
  <c r="X68" i="36" s="1"/>
  <c r="L68" i="36"/>
  <c r="H68" i="36"/>
  <c r="N68" i="36" s="1"/>
  <c r="D68" i="36"/>
  <c r="B68" i="36"/>
  <c r="X67" i="36"/>
  <c r="Z67" i="36" s="1"/>
  <c r="N67" i="36"/>
  <c r="L67" i="36"/>
  <c r="J67" i="36"/>
  <c r="B67" i="36"/>
  <c r="Z66" i="36"/>
  <c r="X66" i="36"/>
  <c r="N66" i="36"/>
  <c r="L66" i="36"/>
  <c r="B66" i="36"/>
  <c r="Z65" i="36"/>
  <c r="X65" i="36"/>
  <c r="L65" i="36"/>
  <c r="N65" i="36" s="1"/>
  <c r="B65" i="36"/>
  <c r="X64" i="36"/>
  <c r="Z64" i="36" s="1"/>
  <c r="N64" i="36"/>
  <c r="L64" i="36"/>
  <c r="B64" i="36"/>
  <c r="X63" i="36"/>
  <c r="T63" i="36"/>
  <c r="Z63" i="36" s="1"/>
  <c r="P63" i="36"/>
  <c r="N63" i="36"/>
  <c r="H63" i="36"/>
  <c r="L63" i="36" s="1"/>
  <c r="D63" i="36"/>
  <c r="B63" i="36"/>
  <c r="Z62" i="36"/>
  <c r="X62" i="36"/>
  <c r="L62" i="36"/>
  <c r="N62" i="36" s="1"/>
  <c r="B62" i="36"/>
  <c r="T61" i="36"/>
  <c r="P61" i="36"/>
  <c r="X61" i="36" s="1"/>
  <c r="N61" i="36"/>
  <c r="J61" i="36"/>
  <c r="H61" i="36"/>
  <c r="D61" i="36"/>
  <c r="L61" i="36" s="1"/>
  <c r="B61" i="36"/>
  <c r="X60" i="36"/>
  <c r="Z60" i="36" s="1"/>
  <c r="V60" i="36"/>
  <c r="L60" i="36"/>
  <c r="N60" i="36" s="1"/>
  <c r="B60" i="36"/>
  <c r="X59" i="36"/>
  <c r="Z59" i="36" s="1"/>
  <c r="L59" i="36"/>
  <c r="N59" i="36" s="1"/>
  <c r="B59" i="36"/>
  <c r="X58" i="36"/>
  <c r="T58" i="36"/>
  <c r="P58" i="36"/>
  <c r="J58" i="36"/>
  <c r="H58" i="36"/>
  <c r="D58" i="36"/>
  <c r="L58" i="36" s="1"/>
  <c r="B58" i="36"/>
  <c r="Z57" i="36"/>
  <c r="X57" i="36"/>
  <c r="L57" i="36"/>
  <c r="N57" i="36" s="1"/>
  <c r="B57" i="36"/>
  <c r="X56" i="36"/>
  <c r="T56" i="36"/>
  <c r="P56" i="36"/>
  <c r="H56" i="36"/>
  <c r="D56" i="36"/>
  <c r="L56" i="36" s="1"/>
  <c r="N56" i="36" s="1"/>
  <c r="B56" i="36"/>
  <c r="Z55" i="36"/>
  <c r="X55" i="36"/>
  <c r="V55" i="36"/>
  <c r="N55" i="36"/>
  <c r="L55" i="36"/>
  <c r="B55" i="36"/>
  <c r="Z54" i="36"/>
  <c r="X54" i="36"/>
  <c r="N54" i="36"/>
  <c r="L54" i="36"/>
  <c r="B54" i="36"/>
  <c r="X53" i="36"/>
  <c r="Z53" i="36" s="1"/>
  <c r="L53" i="36"/>
  <c r="N53" i="36" s="1"/>
  <c r="J53" i="36"/>
  <c r="B53" i="36"/>
  <c r="Z52" i="36"/>
  <c r="X52" i="36"/>
  <c r="L52" i="36"/>
  <c r="N52" i="36" s="1"/>
  <c r="J52" i="36"/>
  <c r="B52" i="36"/>
  <c r="Z51" i="36"/>
  <c r="X51" i="36"/>
  <c r="V51" i="36"/>
  <c r="N51" i="36"/>
  <c r="L51" i="36"/>
  <c r="B51" i="36"/>
  <c r="Z50" i="36"/>
  <c r="X50" i="36"/>
  <c r="L50" i="36"/>
  <c r="N50" i="36" s="1"/>
  <c r="B50" i="36"/>
  <c r="X49" i="36"/>
  <c r="Z49" i="36" s="1"/>
  <c r="L49" i="36"/>
  <c r="N49" i="36" s="1"/>
  <c r="J49" i="36"/>
  <c r="B49" i="36"/>
  <c r="Z48" i="36"/>
  <c r="X48" i="36"/>
  <c r="N48" i="36"/>
  <c r="L48" i="36"/>
  <c r="J48" i="36"/>
  <c r="B48" i="36"/>
  <c r="Z47" i="36"/>
  <c r="X47" i="36"/>
  <c r="V47" i="36"/>
  <c r="L47" i="36"/>
  <c r="N47" i="36" s="1"/>
  <c r="B47" i="36"/>
  <c r="Z46" i="36"/>
  <c r="X46" i="36"/>
  <c r="V46" i="36"/>
  <c r="L46" i="36"/>
  <c r="N46" i="36" s="1"/>
  <c r="B46" i="36"/>
  <c r="T45" i="36"/>
  <c r="P45" i="36"/>
  <c r="X45" i="36" s="1"/>
  <c r="J45" i="36"/>
  <c r="H45" i="36"/>
  <c r="D45" i="36"/>
  <c r="L45" i="36" s="1"/>
  <c r="N45" i="36" s="1"/>
  <c r="B45" i="36"/>
  <c r="X44" i="36"/>
  <c r="Z44" i="36" s="1"/>
  <c r="V44" i="36"/>
  <c r="L44" i="36"/>
  <c r="N44" i="36" s="1"/>
  <c r="B44" i="36"/>
  <c r="X43" i="36"/>
  <c r="Z43" i="36" s="1"/>
  <c r="L43" i="36"/>
  <c r="N43" i="36" s="1"/>
  <c r="B43" i="36"/>
  <c r="X42" i="36"/>
  <c r="Z42" i="36" s="1"/>
  <c r="N42" i="36"/>
  <c r="L42" i="36"/>
  <c r="B42" i="36"/>
  <c r="Z41" i="36"/>
  <c r="X41" i="36"/>
  <c r="V41" i="36"/>
  <c r="N41" i="36"/>
  <c r="L41" i="36"/>
  <c r="B41" i="36"/>
  <c r="X40" i="36"/>
  <c r="Z40" i="36" s="1"/>
  <c r="V40" i="36"/>
  <c r="N40" i="36"/>
  <c r="L40" i="36"/>
  <c r="B40" i="36"/>
  <c r="X39" i="36"/>
  <c r="Z39" i="36" s="1"/>
  <c r="L39" i="36"/>
  <c r="N39" i="36" s="1"/>
  <c r="B39" i="36"/>
  <c r="X38" i="36"/>
  <c r="Z38" i="36" s="1"/>
  <c r="N38" i="36"/>
  <c r="L38" i="36"/>
  <c r="B38" i="36"/>
  <c r="X37" i="36"/>
  <c r="Z37" i="36" s="1"/>
  <c r="V37" i="36"/>
  <c r="N37" i="36"/>
  <c r="L37" i="36"/>
  <c r="B37" i="36"/>
  <c r="X36" i="36"/>
  <c r="Z36" i="36" s="1"/>
  <c r="V36" i="36"/>
  <c r="L36" i="36"/>
  <c r="N36" i="36" s="1"/>
  <c r="B36" i="36"/>
  <c r="X35" i="36"/>
  <c r="Z35" i="36" s="1"/>
  <c r="L35" i="36"/>
  <c r="N35" i="36" s="1"/>
  <c r="B35" i="36"/>
  <c r="X34" i="36"/>
  <c r="T34" i="36"/>
  <c r="P34" i="36"/>
  <c r="J34" i="36"/>
  <c r="H34" i="36"/>
  <c r="D34" i="36"/>
  <c r="L34" i="36" s="1"/>
  <c r="B34" i="36"/>
  <c r="T33" i="36"/>
  <c r="P33" i="36"/>
  <c r="H33" i="36"/>
  <c r="D33" i="36"/>
  <c r="L33" i="36" s="1"/>
  <c r="T31" i="36"/>
  <c r="Z29" i="36"/>
  <c r="X29" i="36"/>
  <c r="N29" i="36"/>
  <c r="L29" i="36"/>
  <c r="B29" i="36"/>
  <c r="Z28" i="36"/>
  <c r="X28" i="36"/>
  <c r="N28" i="36"/>
  <c r="L28" i="36"/>
  <c r="B28" i="36"/>
  <c r="X27" i="36"/>
  <c r="Z27" i="36" s="1"/>
  <c r="N27" i="36"/>
  <c r="L27" i="36"/>
  <c r="J27" i="36"/>
  <c r="B27" i="36"/>
  <c r="T26" i="36"/>
  <c r="P26" i="36"/>
  <c r="X26" i="36" s="1"/>
  <c r="Z26" i="36" s="1"/>
  <c r="H26" i="36"/>
  <c r="D26" i="36"/>
  <c r="Z24" i="36"/>
  <c r="P24" i="36"/>
  <c r="X24" i="36" s="1"/>
  <c r="N24" i="36"/>
  <c r="L24" i="36"/>
  <c r="D24" i="36"/>
  <c r="B24" i="36"/>
  <c r="Z23" i="36"/>
  <c r="P23" i="36"/>
  <c r="X23" i="36" s="1"/>
  <c r="N23" i="36"/>
  <c r="D23" i="36"/>
  <c r="L23" i="36" s="1"/>
  <c r="B23" i="36"/>
  <c r="Z22" i="36"/>
  <c r="P22" i="36"/>
  <c r="X22" i="36" s="1"/>
  <c r="N22" i="36"/>
  <c r="D22" i="36"/>
  <c r="L22" i="36" s="1"/>
  <c r="B22" i="36"/>
  <c r="Z21" i="36"/>
  <c r="X21" i="36"/>
  <c r="P21" i="36"/>
  <c r="N21" i="36"/>
  <c r="D21" i="36"/>
  <c r="L21" i="36" s="1"/>
  <c r="B21" i="36"/>
  <c r="Z20" i="36"/>
  <c r="P20" i="36"/>
  <c r="X20" i="36" s="1"/>
  <c r="N20" i="36"/>
  <c r="D20" i="36"/>
  <c r="L20" i="36" s="1"/>
  <c r="B20" i="36"/>
  <c r="X19" i="36"/>
  <c r="Z19" i="36" s="1"/>
  <c r="P19" i="36"/>
  <c r="D19" i="36"/>
  <c r="B19" i="36"/>
  <c r="Z18" i="36"/>
  <c r="X18" i="36"/>
  <c r="P18" i="36"/>
  <c r="N18" i="36"/>
  <c r="L18" i="36"/>
  <c r="D18" i="36"/>
  <c r="B18" i="36"/>
  <c r="Z17" i="36"/>
  <c r="X17" i="36"/>
  <c r="P17" i="36"/>
  <c r="N17" i="36"/>
  <c r="D17" i="36"/>
  <c r="L17" i="36" s="1"/>
  <c r="B17" i="36"/>
  <c r="Z16" i="36"/>
  <c r="X16" i="36"/>
  <c r="P16" i="36"/>
  <c r="N16" i="36"/>
  <c r="L16" i="36"/>
  <c r="D16" i="36"/>
  <c r="B16" i="36"/>
  <c r="Z15" i="36"/>
  <c r="X15" i="36"/>
  <c r="P15" i="36"/>
  <c r="N15" i="36"/>
  <c r="L15" i="36"/>
  <c r="D15" i="36"/>
  <c r="B15" i="36"/>
  <c r="Z14" i="36"/>
  <c r="P14" i="36"/>
  <c r="X14" i="36" s="1"/>
  <c r="N14" i="36"/>
  <c r="L14" i="36"/>
  <c r="D14" i="36"/>
  <c r="B14" i="36"/>
  <c r="P13" i="36"/>
  <c r="L13" i="36"/>
  <c r="N13" i="36" s="1"/>
  <c r="D13" i="36"/>
  <c r="B13" i="36"/>
  <c r="T12" i="36"/>
  <c r="V135" i="36" s="1"/>
  <c r="H12" i="36"/>
  <c r="J117" i="36" s="1"/>
  <c r="D4" i="36"/>
  <c r="X110" i="33"/>
  <c r="Z110" i="33" s="1"/>
  <c r="L110" i="33"/>
  <c r="N110" i="33" s="1"/>
  <c r="Z106" i="33"/>
  <c r="P106" i="33"/>
  <c r="X106" i="33" s="1"/>
  <c r="N106" i="33"/>
  <c r="D106" i="33"/>
  <c r="L106" i="33" s="1"/>
  <c r="B106" i="33"/>
  <c r="X105" i="33"/>
  <c r="Z105" i="33" s="1"/>
  <c r="P105" i="33"/>
  <c r="L105" i="33"/>
  <c r="N105" i="33" s="1"/>
  <c r="D105" i="33"/>
  <c r="B105" i="33"/>
  <c r="P104" i="33"/>
  <c r="X104" i="33" s="1"/>
  <c r="Z104" i="33" s="1"/>
  <c r="D104" i="33"/>
  <c r="L104" i="33" s="1"/>
  <c r="N104" i="33" s="1"/>
  <c r="B104" i="33"/>
  <c r="Z103" i="33"/>
  <c r="X103" i="33"/>
  <c r="P103" i="33"/>
  <c r="N103" i="33"/>
  <c r="L103" i="33"/>
  <c r="D103" i="33"/>
  <c r="B103" i="33"/>
  <c r="Z102" i="33"/>
  <c r="X102" i="33"/>
  <c r="P102" i="33"/>
  <c r="N102" i="33"/>
  <c r="L102" i="33"/>
  <c r="D102" i="33"/>
  <c r="B102" i="33"/>
  <c r="Z101" i="33"/>
  <c r="P101" i="33"/>
  <c r="N101" i="33"/>
  <c r="D101" i="33"/>
  <c r="L101" i="33" s="1"/>
  <c r="B101" i="33"/>
  <c r="Z100" i="33"/>
  <c r="P100" i="33"/>
  <c r="X100" i="33" s="1"/>
  <c r="N100" i="33"/>
  <c r="L100" i="33"/>
  <c r="D100" i="33"/>
  <c r="D99" i="33" s="1"/>
  <c r="B100" i="33"/>
  <c r="T99" i="33"/>
  <c r="L99" i="33"/>
  <c r="N99" i="33" s="1"/>
  <c r="H99" i="33"/>
  <c r="Z97" i="33"/>
  <c r="X97" i="33"/>
  <c r="N97" i="33"/>
  <c r="L97" i="33"/>
  <c r="B97" i="33"/>
  <c r="Z96" i="33"/>
  <c r="T96" i="33"/>
  <c r="P96" i="33"/>
  <c r="L96" i="33"/>
  <c r="H96" i="33"/>
  <c r="N96" i="33" s="1"/>
  <c r="F96" i="33"/>
  <c r="D96" i="33"/>
  <c r="B96" i="33"/>
  <c r="Z95" i="33"/>
  <c r="X95" i="33"/>
  <c r="N95" i="33"/>
  <c r="L95" i="33"/>
  <c r="B95" i="33"/>
  <c r="Z94" i="33"/>
  <c r="X94" i="33"/>
  <c r="V94" i="33"/>
  <c r="L94" i="33"/>
  <c r="N94" i="33" s="1"/>
  <c r="B94" i="33"/>
  <c r="T93" i="33"/>
  <c r="P93" i="33"/>
  <c r="J93" i="33"/>
  <c r="H93" i="33"/>
  <c r="D93" i="33"/>
  <c r="L93" i="33" s="1"/>
  <c r="N93" i="33" s="1"/>
  <c r="B93" i="33"/>
  <c r="X92" i="33"/>
  <c r="Z92" i="33" s="1"/>
  <c r="V92" i="33"/>
  <c r="N92" i="33"/>
  <c r="L92" i="33"/>
  <c r="B92" i="33"/>
  <c r="Z91" i="33"/>
  <c r="X91" i="33"/>
  <c r="N91" i="33"/>
  <c r="L91" i="33"/>
  <c r="B91" i="33"/>
  <c r="X90" i="33"/>
  <c r="Z90" i="33" s="1"/>
  <c r="L90" i="33"/>
  <c r="N90" i="33" s="1"/>
  <c r="B90" i="33"/>
  <c r="Z89" i="33"/>
  <c r="X89" i="33"/>
  <c r="N89" i="33"/>
  <c r="L89" i="33"/>
  <c r="B89" i="33"/>
  <c r="Z88" i="33"/>
  <c r="X88" i="33"/>
  <c r="N88" i="33"/>
  <c r="L88" i="33"/>
  <c r="B88" i="33"/>
  <c r="T87" i="33"/>
  <c r="P87" i="33"/>
  <c r="X87" i="33" s="1"/>
  <c r="L87" i="33"/>
  <c r="H87" i="33"/>
  <c r="D87" i="33"/>
  <c r="B87" i="33"/>
  <c r="Z86" i="33"/>
  <c r="X86" i="33"/>
  <c r="N86" i="33"/>
  <c r="L86" i="33"/>
  <c r="B86" i="33"/>
  <c r="Z85" i="33"/>
  <c r="X85" i="33"/>
  <c r="N85" i="33"/>
  <c r="L85" i="33"/>
  <c r="J85" i="33"/>
  <c r="B85" i="33"/>
  <c r="T84" i="33"/>
  <c r="P84" i="33"/>
  <c r="X84" i="33" s="1"/>
  <c r="Z84" i="33" s="1"/>
  <c r="H84" i="33"/>
  <c r="D84" i="33"/>
  <c r="B84" i="33"/>
  <c r="Z83" i="33"/>
  <c r="X83" i="33"/>
  <c r="N83" i="33"/>
  <c r="L83" i="33"/>
  <c r="B83" i="33"/>
  <c r="Z82" i="33"/>
  <c r="X82" i="33"/>
  <c r="L82" i="33"/>
  <c r="N82" i="33" s="1"/>
  <c r="B82" i="33"/>
  <c r="V81" i="33"/>
  <c r="T81" i="33"/>
  <c r="Z81" i="33" s="1"/>
  <c r="P81" i="33"/>
  <c r="X81" i="33" s="1"/>
  <c r="H81" i="33"/>
  <c r="D81" i="33"/>
  <c r="L81" i="33" s="1"/>
  <c r="N81" i="33" s="1"/>
  <c r="B81" i="33"/>
  <c r="X80" i="33"/>
  <c r="Z80" i="33" s="1"/>
  <c r="N80" i="33"/>
  <c r="L80" i="33"/>
  <c r="B80" i="33"/>
  <c r="T79" i="33"/>
  <c r="Z79" i="33" s="1"/>
  <c r="P79" i="33"/>
  <c r="X79" i="33" s="1"/>
  <c r="L79" i="33"/>
  <c r="H79" i="33"/>
  <c r="D79" i="33"/>
  <c r="B79" i="33"/>
  <c r="X78" i="33"/>
  <c r="Z78" i="33" s="1"/>
  <c r="N78" i="33"/>
  <c r="L78" i="33"/>
  <c r="B78" i="33"/>
  <c r="T77" i="33"/>
  <c r="P77" i="33"/>
  <c r="X77" i="33" s="1"/>
  <c r="Z77" i="33" s="1"/>
  <c r="L77" i="33"/>
  <c r="N77" i="33" s="1"/>
  <c r="H77" i="33"/>
  <c r="D77" i="33"/>
  <c r="B77" i="33"/>
  <c r="Z76" i="33"/>
  <c r="X76" i="33"/>
  <c r="N76" i="33"/>
  <c r="L76" i="33"/>
  <c r="J76" i="33"/>
  <c r="B76" i="33"/>
  <c r="Z75" i="33"/>
  <c r="X75" i="33"/>
  <c r="N75" i="33"/>
  <c r="L75" i="33"/>
  <c r="B75" i="33"/>
  <c r="Z74" i="33"/>
  <c r="T74" i="33"/>
  <c r="P74" i="33"/>
  <c r="X74" i="33" s="1"/>
  <c r="H74" i="33"/>
  <c r="D74" i="33"/>
  <c r="B74" i="33"/>
  <c r="X73" i="33"/>
  <c r="Z73" i="33" s="1"/>
  <c r="N73" i="33"/>
  <c r="L73" i="33"/>
  <c r="B73" i="33"/>
  <c r="Z72" i="33"/>
  <c r="X72" i="33"/>
  <c r="T72" i="33"/>
  <c r="P72" i="33"/>
  <c r="H72" i="33"/>
  <c r="D72" i="33"/>
  <c r="L72" i="33" s="1"/>
  <c r="B72" i="33"/>
  <c r="Z71" i="33"/>
  <c r="X71" i="33"/>
  <c r="N71" i="33"/>
  <c r="L71" i="33"/>
  <c r="J71" i="33"/>
  <c r="B71" i="33"/>
  <c r="X70" i="33"/>
  <c r="T70" i="33"/>
  <c r="P70" i="33"/>
  <c r="H70" i="33"/>
  <c r="D70" i="33"/>
  <c r="L70" i="33" s="1"/>
  <c r="N70" i="33" s="1"/>
  <c r="B70" i="33"/>
  <c r="X69" i="33"/>
  <c r="Z69" i="33" s="1"/>
  <c r="L69" i="33"/>
  <c r="N69" i="33" s="1"/>
  <c r="B69" i="33"/>
  <c r="T68" i="33"/>
  <c r="P68" i="33"/>
  <c r="X68" i="33" s="1"/>
  <c r="H68" i="33"/>
  <c r="D68" i="33"/>
  <c r="B68" i="33"/>
  <c r="Z67" i="33"/>
  <c r="X67" i="33"/>
  <c r="N67" i="33"/>
  <c r="L67" i="33"/>
  <c r="B67" i="33"/>
  <c r="T66" i="33"/>
  <c r="Z66" i="33" s="1"/>
  <c r="P66" i="33"/>
  <c r="X66" i="33" s="1"/>
  <c r="N66" i="33"/>
  <c r="H66" i="33"/>
  <c r="D66" i="33"/>
  <c r="L66" i="33" s="1"/>
  <c r="B66" i="33"/>
  <c r="Z65" i="33"/>
  <c r="X65" i="33"/>
  <c r="V65" i="33"/>
  <c r="N65" i="33"/>
  <c r="L65" i="33"/>
  <c r="B65" i="33"/>
  <c r="T64" i="33"/>
  <c r="P64" i="33"/>
  <c r="X64" i="33" s="1"/>
  <c r="L64" i="33"/>
  <c r="H64" i="33"/>
  <c r="D64" i="33"/>
  <c r="B64" i="33"/>
  <c r="Z63" i="33"/>
  <c r="X63" i="33"/>
  <c r="N63" i="33"/>
  <c r="L63" i="33"/>
  <c r="B63" i="33"/>
  <c r="Z62" i="33"/>
  <c r="X62" i="33"/>
  <c r="N62" i="33"/>
  <c r="L62" i="33"/>
  <c r="B62" i="33"/>
  <c r="Z61" i="33"/>
  <c r="X61" i="33"/>
  <c r="V61" i="33"/>
  <c r="L61" i="33"/>
  <c r="N61" i="33" s="1"/>
  <c r="B61" i="33"/>
  <c r="X60" i="33"/>
  <c r="Z60" i="33" s="1"/>
  <c r="N60" i="33"/>
  <c r="L60" i="33"/>
  <c r="B60" i="33"/>
  <c r="Z59" i="33"/>
  <c r="X59" i="33"/>
  <c r="V59" i="33"/>
  <c r="N59" i="33"/>
  <c r="L59" i="33"/>
  <c r="B59" i="33"/>
  <c r="Z58" i="33"/>
  <c r="X58" i="33"/>
  <c r="N58" i="33"/>
  <c r="L58" i="33"/>
  <c r="B58" i="33"/>
  <c r="X57" i="33"/>
  <c r="Z57" i="33" s="1"/>
  <c r="L57" i="33"/>
  <c r="N57" i="33" s="1"/>
  <c r="J57" i="33"/>
  <c r="B57" i="33"/>
  <c r="Z56" i="33"/>
  <c r="X56" i="33"/>
  <c r="N56" i="33"/>
  <c r="L56" i="33"/>
  <c r="B56" i="33"/>
  <c r="Z55" i="33"/>
  <c r="X55" i="33"/>
  <c r="V55" i="33"/>
  <c r="N55" i="33"/>
  <c r="L55" i="33"/>
  <c r="J55" i="33"/>
  <c r="B55" i="33"/>
  <c r="Z54" i="33"/>
  <c r="X54" i="33"/>
  <c r="N54" i="33"/>
  <c r="L54" i="33"/>
  <c r="B54" i="33"/>
  <c r="T53" i="33"/>
  <c r="P53" i="33"/>
  <c r="H53" i="33"/>
  <c r="D53" i="33"/>
  <c r="L53" i="33" s="1"/>
  <c r="N53" i="33" s="1"/>
  <c r="B53" i="33"/>
  <c r="X52" i="33"/>
  <c r="Z52" i="33" s="1"/>
  <c r="N52" i="33"/>
  <c r="L52" i="33"/>
  <c r="B52" i="33"/>
  <c r="Z51" i="33"/>
  <c r="X51" i="33"/>
  <c r="V51" i="33"/>
  <c r="L51" i="33"/>
  <c r="N51" i="33" s="1"/>
  <c r="B51" i="33"/>
  <c r="X50" i="33"/>
  <c r="Z50" i="33" s="1"/>
  <c r="L50" i="33"/>
  <c r="N50" i="33" s="1"/>
  <c r="B50" i="33"/>
  <c r="Z49" i="33"/>
  <c r="X49" i="33"/>
  <c r="N49" i="33"/>
  <c r="L49" i="33"/>
  <c r="B49" i="33"/>
  <c r="X48" i="33"/>
  <c r="Z48" i="33" s="1"/>
  <c r="L48" i="33"/>
  <c r="N48" i="33" s="1"/>
  <c r="F48" i="33"/>
  <c r="B48" i="33"/>
  <c r="X47" i="33"/>
  <c r="Z47" i="33" s="1"/>
  <c r="L47" i="33"/>
  <c r="N47" i="33" s="1"/>
  <c r="B47" i="33"/>
  <c r="Z46" i="33"/>
  <c r="X46" i="33"/>
  <c r="L46" i="33"/>
  <c r="N46" i="33" s="1"/>
  <c r="B46" i="33"/>
  <c r="X45" i="33"/>
  <c r="Z45" i="33" s="1"/>
  <c r="V45" i="33"/>
  <c r="N45" i="33"/>
  <c r="L45" i="33"/>
  <c r="B45" i="33"/>
  <c r="X44" i="33"/>
  <c r="Z44" i="33" s="1"/>
  <c r="N44" i="33"/>
  <c r="L44" i="33"/>
  <c r="J44" i="33"/>
  <c r="B44" i="33"/>
  <c r="V43" i="33"/>
  <c r="T43" i="33"/>
  <c r="P43" i="33"/>
  <c r="X43" i="33" s="1"/>
  <c r="Z43" i="33" s="1"/>
  <c r="J43" i="33"/>
  <c r="H43" i="33"/>
  <c r="D43" i="33"/>
  <c r="B43" i="33"/>
  <c r="V42" i="33"/>
  <c r="T42" i="33"/>
  <c r="X42" i="33" s="1"/>
  <c r="Z42" i="33" s="1"/>
  <c r="P42" i="33"/>
  <c r="H42" i="33"/>
  <c r="D42" i="33"/>
  <c r="L42" i="33" s="1"/>
  <c r="T40" i="33"/>
  <c r="Z38" i="33"/>
  <c r="X38" i="33"/>
  <c r="V38" i="33"/>
  <c r="N38" i="33"/>
  <c r="L38" i="33"/>
  <c r="B38" i="33"/>
  <c r="Z37" i="33"/>
  <c r="X37" i="33"/>
  <c r="V37" i="33"/>
  <c r="N37" i="33"/>
  <c r="L37" i="33"/>
  <c r="F37" i="33"/>
  <c r="B37" i="33"/>
  <c r="Z36" i="33"/>
  <c r="X36" i="33"/>
  <c r="N36" i="33"/>
  <c r="L36" i="33"/>
  <c r="J36" i="33"/>
  <c r="B36" i="33"/>
  <c r="Z35" i="33"/>
  <c r="X35" i="33"/>
  <c r="N35" i="33"/>
  <c r="L35" i="33"/>
  <c r="J35" i="33"/>
  <c r="B35" i="33"/>
  <c r="Z34" i="33"/>
  <c r="X34" i="33"/>
  <c r="N34" i="33"/>
  <c r="L34" i="33"/>
  <c r="J34" i="33"/>
  <c r="B34" i="33"/>
  <c r="Z33" i="33"/>
  <c r="X33" i="33"/>
  <c r="N33" i="33"/>
  <c r="L33" i="33"/>
  <c r="J33" i="33"/>
  <c r="B33" i="33"/>
  <c r="T32" i="33"/>
  <c r="P32" i="33"/>
  <c r="X32" i="33" s="1"/>
  <c r="Z32" i="33" s="1"/>
  <c r="N32" i="33"/>
  <c r="L32" i="33"/>
  <c r="J32" i="33"/>
  <c r="H32" i="33"/>
  <c r="D32" i="33"/>
  <c r="Z30" i="33"/>
  <c r="X30" i="33"/>
  <c r="P30" i="33"/>
  <c r="N30" i="33"/>
  <c r="D30" i="33"/>
  <c r="L30" i="33" s="1"/>
  <c r="B30" i="33"/>
  <c r="Z29" i="33"/>
  <c r="X29" i="33"/>
  <c r="P29" i="33"/>
  <c r="N29" i="33"/>
  <c r="L29" i="33"/>
  <c r="D29" i="33"/>
  <c r="B29" i="33"/>
  <c r="Z28" i="33"/>
  <c r="X28" i="33"/>
  <c r="P28" i="33"/>
  <c r="N28" i="33"/>
  <c r="L28" i="33"/>
  <c r="D28" i="33"/>
  <c r="B28" i="33"/>
  <c r="Z27" i="33"/>
  <c r="P27" i="33"/>
  <c r="X27" i="33" s="1"/>
  <c r="N27" i="33"/>
  <c r="L27" i="33"/>
  <c r="D27" i="33"/>
  <c r="B27" i="33"/>
  <c r="Z26" i="33"/>
  <c r="P26" i="33"/>
  <c r="X26" i="33" s="1"/>
  <c r="N26" i="33"/>
  <c r="L26" i="33"/>
  <c r="D26" i="33"/>
  <c r="B26" i="33"/>
  <c r="Z25" i="33"/>
  <c r="P25" i="33"/>
  <c r="X25" i="33" s="1"/>
  <c r="N25" i="33"/>
  <c r="L25" i="33"/>
  <c r="D25" i="33"/>
  <c r="B25" i="33"/>
  <c r="Z24" i="33"/>
  <c r="P24" i="33"/>
  <c r="X24" i="33" s="1"/>
  <c r="N24" i="33"/>
  <c r="D24" i="33"/>
  <c r="L24" i="33" s="1"/>
  <c r="B24" i="33"/>
  <c r="Z23" i="33"/>
  <c r="X23" i="33"/>
  <c r="P23" i="33"/>
  <c r="N23" i="33"/>
  <c r="D23" i="33"/>
  <c r="L23" i="33" s="1"/>
  <c r="B23" i="33"/>
  <c r="Z22" i="33"/>
  <c r="X22" i="33"/>
  <c r="P22" i="33"/>
  <c r="N22" i="33"/>
  <c r="D22" i="33"/>
  <c r="L22" i="33" s="1"/>
  <c r="B22" i="33"/>
  <c r="P21" i="33"/>
  <c r="X21" i="33" s="1"/>
  <c r="Z21" i="33" s="1"/>
  <c r="L21" i="33"/>
  <c r="N21" i="33" s="1"/>
  <c r="D21" i="33"/>
  <c r="B21" i="33"/>
  <c r="Z20" i="33"/>
  <c r="P20" i="33"/>
  <c r="X20" i="33" s="1"/>
  <c r="N20" i="33"/>
  <c r="L20" i="33"/>
  <c r="D20" i="33"/>
  <c r="B20" i="33"/>
  <c r="Z19" i="33"/>
  <c r="P19" i="33"/>
  <c r="X19" i="33" s="1"/>
  <c r="N19" i="33"/>
  <c r="L19" i="33"/>
  <c r="D19" i="33"/>
  <c r="B19" i="33"/>
  <c r="Z18" i="33"/>
  <c r="P18" i="33"/>
  <c r="X18" i="33" s="1"/>
  <c r="N18" i="33"/>
  <c r="D18" i="33"/>
  <c r="L18" i="33" s="1"/>
  <c r="B18" i="33"/>
  <c r="Z17" i="33"/>
  <c r="X17" i="33"/>
  <c r="P17" i="33"/>
  <c r="N17" i="33"/>
  <c r="L17" i="33"/>
  <c r="D17" i="33"/>
  <c r="B17" i="33"/>
  <c r="Z16" i="33"/>
  <c r="X16" i="33"/>
  <c r="P16" i="33"/>
  <c r="N16" i="33"/>
  <c r="L16" i="33"/>
  <c r="D16" i="33"/>
  <c r="B16" i="33"/>
  <c r="Z15" i="33"/>
  <c r="X15" i="33"/>
  <c r="P15" i="33"/>
  <c r="N15" i="33"/>
  <c r="L15" i="33"/>
  <c r="D15" i="33"/>
  <c r="B15" i="33"/>
  <c r="Z14" i="33"/>
  <c r="P14" i="33"/>
  <c r="X14" i="33" s="1"/>
  <c r="N14" i="33"/>
  <c r="L14" i="33"/>
  <c r="D14" i="33"/>
  <c r="B14" i="33"/>
  <c r="P13" i="33"/>
  <c r="L13" i="33"/>
  <c r="N13" i="33" s="1"/>
  <c r="D13" i="33"/>
  <c r="B13" i="33"/>
  <c r="T12" i="33"/>
  <c r="V106" i="33" s="1"/>
  <c r="H12" i="33"/>
  <c r="J64" i="33" s="1"/>
  <c r="D12" i="33"/>
  <c r="D4" i="33"/>
  <c r="Z159" i="30"/>
  <c r="X159" i="30"/>
  <c r="L159" i="30"/>
  <c r="N159" i="30" s="1"/>
  <c r="V155" i="30"/>
  <c r="P155" i="30"/>
  <c r="X155" i="30" s="1"/>
  <c r="Z155" i="30" s="1"/>
  <c r="D155" i="30"/>
  <c r="L155" i="30" s="1"/>
  <c r="N155" i="30" s="1"/>
  <c r="B155" i="30"/>
  <c r="Z154" i="30"/>
  <c r="X154" i="30"/>
  <c r="P154" i="30"/>
  <c r="N154" i="30"/>
  <c r="L154" i="30"/>
  <c r="D154" i="30"/>
  <c r="B154" i="30"/>
  <c r="P153" i="30"/>
  <c r="X153" i="30" s="1"/>
  <c r="Z153" i="30" s="1"/>
  <c r="L153" i="30"/>
  <c r="N153" i="30" s="1"/>
  <c r="D153" i="30"/>
  <c r="D152" i="30" s="1"/>
  <c r="L152" i="30" s="1"/>
  <c r="B153" i="30"/>
  <c r="T152" i="30"/>
  <c r="P152" i="30"/>
  <c r="X152" i="30" s="1"/>
  <c r="Z152" i="30" s="1"/>
  <c r="H152" i="30"/>
  <c r="Z150" i="30"/>
  <c r="X150" i="30"/>
  <c r="L150" i="30"/>
  <c r="N150" i="30" s="1"/>
  <c r="B150" i="30"/>
  <c r="T149" i="30"/>
  <c r="P149" i="30"/>
  <c r="X149" i="30" s="1"/>
  <c r="J149" i="30"/>
  <c r="H149" i="30"/>
  <c r="D149" i="30"/>
  <c r="L149" i="30" s="1"/>
  <c r="N149" i="30" s="1"/>
  <c r="B149" i="30"/>
  <c r="Z148" i="30"/>
  <c r="X148" i="30"/>
  <c r="N148" i="30"/>
  <c r="L148" i="30"/>
  <c r="B148" i="30"/>
  <c r="Z147" i="30"/>
  <c r="X147" i="30"/>
  <c r="N147" i="30"/>
  <c r="L147" i="30"/>
  <c r="B147" i="30"/>
  <c r="T146" i="30"/>
  <c r="P146" i="30"/>
  <c r="H146" i="30"/>
  <c r="D146" i="30"/>
  <c r="L146" i="30" s="1"/>
  <c r="B146" i="30"/>
  <c r="Z145" i="30"/>
  <c r="X145" i="30"/>
  <c r="V145" i="30"/>
  <c r="L145" i="30"/>
  <c r="N145" i="30" s="1"/>
  <c r="B145" i="30"/>
  <c r="T144" i="30"/>
  <c r="P144" i="30"/>
  <c r="H144" i="30"/>
  <c r="D144" i="30"/>
  <c r="L144" i="30" s="1"/>
  <c r="N144" i="30" s="1"/>
  <c r="B144" i="30"/>
  <c r="Z143" i="30"/>
  <c r="X143" i="30"/>
  <c r="V143" i="30"/>
  <c r="N143" i="30"/>
  <c r="L143" i="30"/>
  <c r="B143" i="30"/>
  <c r="Z142" i="30"/>
  <c r="X142" i="30"/>
  <c r="V142" i="30"/>
  <c r="L142" i="30"/>
  <c r="N142" i="30" s="1"/>
  <c r="B142" i="30"/>
  <c r="T141" i="30"/>
  <c r="P141" i="30"/>
  <c r="X141" i="30" s="1"/>
  <c r="J141" i="30"/>
  <c r="H141" i="30"/>
  <c r="D141" i="30"/>
  <c r="L141" i="30" s="1"/>
  <c r="N141" i="30" s="1"/>
  <c r="B141" i="30"/>
  <c r="Z140" i="30"/>
  <c r="X140" i="30"/>
  <c r="N140" i="30"/>
  <c r="L140" i="30"/>
  <c r="B140" i="30"/>
  <c r="Z139" i="30"/>
  <c r="X139" i="30"/>
  <c r="L139" i="30"/>
  <c r="N139" i="30" s="1"/>
  <c r="B139" i="30"/>
  <c r="Z138" i="30"/>
  <c r="X138" i="30"/>
  <c r="N138" i="30"/>
  <c r="L138" i="30"/>
  <c r="B138" i="30"/>
  <c r="X137" i="30"/>
  <c r="Z137" i="30" s="1"/>
  <c r="N137" i="30"/>
  <c r="L137" i="30"/>
  <c r="J137" i="30"/>
  <c r="B137" i="30"/>
  <c r="Z136" i="30"/>
  <c r="X136" i="30"/>
  <c r="N136" i="30"/>
  <c r="L136" i="30"/>
  <c r="B136" i="30"/>
  <c r="Z135" i="30"/>
  <c r="X135" i="30"/>
  <c r="L135" i="30"/>
  <c r="N135" i="30" s="1"/>
  <c r="B135" i="30"/>
  <c r="T134" i="30"/>
  <c r="P134" i="30"/>
  <c r="H134" i="30"/>
  <c r="D134" i="30"/>
  <c r="L134" i="30" s="1"/>
  <c r="B134" i="30"/>
  <c r="Z133" i="30"/>
  <c r="X133" i="30"/>
  <c r="V133" i="30"/>
  <c r="L133" i="30"/>
  <c r="N133" i="30" s="1"/>
  <c r="B133" i="30"/>
  <c r="Z132" i="30"/>
  <c r="X132" i="30"/>
  <c r="N132" i="30"/>
  <c r="L132" i="30"/>
  <c r="B132" i="30"/>
  <c r="T131" i="30"/>
  <c r="P131" i="30"/>
  <c r="N131" i="30"/>
  <c r="J131" i="30"/>
  <c r="H131" i="30"/>
  <c r="D131" i="30"/>
  <c r="L131" i="30" s="1"/>
  <c r="B131" i="30"/>
  <c r="Z130" i="30"/>
  <c r="X130" i="30"/>
  <c r="V130" i="30"/>
  <c r="L130" i="30"/>
  <c r="N130" i="30" s="1"/>
  <c r="B130" i="30"/>
  <c r="X129" i="30"/>
  <c r="Z129" i="30" s="1"/>
  <c r="L129" i="30"/>
  <c r="N129" i="30" s="1"/>
  <c r="B129" i="30"/>
  <c r="X128" i="30"/>
  <c r="Z128" i="30" s="1"/>
  <c r="N128" i="30"/>
  <c r="L128" i="30"/>
  <c r="B128" i="30"/>
  <c r="V127" i="30"/>
  <c r="T127" i="30"/>
  <c r="P127" i="30"/>
  <c r="X127" i="30" s="1"/>
  <c r="Z127" i="30" s="1"/>
  <c r="H127" i="30"/>
  <c r="N127" i="30" s="1"/>
  <c r="D127" i="30"/>
  <c r="L127" i="30" s="1"/>
  <c r="B127" i="30"/>
  <c r="X126" i="30"/>
  <c r="Z126" i="30" s="1"/>
  <c r="N126" i="30"/>
  <c r="L126" i="30"/>
  <c r="B126" i="30"/>
  <c r="X125" i="30"/>
  <c r="Z125" i="30" s="1"/>
  <c r="N125" i="30"/>
  <c r="L125" i="30"/>
  <c r="J125" i="30"/>
  <c r="B125" i="30"/>
  <c r="Z124" i="30"/>
  <c r="X124" i="30"/>
  <c r="N124" i="30"/>
  <c r="L124" i="30"/>
  <c r="B124" i="30"/>
  <c r="T123" i="30"/>
  <c r="P123" i="30"/>
  <c r="X123" i="30" s="1"/>
  <c r="Z123" i="30" s="1"/>
  <c r="L123" i="30"/>
  <c r="H123" i="30"/>
  <c r="N123" i="30" s="1"/>
  <c r="D123" i="30"/>
  <c r="B123" i="30"/>
  <c r="Z122" i="30"/>
  <c r="X122" i="30"/>
  <c r="N122" i="30"/>
  <c r="L122" i="30"/>
  <c r="B122" i="30"/>
  <c r="Z121" i="30"/>
  <c r="X121" i="30"/>
  <c r="V121" i="30"/>
  <c r="N121" i="30"/>
  <c r="L121" i="30"/>
  <c r="B121" i="30"/>
  <c r="T120" i="30"/>
  <c r="P120" i="30"/>
  <c r="X120" i="30" s="1"/>
  <c r="H120" i="30"/>
  <c r="D120" i="30"/>
  <c r="L120" i="30" s="1"/>
  <c r="N120" i="30" s="1"/>
  <c r="B120" i="30"/>
  <c r="Z119" i="30"/>
  <c r="X119" i="30"/>
  <c r="V119" i="30"/>
  <c r="N119" i="30"/>
  <c r="L119" i="30"/>
  <c r="B119" i="30"/>
  <c r="V118" i="30"/>
  <c r="T118" i="30"/>
  <c r="P118" i="30"/>
  <c r="X118" i="30" s="1"/>
  <c r="L118" i="30"/>
  <c r="H118" i="30"/>
  <c r="N118" i="30" s="1"/>
  <c r="D118" i="30"/>
  <c r="B118" i="30"/>
  <c r="X117" i="30"/>
  <c r="Z117" i="30" s="1"/>
  <c r="N117" i="30"/>
  <c r="L117" i="30"/>
  <c r="J117" i="30"/>
  <c r="B117" i="30"/>
  <c r="T116" i="30"/>
  <c r="P116" i="30"/>
  <c r="X116" i="30" s="1"/>
  <c r="L116" i="30"/>
  <c r="H116" i="30"/>
  <c r="N116" i="30" s="1"/>
  <c r="D116" i="30"/>
  <c r="B116" i="30"/>
  <c r="X115" i="30"/>
  <c r="Z115" i="30" s="1"/>
  <c r="N115" i="30"/>
  <c r="L115" i="30"/>
  <c r="J115" i="30"/>
  <c r="B115" i="30"/>
  <c r="T114" i="30"/>
  <c r="P114" i="30"/>
  <c r="X114" i="30" s="1"/>
  <c r="Z114" i="30" s="1"/>
  <c r="H114" i="30"/>
  <c r="D114" i="30"/>
  <c r="L114" i="30" s="1"/>
  <c r="B114" i="30"/>
  <c r="X113" i="30"/>
  <c r="Z113" i="30" s="1"/>
  <c r="L113" i="30"/>
  <c r="N113" i="30" s="1"/>
  <c r="B113" i="30"/>
  <c r="X112" i="30"/>
  <c r="T112" i="30"/>
  <c r="Z112" i="30" s="1"/>
  <c r="P112" i="30"/>
  <c r="H112" i="30"/>
  <c r="N112" i="30" s="1"/>
  <c r="D112" i="30"/>
  <c r="L112" i="30" s="1"/>
  <c r="B112" i="30"/>
  <c r="Z111" i="30"/>
  <c r="X111" i="30"/>
  <c r="N111" i="30"/>
  <c r="L111" i="30"/>
  <c r="B111" i="30"/>
  <c r="T110" i="30"/>
  <c r="P110" i="30"/>
  <c r="H110" i="30"/>
  <c r="N110" i="30" s="1"/>
  <c r="D110" i="30"/>
  <c r="L110" i="30" s="1"/>
  <c r="B110" i="30"/>
  <c r="Z109" i="30"/>
  <c r="X109" i="30"/>
  <c r="V109" i="30"/>
  <c r="N109" i="30"/>
  <c r="L109" i="30"/>
  <c r="B109" i="30"/>
  <c r="Z108" i="30"/>
  <c r="X108" i="30"/>
  <c r="L108" i="30"/>
  <c r="N108" i="30" s="1"/>
  <c r="B108" i="30"/>
  <c r="T107" i="30"/>
  <c r="P107" i="30"/>
  <c r="N107" i="30"/>
  <c r="J107" i="30"/>
  <c r="H107" i="30"/>
  <c r="D107" i="30"/>
  <c r="L107" i="30" s="1"/>
  <c r="B107" i="30"/>
  <c r="Z106" i="30"/>
  <c r="X106" i="30"/>
  <c r="V106" i="30"/>
  <c r="L106" i="30"/>
  <c r="N106" i="30" s="1"/>
  <c r="B106" i="30"/>
  <c r="T105" i="30"/>
  <c r="P105" i="30"/>
  <c r="X105" i="30" s="1"/>
  <c r="J105" i="30"/>
  <c r="H105" i="30"/>
  <c r="D105" i="30"/>
  <c r="L105" i="30" s="1"/>
  <c r="N105" i="30" s="1"/>
  <c r="B105" i="30"/>
  <c r="Z104" i="30"/>
  <c r="X104" i="30"/>
  <c r="N104" i="30"/>
  <c r="L104" i="30"/>
  <c r="B104" i="30"/>
  <c r="Z103" i="30"/>
  <c r="T103" i="30"/>
  <c r="P103" i="30"/>
  <c r="X103" i="30" s="1"/>
  <c r="L103" i="30"/>
  <c r="H103" i="30"/>
  <c r="N103" i="30" s="1"/>
  <c r="D103" i="30"/>
  <c r="B103" i="30"/>
  <c r="Z102" i="30"/>
  <c r="X102" i="30"/>
  <c r="N102" i="30"/>
  <c r="L102" i="30"/>
  <c r="B102" i="30"/>
  <c r="Z101" i="30"/>
  <c r="X101" i="30"/>
  <c r="V101" i="30"/>
  <c r="L101" i="30"/>
  <c r="N101" i="30" s="1"/>
  <c r="B101" i="30"/>
  <c r="T100" i="30"/>
  <c r="P100" i="30"/>
  <c r="X100" i="30" s="1"/>
  <c r="H100" i="30"/>
  <c r="D100" i="30"/>
  <c r="L100" i="30" s="1"/>
  <c r="N100" i="30" s="1"/>
  <c r="B100" i="30"/>
  <c r="Z99" i="30"/>
  <c r="X99" i="30"/>
  <c r="V99" i="30"/>
  <c r="N99" i="30"/>
  <c r="L99" i="30"/>
  <c r="B99" i="30"/>
  <c r="V98" i="30"/>
  <c r="T98" i="30"/>
  <c r="P98" i="30"/>
  <c r="X98" i="30" s="1"/>
  <c r="L98" i="30"/>
  <c r="H98" i="30"/>
  <c r="N98" i="30" s="1"/>
  <c r="D98" i="30"/>
  <c r="B98" i="30"/>
  <c r="X97" i="30"/>
  <c r="Z97" i="30" s="1"/>
  <c r="N97" i="30"/>
  <c r="L97" i="30"/>
  <c r="J97" i="30"/>
  <c r="B97" i="30"/>
  <c r="Z96" i="30"/>
  <c r="X96" i="30"/>
  <c r="N96" i="30"/>
  <c r="L96" i="30"/>
  <c r="B96" i="30"/>
  <c r="T95" i="30"/>
  <c r="P95" i="30"/>
  <c r="X95" i="30" s="1"/>
  <c r="Z95" i="30" s="1"/>
  <c r="L95" i="30"/>
  <c r="H95" i="30"/>
  <c r="N95" i="30" s="1"/>
  <c r="D95" i="30"/>
  <c r="B95" i="30"/>
  <c r="Z94" i="30"/>
  <c r="X94" i="30"/>
  <c r="N94" i="30"/>
  <c r="L94" i="30"/>
  <c r="B94" i="30"/>
  <c r="Z93" i="30"/>
  <c r="V93" i="30"/>
  <c r="T93" i="30"/>
  <c r="P93" i="30"/>
  <c r="X93" i="30" s="1"/>
  <c r="H93" i="30"/>
  <c r="D93" i="30"/>
  <c r="B93" i="30"/>
  <c r="Z92" i="30"/>
  <c r="X92" i="30"/>
  <c r="N92" i="30"/>
  <c r="L92" i="30"/>
  <c r="B92" i="30"/>
  <c r="Z91" i="30"/>
  <c r="X91" i="30"/>
  <c r="V91" i="30"/>
  <c r="N91" i="30"/>
  <c r="L91" i="30"/>
  <c r="B91" i="30"/>
  <c r="Z90" i="30"/>
  <c r="X90" i="30"/>
  <c r="V90" i="30"/>
  <c r="L90" i="30"/>
  <c r="N90" i="30" s="1"/>
  <c r="B90" i="30"/>
  <c r="X89" i="30"/>
  <c r="Z89" i="30" s="1"/>
  <c r="N89" i="30"/>
  <c r="L89" i="30"/>
  <c r="B89" i="30"/>
  <c r="Z88" i="30"/>
  <c r="X88" i="30"/>
  <c r="N88" i="30"/>
  <c r="L88" i="30"/>
  <c r="B88" i="30"/>
  <c r="Z87" i="30"/>
  <c r="X87" i="30"/>
  <c r="V87" i="30"/>
  <c r="N87" i="30"/>
  <c r="L87" i="30"/>
  <c r="B87" i="30"/>
  <c r="Z86" i="30"/>
  <c r="X86" i="30"/>
  <c r="V86" i="30"/>
  <c r="L86" i="30"/>
  <c r="N86" i="30" s="1"/>
  <c r="B86" i="30"/>
  <c r="Z85" i="30"/>
  <c r="X85" i="30"/>
  <c r="N85" i="30"/>
  <c r="L85" i="30"/>
  <c r="B85" i="30"/>
  <c r="X84" i="30"/>
  <c r="Z84" i="30" s="1"/>
  <c r="N84" i="30"/>
  <c r="L84" i="30"/>
  <c r="B84" i="30"/>
  <c r="Z83" i="30"/>
  <c r="X83" i="30"/>
  <c r="V83" i="30"/>
  <c r="N83" i="30"/>
  <c r="L83" i="30"/>
  <c r="B83" i="30"/>
  <c r="V82" i="30"/>
  <c r="T82" i="30"/>
  <c r="Z82" i="30" s="1"/>
  <c r="P82" i="30"/>
  <c r="X82" i="30" s="1"/>
  <c r="L82" i="30"/>
  <c r="H82" i="30"/>
  <c r="N82" i="30" s="1"/>
  <c r="D82" i="30"/>
  <c r="B82" i="30"/>
  <c r="Z81" i="30"/>
  <c r="X81" i="30"/>
  <c r="N81" i="30"/>
  <c r="L81" i="30"/>
  <c r="J81" i="30"/>
  <c r="B81" i="30"/>
  <c r="Z80" i="30"/>
  <c r="X80" i="30"/>
  <c r="N80" i="30"/>
  <c r="L80" i="30"/>
  <c r="B80" i="30"/>
  <c r="Z79" i="30"/>
  <c r="X79" i="30"/>
  <c r="L79" i="30"/>
  <c r="N79" i="30" s="1"/>
  <c r="B79" i="30"/>
  <c r="Z78" i="30"/>
  <c r="X78" i="30"/>
  <c r="N78" i="30"/>
  <c r="L78" i="30"/>
  <c r="B78" i="30"/>
  <c r="X77" i="30"/>
  <c r="Z77" i="30" s="1"/>
  <c r="N77" i="30"/>
  <c r="L77" i="30"/>
  <c r="J77" i="30"/>
  <c r="B77" i="30"/>
  <c r="Z76" i="30"/>
  <c r="X76" i="30"/>
  <c r="N76" i="30"/>
  <c r="L76" i="30"/>
  <c r="B76" i="30"/>
  <c r="Z75" i="30"/>
  <c r="X75" i="30"/>
  <c r="L75" i="30"/>
  <c r="N75" i="30" s="1"/>
  <c r="B75" i="30"/>
  <c r="X74" i="30"/>
  <c r="Z74" i="30" s="1"/>
  <c r="N74" i="30"/>
  <c r="L74" i="30"/>
  <c r="B74" i="30"/>
  <c r="X73" i="30"/>
  <c r="Z73" i="30" s="1"/>
  <c r="N73" i="30"/>
  <c r="L73" i="30"/>
  <c r="J73" i="30"/>
  <c r="B73" i="30"/>
  <c r="T72" i="30"/>
  <c r="P72" i="30"/>
  <c r="X72" i="30" s="1"/>
  <c r="H72" i="30"/>
  <c r="D72" i="30"/>
  <c r="B72" i="30"/>
  <c r="T71" i="30"/>
  <c r="P71" i="30"/>
  <c r="X71" i="30" s="1"/>
  <c r="N71" i="30"/>
  <c r="H71" i="30"/>
  <c r="J71" i="30" s="1"/>
  <c r="D71" i="30"/>
  <c r="L71" i="30" s="1"/>
  <c r="Z67" i="30"/>
  <c r="X67" i="30"/>
  <c r="N67" i="30"/>
  <c r="L67" i="30"/>
  <c r="J67" i="30"/>
  <c r="B67" i="30"/>
  <c r="Z66" i="30"/>
  <c r="X66" i="30"/>
  <c r="N66" i="30"/>
  <c r="L66" i="30"/>
  <c r="B66" i="30"/>
  <c r="Z65" i="30"/>
  <c r="X65" i="30"/>
  <c r="V65" i="30"/>
  <c r="N65" i="30"/>
  <c r="L65" i="30"/>
  <c r="B65" i="30"/>
  <c r="Z64" i="30"/>
  <c r="X64" i="30"/>
  <c r="N64" i="30"/>
  <c r="L64" i="30"/>
  <c r="B64" i="30"/>
  <c r="Z63" i="30"/>
  <c r="X63" i="30"/>
  <c r="N63" i="30"/>
  <c r="L63" i="30"/>
  <c r="J63" i="30"/>
  <c r="B63" i="30"/>
  <c r="Z62" i="30"/>
  <c r="X62" i="30"/>
  <c r="N62" i="30"/>
  <c r="L62" i="30"/>
  <c r="B62" i="30"/>
  <c r="Z61" i="30"/>
  <c r="X61" i="30"/>
  <c r="V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J59" i="30"/>
  <c r="B59" i="30"/>
  <c r="Z58" i="30"/>
  <c r="X58" i="30"/>
  <c r="N58" i="30"/>
  <c r="L58" i="30"/>
  <c r="B58" i="30"/>
  <c r="Z57" i="30"/>
  <c r="X57" i="30"/>
  <c r="V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J55" i="30"/>
  <c r="B55" i="30"/>
  <c r="Z54" i="30"/>
  <c r="X54" i="30"/>
  <c r="N54" i="30"/>
  <c r="L54" i="30"/>
  <c r="B54" i="30"/>
  <c r="Z53" i="30"/>
  <c r="X53" i="30"/>
  <c r="V53" i="30"/>
  <c r="N53" i="30"/>
  <c r="L53" i="30"/>
  <c r="B53" i="30"/>
  <c r="Z52" i="30"/>
  <c r="X52" i="30"/>
  <c r="N52" i="30"/>
  <c r="L52" i="30"/>
  <c r="B52" i="30"/>
  <c r="Z51" i="30"/>
  <c r="X51" i="30"/>
  <c r="N51" i="30"/>
  <c r="L51" i="30"/>
  <c r="J51" i="30"/>
  <c r="B51" i="30"/>
  <c r="Z50" i="30"/>
  <c r="X50" i="30"/>
  <c r="N50" i="30"/>
  <c r="L50" i="30"/>
  <c r="B50" i="30"/>
  <c r="Z49" i="30"/>
  <c r="X49" i="30"/>
  <c r="V49" i="30"/>
  <c r="N49" i="30"/>
  <c r="L49" i="30"/>
  <c r="B49" i="30"/>
  <c r="Z48" i="30"/>
  <c r="X48" i="30"/>
  <c r="N48" i="30"/>
  <c r="L48" i="30"/>
  <c r="B48" i="30"/>
  <c r="Z47" i="30"/>
  <c r="X47" i="30"/>
  <c r="N47" i="30"/>
  <c r="L47" i="30"/>
  <c r="J47" i="30"/>
  <c r="B47" i="30"/>
  <c r="Z46" i="30"/>
  <c r="X46" i="30"/>
  <c r="N46" i="30"/>
  <c r="L46" i="30"/>
  <c r="B46" i="30"/>
  <c r="Z45" i="30"/>
  <c r="X45" i="30"/>
  <c r="V45" i="30"/>
  <c r="L45" i="30"/>
  <c r="N45" i="30" s="1"/>
  <c r="B45" i="30"/>
  <c r="T44" i="30"/>
  <c r="P44" i="30"/>
  <c r="X44" i="30" s="1"/>
  <c r="H44" i="30"/>
  <c r="D44" i="30"/>
  <c r="L44" i="30" s="1"/>
  <c r="N44" i="30" s="1"/>
  <c r="Z42" i="30"/>
  <c r="P42" i="30"/>
  <c r="X42" i="30" s="1"/>
  <c r="N42" i="30"/>
  <c r="D42" i="30"/>
  <c r="L42" i="30" s="1"/>
  <c r="B42" i="30"/>
  <c r="Z41" i="30"/>
  <c r="X41" i="30"/>
  <c r="P41" i="30"/>
  <c r="N41" i="30"/>
  <c r="D41" i="30"/>
  <c r="L41" i="30" s="1"/>
  <c r="B41" i="30"/>
  <c r="Z40" i="30"/>
  <c r="X40" i="30"/>
  <c r="P40" i="30"/>
  <c r="N40" i="30"/>
  <c r="L40" i="30"/>
  <c r="D40" i="30"/>
  <c r="B40" i="30"/>
  <c r="Z39" i="30"/>
  <c r="X39" i="30"/>
  <c r="P39" i="30"/>
  <c r="N39" i="30"/>
  <c r="D39" i="30"/>
  <c r="L39" i="30" s="1"/>
  <c r="B39" i="30"/>
  <c r="Z38" i="30"/>
  <c r="X38" i="30"/>
  <c r="P38" i="30"/>
  <c r="N38" i="30"/>
  <c r="L38" i="30"/>
  <c r="D38" i="30"/>
  <c r="B38" i="30"/>
  <c r="Z37" i="30"/>
  <c r="X37" i="30"/>
  <c r="P37" i="30"/>
  <c r="N37" i="30"/>
  <c r="L37" i="30"/>
  <c r="D37" i="30"/>
  <c r="B37" i="30"/>
  <c r="Z36" i="30"/>
  <c r="P36" i="30"/>
  <c r="X36" i="30" s="1"/>
  <c r="N36" i="30"/>
  <c r="L36" i="30"/>
  <c r="D36" i="30"/>
  <c r="B36" i="30"/>
  <c r="Z35" i="30"/>
  <c r="P35" i="30"/>
  <c r="X35" i="30" s="1"/>
  <c r="N35" i="30"/>
  <c r="L35" i="30"/>
  <c r="D35" i="30"/>
  <c r="B35" i="30"/>
  <c r="Z34" i="30"/>
  <c r="P34" i="30"/>
  <c r="X34" i="30" s="1"/>
  <c r="N34" i="30"/>
  <c r="L34" i="30"/>
  <c r="D34" i="30"/>
  <c r="B34" i="30"/>
  <c r="Z33" i="30"/>
  <c r="P33" i="30"/>
  <c r="X33" i="30" s="1"/>
  <c r="N33" i="30"/>
  <c r="D33" i="30"/>
  <c r="L33" i="30" s="1"/>
  <c r="B33" i="30"/>
  <c r="Z32" i="30"/>
  <c r="P32" i="30"/>
  <c r="X32" i="30" s="1"/>
  <c r="N32" i="30"/>
  <c r="D32" i="30"/>
  <c r="L32" i="30" s="1"/>
  <c r="B32" i="30"/>
  <c r="Z31" i="30"/>
  <c r="X31" i="30"/>
  <c r="P31" i="30"/>
  <c r="N31" i="30"/>
  <c r="D31" i="30"/>
  <c r="L31" i="30" s="1"/>
  <c r="B31" i="30"/>
  <c r="Z30" i="30"/>
  <c r="P30" i="30"/>
  <c r="X30" i="30" s="1"/>
  <c r="N30" i="30"/>
  <c r="D30" i="30"/>
  <c r="L30" i="30" s="1"/>
  <c r="B30" i="30"/>
  <c r="Z29" i="30"/>
  <c r="X29" i="30"/>
  <c r="P29" i="30"/>
  <c r="N29" i="30"/>
  <c r="D29" i="30"/>
  <c r="L29" i="30" s="1"/>
  <c r="B29" i="30"/>
  <c r="Z28" i="30"/>
  <c r="X28" i="30"/>
  <c r="P28" i="30"/>
  <c r="N28" i="30"/>
  <c r="L28" i="30"/>
  <c r="D28" i="30"/>
  <c r="B28" i="30"/>
  <c r="Z27" i="30"/>
  <c r="X27" i="30"/>
  <c r="P27" i="30"/>
  <c r="N27" i="30"/>
  <c r="D27" i="30"/>
  <c r="L27" i="30" s="1"/>
  <c r="B27" i="30"/>
  <c r="Z26" i="30"/>
  <c r="X26" i="30"/>
  <c r="P26" i="30"/>
  <c r="N26" i="30"/>
  <c r="L26" i="30"/>
  <c r="D26" i="30"/>
  <c r="B26" i="30"/>
  <c r="Z25" i="30"/>
  <c r="X25" i="30"/>
  <c r="P25" i="30"/>
  <c r="N25" i="30"/>
  <c r="L25" i="30"/>
  <c r="D25" i="30"/>
  <c r="B25" i="30"/>
  <c r="Z24" i="30"/>
  <c r="P24" i="30"/>
  <c r="X24" i="30" s="1"/>
  <c r="N24" i="30"/>
  <c r="L24" i="30"/>
  <c r="D24" i="30"/>
  <c r="B24" i="30"/>
  <c r="Z23" i="30"/>
  <c r="P23" i="30"/>
  <c r="X23" i="30" s="1"/>
  <c r="N23" i="30"/>
  <c r="L23" i="30"/>
  <c r="D23" i="30"/>
  <c r="B23" i="30"/>
  <c r="Z22" i="30"/>
  <c r="P22" i="30"/>
  <c r="X22" i="30" s="1"/>
  <c r="N22" i="30"/>
  <c r="L22" i="30"/>
  <c r="D22" i="30"/>
  <c r="B22" i="30"/>
  <c r="Z21" i="30"/>
  <c r="P21" i="30"/>
  <c r="X21" i="30" s="1"/>
  <c r="N21" i="30"/>
  <c r="D21" i="30"/>
  <c r="L21" i="30" s="1"/>
  <c r="B21" i="30"/>
  <c r="Z20" i="30"/>
  <c r="P20" i="30"/>
  <c r="X20" i="30" s="1"/>
  <c r="N20" i="30"/>
  <c r="D20" i="30"/>
  <c r="L20" i="30" s="1"/>
  <c r="B20" i="30"/>
  <c r="Z19" i="30"/>
  <c r="X19" i="30"/>
  <c r="P19" i="30"/>
  <c r="N19" i="30"/>
  <c r="D19" i="30"/>
  <c r="L19" i="30" s="1"/>
  <c r="B19" i="30"/>
  <c r="Z18" i="30"/>
  <c r="P18" i="30"/>
  <c r="X18" i="30" s="1"/>
  <c r="N18" i="30"/>
  <c r="D18" i="30"/>
  <c r="L18" i="30" s="1"/>
  <c r="B18" i="30"/>
  <c r="Z17" i="30"/>
  <c r="X17" i="30"/>
  <c r="P17" i="30"/>
  <c r="N17" i="30"/>
  <c r="D17" i="30"/>
  <c r="L17" i="30" s="1"/>
  <c r="B17" i="30"/>
  <c r="Z16" i="30"/>
  <c r="X16" i="30"/>
  <c r="P16" i="30"/>
  <c r="N16" i="30"/>
  <c r="L16" i="30"/>
  <c r="D16" i="30"/>
  <c r="B16" i="30"/>
  <c r="Z15" i="30"/>
  <c r="X15" i="30"/>
  <c r="P15" i="30"/>
  <c r="N15" i="30"/>
  <c r="D15" i="30"/>
  <c r="L15" i="30" s="1"/>
  <c r="B15" i="30"/>
  <c r="Z14" i="30"/>
  <c r="X14" i="30"/>
  <c r="P14" i="30"/>
  <c r="N14" i="30"/>
  <c r="L14" i="30"/>
  <c r="D14" i="30"/>
  <c r="B14" i="30"/>
  <c r="X13" i="30"/>
  <c r="Z13" i="30" s="1"/>
  <c r="P13" i="30"/>
  <c r="L13" i="30"/>
  <c r="N13" i="30" s="1"/>
  <c r="D13" i="30"/>
  <c r="B13" i="30"/>
  <c r="T12" i="30"/>
  <c r="V128" i="30" s="1"/>
  <c r="H12" i="30"/>
  <c r="J153" i="30" s="1"/>
  <c r="D4" i="30"/>
  <c r="Z129" i="27"/>
  <c r="X129" i="27"/>
  <c r="L129" i="27"/>
  <c r="N129" i="27" s="1"/>
  <c r="P125" i="27"/>
  <c r="X125" i="27" s="1"/>
  <c r="Z125" i="27" s="1"/>
  <c r="D125" i="27"/>
  <c r="L125" i="27" s="1"/>
  <c r="N125" i="27" s="1"/>
  <c r="B125" i="27"/>
  <c r="Z124" i="27"/>
  <c r="X124" i="27"/>
  <c r="P124" i="27"/>
  <c r="N124" i="27"/>
  <c r="L124" i="27"/>
  <c r="D124" i="27"/>
  <c r="B124" i="27"/>
  <c r="Z123" i="27"/>
  <c r="P123" i="27"/>
  <c r="N123" i="27"/>
  <c r="L123" i="27"/>
  <c r="D123" i="27"/>
  <c r="B123" i="27"/>
  <c r="Z122" i="27"/>
  <c r="P122" i="27"/>
  <c r="X122" i="27" s="1"/>
  <c r="N122" i="27"/>
  <c r="J122" i="27"/>
  <c r="D122" i="27"/>
  <c r="L122" i="27" s="1"/>
  <c r="B122" i="27"/>
  <c r="T121" i="27"/>
  <c r="J121" i="27"/>
  <c r="H121" i="27"/>
  <c r="X119" i="27"/>
  <c r="Z119" i="27" s="1"/>
  <c r="L119" i="27"/>
  <c r="N119" i="27" s="1"/>
  <c r="J119" i="27"/>
  <c r="B119" i="27"/>
  <c r="Z118" i="27"/>
  <c r="X118" i="27"/>
  <c r="N118" i="27"/>
  <c r="L118" i="27"/>
  <c r="J118" i="27"/>
  <c r="B118" i="27"/>
  <c r="T117" i="27"/>
  <c r="P117" i="27"/>
  <c r="X117" i="27" s="1"/>
  <c r="Z117" i="27" s="1"/>
  <c r="H117" i="27"/>
  <c r="N117" i="27" s="1"/>
  <c r="D117" i="27"/>
  <c r="L117" i="27" s="1"/>
  <c r="B117" i="27"/>
  <c r="X116" i="27"/>
  <c r="Z116" i="27" s="1"/>
  <c r="N116" i="27"/>
  <c r="L116" i="27"/>
  <c r="J116" i="27"/>
  <c r="B116" i="27"/>
  <c r="X115" i="27"/>
  <c r="Z115" i="27" s="1"/>
  <c r="T115" i="27"/>
  <c r="P115" i="27"/>
  <c r="H115" i="27"/>
  <c r="D115" i="27"/>
  <c r="L115" i="27" s="1"/>
  <c r="B115" i="27"/>
  <c r="X114" i="27"/>
  <c r="Z114" i="27" s="1"/>
  <c r="N114" i="27"/>
  <c r="L114" i="27"/>
  <c r="B114" i="27"/>
  <c r="X113" i="27"/>
  <c r="Z113" i="27" s="1"/>
  <c r="N113" i="27"/>
  <c r="L113" i="27"/>
  <c r="J113" i="27"/>
  <c r="B113" i="27"/>
  <c r="T112" i="27"/>
  <c r="P112" i="27"/>
  <c r="X112" i="27" s="1"/>
  <c r="Z112" i="27" s="1"/>
  <c r="L112" i="27"/>
  <c r="H112" i="27"/>
  <c r="D112" i="27"/>
  <c r="B112" i="27"/>
  <c r="X111" i="27"/>
  <c r="Z111" i="27" s="1"/>
  <c r="L111" i="27"/>
  <c r="N111" i="27" s="1"/>
  <c r="J111" i="27"/>
  <c r="B111" i="27"/>
  <c r="Z110" i="27"/>
  <c r="X110" i="27"/>
  <c r="N110" i="27"/>
  <c r="L110" i="27"/>
  <c r="J110" i="27"/>
  <c r="B110" i="27"/>
  <c r="Z109" i="27"/>
  <c r="X109" i="27"/>
  <c r="L109" i="27"/>
  <c r="N109" i="27" s="1"/>
  <c r="B109" i="27"/>
  <c r="T108" i="27"/>
  <c r="P108" i="27"/>
  <c r="J108" i="27"/>
  <c r="H108" i="27"/>
  <c r="D108" i="27"/>
  <c r="L108" i="27" s="1"/>
  <c r="N108" i="27" s="1"/>
  <c r="B108" i="27"/>
  <c r="X107" i="27"/>
  <c r="Z107" i="27" s="1"/>
  <c r="N107" i="27"/>
  <c r="L107" i="27"/>
  <c r="B107" i="27"/>
  <c r="V106" i="27"/>
  <c r="T106" i="27"/>
  <c r="P106" i="27"/>
  <c r="X106" i="27" s="1"/>
  <c r="Z106" i="27" s="1"/>
  <c r="L106" i="27"/>
  <c r="J106" i="27"/>
  <c r="H106" i="27"/>
  <c r="D106" i="27"/>
  <c r="B106" i="27"/>
  <c r="X105" i="27"/>
  <c r="Z105" i="27" s="1"/>
  <c r="N105" i="27"/>
  <c r="L105" i="27"/>
  <c r="J105" i="27"/>
  <c r="B105" i="27"/>
  <c r="Z104" i="27"/>
  <c r="X104" i="27"/>
  <c r="N104" i="27"/>
  <c r="L104" i="27"/>
  <c r="J104" i="27"/>
  <c r="B104" i="27"/>
  <c r="Z103" i="27"/>
  <c r="X103" i="27"/>
  <c r="N103" i="27"/>
  <c r="L103" i="27"/>
  <c r="B103" i="27"/>
  <c r="T102" i="27"/>
  <c r="P102" i="27"/>
  <c r="J102" i="27"/>
  <c r="H102" i="27"/>
  <c r="D102" i="27"/>
  <c r="L102" i="27" s="1"/>
  <c r="N102" i="27" s="1"/>
  <c r="B102" i="27"/>
  <c r="Z101" i="27"/>
  <c r="X101" i="27"/>
  <c r="V101" i="27"/>
  <c r="L101" i="27"/>
  <c r="N101" i="27" s="1"/>
  <c r="B101" i="27"/>
  <c r="T100" i="27"/>
  <c r="P100" i="27"/>
  <c r="J100" i="27"/>
  <c r="H100" i="27"/>
  <c r="D100" i="27"/>
  <c r="L100" i="27" s="1"/>
  <c r="N100" i="27" s="1"/>
  <c r="B100" i="27"/>
  <c r="X99" i="27"/>
  <c r="Z99" i="27" s="1"/>
  <c r="N99" i="27"/>
  <c r="L99" i="27"/>
  <c r="B99" i="27"/>
  <c r="V98" i="27"/>
  <c r="T98" i="27"/>
  <c r="P98" i="27"/>
  <c r="X98" i="27" s="1"/>
  <c r="Z98" i="27" s="1"/>
  <c r="L98" i="27"/>
  <c r="J98" i="27"/>
  <c r="H98" i="27"/>
  <c r="N98" i="27" s="1"/>
  <c r="D98" i="27"/>
  <c r="B98" i="27"/>
  <c r="Z97" i="27"/>
  <c r="X97" i="27"/>
  <c r="N97" i="27"/>
  <c r="L97" i="27"/>
  <c r="J97" i="27"/>
  <c r="B97" i="27"/>
  <c r="Z96" i="27"/>
  <c r="X96" i="27"/>
  <c r="N96" i="27"/>
  <c r="L96" i="27"/>
  <c r="J96" i="27"/>
  <c r="B96" i="27"/>
  <c r="Z95" i="27"/>
  <c r="T95" i="27"/>
  <c r="P95" i="27"/>
  <c r="X95" i="27" s="1"/>
  <c r="L95" i="27"/>
  <c r="H95" i="27"/>
  <c r="N95" i="27" s="1"/>
  <c r="D95" i="27"/>
  <c r="B95" i="27"/>
  <c r="Z94" i="27"/>
  <c r="X94" i="27"/>
  <c r="N94" i="27"/>
  <c r="L94" i="27"/>
  <c r="J94" i="27"/>
  <c r="B94" i="27"/>
  <c r="V93" i="27"/>
  <c r="T93" i="27"/>
  <c r="P93" i="27"/>
  <c r="X93" i="27" s="1"/>
  <c r="Z93" i="27" s="1"/>
  <c r="H93" i="27"/>
  <c r="D93" i="27"/>
  <c r="L93" i="27" s="1"/>
  <c r="B93" i="27"/>
  <c r="X92" i="27"/>
  <c r="Z92" i="27" s="1"/>
  <c r="N92" i="27"/>
  <c r="L92" i="27"/>
  <c r="J92" i="27"/>
  <c r="B92" i="27"/>
  <c r="X91" i="27"/>
  <c r="Z91" i="27" s="1"/>
  <c r="V91" i="27"/>
  <c r="T91" i="27"/>
  <c r="P91" i="27"/>
  <c r="H91" i="27"/>
  <c r="N91" i="27" s="1"/>
  <c r="D91" i="27"/>
  <c r="L91" i="27" s="1"/>
  <c r="B91" i="27"/>
  <c r="Z90" i="27"/>
  <c r="X90" i="27"/>
  <c r="N90" i="27"/>
  <c r="L90" i="27"/>
  <c r="J90" i="27"/>
  <c r="B90" i="27"/>
  <c r="X89" i="27"/>
  <c r="Z89" i="27" s="1"/>
  <c r="N89" i="27"/>
  <c r="L89" i="27"/>
  <c r="J89" i="27"/>
  <c r="B89" i="27"/>
  <c r="T88" i="27"/>
  <c r="P88" i="27"/>
  <c r="X88" i="27" s="1"/>
  <c r="Z88" i="27" s="1"/>
  <c r="L88" i="27"/>
  <c r="H88" i="27"/>
  <c r="D88" i="27"/>
  <c r="B88" i="27"/>
  <c r="X87" i="27"/>
  <c r="Z87" i="27" s="1"/>
  <c r="L87" i="27"/>
  <c r="N87" i="27" s="1"/>
  <c r="J87" i="27"/>
  <c r="B87" i="27"/>
  <c r="T86" i="27"/>
  <c r="P86" i="27"/>
  <c r="X86" i="27" s="1"/>
  <c r="Z86" i="27" s="1"/>
  <c r="H86" i="27"/>
  <c r="J86" i="27" s="1"/>
  <c r="D86" i="27"/>
  <c r="B86" i="27"/>
  <c r="Z85" i="27"/>
  <c r="X85" i="27"/>
  <c r="N85" i="27"/>
  <c r="L85" i="27"/>
  <c r="J85" i="27"/>
  <c r="B85" i="27"/>
  <c r="Z84" i="27"/>
  <c r="X84" i="27"/>
  <c r="N84" i="27"/>
  <c r="L84" i="27"/>
  <c r="J84" i="27"/>
  <c r="B84" i="27"/>
  <c r="X83" i="27"/>
  <c r="Z83" i="27" s="1"/>
  <c r="N83" i="27"/>
  <c r="L83" i="27"/>
  <c r="B83" i="27"/>
  <c r="Z82" i="27"/>
  <c r="X82" i="27"/>
  <c r="N82" i="27"/>
  <c r="L82" i="27"/>
  <c r="B82" i="27"/>
  <c r="Z81" i="27"/>
  <c r="X81" i="27"/>
  <c r="N81" i="27"/>
  <c r="L81" i="27"/>
  <c r="J81" i="27"/>
  <c r="B81" i="27"/>
  <c r="X80" i="27"/>
  <c r="Z80" i="27" s="1"/>
  <c r="N80" i="27"/>
  <c r="L80" i="27"/>
  <c r="J80" i="27"/>
  <c r="B80" i="27"/>
  <c r="X79" i="27"/>
  <c r="Z79" i="27" s="1"/>
  <c r="V79" i="27"/>
  <c r="N79" i="27"/>
  <c r="L79" i="27"/>
  <c r="J79" i="27"/>
  <c r="B79" i="27"/>
  <c r="Z78" i="27"/>
  <c r="X78" i="27"/>
  <c r="N78" i="27"/>
  <c r="L78" i="27"/>
  <c r="B78" i="27"/>
  <c r="X77" i="27"/>
  <c r="Z77" i="27" s="1"/>
  <c r="L77" i="27"/>
  <c r="N77" i="27" s="1"/>
  <c r="J77" i="27"/>
  <c r="B77" i="27"/>
  <c r="Z76" i="27"/>
  <c r="X76" i="27"/>
  <c r="N76" i="27"/>
  <c r="L76" i="27"/>
  <c r="J76" i="27"/>
  <c r="B76" i="27"/>
  <c r="X75" i="27"/>
  <c r="Z75" i="27" s="1"/>
  <c r="V75" i="27"/>
  <c r="T75" i="27"/>
  <c r="P75" i="27"/>
  <c r="H75" i="27"/>
  <c r="N75" i="27" s="1"/>
  <c r="D75" i="27"/>
  <c r="L75" i="27" s="1"/>
  <c r="B75" i="27"/>
  <c r="X74" i="27"/>
  <c r="Z74" i="27" s="1"/>
  <c r="N74" i="27"/>
  <c r="L74" i="27"/>
  <c r="J74" i="27"/>
  <c r="B74" i="27"/>
  <c r="X73" i="27"/>
  <c r="Z73" i="27" s="1"/>
  <c r="N73" i="27"/>
  <c r="L73" i="27"/>
  <c r="J73" i="27"/>
  <c r="B73" i="27"/>
  <c r="Z72" i="27"/>
  <c r="X72" i="27"/>
  <c r="N72" i="27"/>
  <c r="L72" i="27"/>
  <c r="J72" i="27"/>
  <c r="B72" i="27"/>
  <c r="Z71" i="27"/>
  <c r="X71" i="27"/>
  <c r="N71" i="27"/>
  <c r="L71" i="27"/>
  <c r="J71" i="27"/>
  <c r="B71" i="27"/>
  <c r="Z70" i="27"/>
  <c r="X70" i="27"/>
  <c r="N70" i="27"/>
  <c r="L70" i="27"/>
  <c r="J70" i="27"/>
  <c r="B70" i="27"/>
  <c r="X69" i="27"/>
  <c r="Z69" i="27" s="1"/>
  <c r="N69" i="27"/>
  <c r="L69" i="27"/>
  <c r="J69" i="27"/>
  <c r="B69" i="27"/>
  <c r="Z68" i="27"/>
  <c r="X68" i="27"/>
  <c r="N68" i="27"/>
  <c r="L68" i="27"/>
  <c r="J68" i="27"/>
  <c r="B68" i="27"/>
  <c r="Z67" i="27"/>
  <c r="X67" i="27"/>
  <c r="L67" i="27"/>
  <c r="N67" i="27" s="1"/>
  <c r="J67" i="27"/>
  <c r="B67" i="27"/>
  <c r="X66" i="27"/>
  <c r="Z66" i="27" s="1"/>
  <c r="N66" i="27"/>
  <c r="L66" i="27"/>
  <c r="J66" i="27"/>
  <c r="B66" i="27"/>
  <c r="X65" i="27"/>
  <c r="Z65" i="27" s="1"/>
  <c r="N65" i="27"/>
  <c r="L65" i="27"/>
  <c r="J65" i="27"/>
  <c r="B65" i="27"/>
  <c r="T64" i="27"/>
  <c r="P64" i="27"/>
  <c r="X64" i="27" s="1"/>
  <c r="Z64" i="27" s="1"/>
  <c r="H64" i="27"/>
  <c r="D64" i="27"/>
  <c r="B64" i="27"/>
  <c r="T63" i="27"/>
  <c r="P63" i="27"/>
  <c r="H63" i="27"/>
  <c r="J63" i="27" s="1"/>
  <c r="D63" i="27"/>
  <c r="L63" i="27" s="1"/>
  <c r="N63" i="27" s="1"/>
  <c r="T61" i="27"/>
  <c r="Z59" i="27"/>
  <c r="X59" i="27"/>
  <c r="N59" i="27"/>
  <c r="L59" i="27"/>
  <c r="J59" i="27"/>
  <c r="B59" i="27"/>
  <c r="Z58" i="27"/>
  <c r="X58" i="27"/>
  <c r="N58" i="27"/>
  <c r="L58" i="27"/>
  <c r="J58" i="27"/>
  <c r="B58" i="27"/>
  <c r="Z57" i="27"/>
  <c r="X57" i="27"/>
  <c r="N57" i="27"/>
  <c r="L57" i="27"/>
  <c r="B57" i="27"/>
  <c r="Z56" i="27"/>
  <c r="X56" i="27"/>
  <c r="N56" i="27"/>
  <c r="L56" i="27"/>
  <c r="J56" i="27"/>
  <c r="B56" i="27"/>
  <c r="Z55" i="27"/>
  <c r="X55" i="27"/>
  <c r="N55" i="27"/>
  <c r="L55" i="27"/>
  <c r="J55" i="27"/>
  <c r="B55" i="27"/>
  <c r="Z54" i="27"/>
  <c r="X54" i="27"/>
  <c r="N54" i="27"/>
  <c r="L54" i="27"/>
  <c r="J54" i="27"/>
  <c r="B54" i="27"/>
  <c r="Z53" i="27"/>
  <c r="X53" i="27"/>
  <c r="N53" i="27"/>
  <c r="L53" i="27"/>
  <c r="B53" i="27"/>
  <c r="Z52" i="27"/>
  <c r="X52" i="27"/>
  <c r="N52" i="27"/>
  <c r="L52" i="27"/>
  <c r="J52" i="27"/>
  <c r="B52" i="27"/>
  <c r="Z51" i="27"/>
  <c r="X51" i="27"/>
  <c r="N51" i="27"/>
  <c r="L51" i="27"/>
  <c r="J51" i="27"/>
  <c r="B51" i="27"/>
  <c r="Z50" i="27"/>
  <c r="X50" i="27"/>
  <c r="N50" i="27"/>
  <c r="L50" i="27"/>
  <c r="J50" i="27"/>
  <c r="B50" i="27"/>
  <c r="Z49" i="27"/>
  <c r="X49" i="27"/>
  <c r="N49" i="27"/>
  <c r="L49" i="27"/>
  <c r="B49" i="27"/>
  <c r="Z48" i="27"/>
  <c r="X48" i="27"/>
  <c r="N48" i="27"/>
  <c r="L48" i="27"/>
  <c r="J48" i="27"/>
  <c r="B48" i="27"/>
  <c r="Z47" i="27"/>
  <c r="X47" i="27"/>
  <c r="N47" i="27"/>
  <c r="L47" i="27"/>
  <c r="J47" i="27"/>
  <c r="B47" i="27"/>
  <c r="Z46" i="27"/>
  <c r="X46" i="27"/>
  <c r="N46" i="27"/>
  <c r="L46" i="27"/>
  <c r="J46" i="27"/>
  <c r="B46" i="27"/>
  <c r="Z45" i="27"/>
  <c r="X45" i="27"/>
  <c r="V45" i="27"/>
  <c r="N45" i="27"/>
  <c r="L45" i="27"/>
  <c r="B45" i="27"/>
  <c r="Z44" i="27"/>
  <c r="X44" i="27"/>
  <c r="N44" i="27"/>
  <c r="L44" i="27"/>
  <c r="J44" i="27"/>
  <c r="B44" i="27"/>
  <c r="X43" i="27"/>
  <c r="Z43" i="27" s="1"/>
  <c r="L43" i="27"/>
  <c r="N43" i="27" s="1"/>
  <c r="J43" i="27"/>
  <c r="B43" i="27"/>
  <c r="T42" i="27"/>
  <c r="P42" i="27"/>
  <c r="X42" i="27" s="1"/>
  <c r="Z42" i="27" s="1"/>
  <c r="H42" i="27"/>
  <c r="D42" i="27"/>
  <c r="Z40" i="27"/>
  <c r="P40" i="27"/>
  <c r="X40" i="27" s="1"/>
  <c r="N40" i="27"/>
  <c r="L40" i="27"/>
  <c r="D40" i="27"/>
  <c r="B40" i="27"/>
  <c r="Z39" i="27"/>
  <c r="P39" i="27"/>
  <c r="X39" i="27" s="1"/>
  <c r="N39" i="27"/>
  <c r="L39" i="27"/>
  <c r="D39" i="27"/>
  <c r="B39" i="27"/>
  <c r="Z38" i="27"/>
  <c r="P38" i="27"/>
  <c r="X38" i="27" s="1"/>
  <c r="N38" i="27"/>
  <c r="L38" i="27"/>
  <c r="D38" i="27"/>
  <c r="B38" i="27"/>
  <c r="Z37" i="27"/>
  <c r="P37" i="27"/>
  <c r="X37" i="27" s="1"/>
  <c r="N37" i="27"/>
  <c r="D37" i="27"/>
  <c r="L37" i="27" s="1"/>
  <c r="B37" i="27"/>
  <c r="Z36" i="27"/>
  <c r="P36" i="27"/>
  <c r="X36" i="27" s="1"/>
  <c r="N36" i="27"/>
  <c r="D36" i="27"/>
  <c r="L36" i="27" s="1"/>
  <c r="B36" i="27"/>
  <c r="Z35" i="27"/>
  <c r="X35" i="27"/>
  <c r="P35" i="27"/>
  <c r="N35" i="27"/>
  <c r="D35" i="27"/>
  <c r="L35" i="27" s="1"/>
  <c r="B35" i="27"/>
  <c r="Z34" i="27"/>
  <c r="P34" i="27"/>
  <c r="X34" i="27" s="1"/>
  <c r="N34" i="27"/>
  <c r="D34" i="27"/>
  <c r="L34" i="27" s="1"/>
  <c r="B34" i="27"/>
  <c r="Z33" i="27"/>
  <c r="X33" i="27"/>
  <c r="P33" i="27"/>
  <c r="N33" i="27"/>
  <c r="D33" i="27"/>
  <c r="L33" i="27" s="1"/>
  <c r="B33" i="27"/>
  <c r="Z32" i="27"/>
  <c r="X32" i="27"/>
  <c r="P32" i="27"/>
  <c r="N32" i="27"/>
  <c r="L32" i="27"/>
  <c r="D32" i="27"/>
  <c r="B32" i="27"/>
  <c r="Z31" i="27"/>
  <c r="X31" i="27"/>
  <c r="P31" i="27"/>
  <c r="N31" i="27"/>
  <c r="D31" i="27"/>
  <c r="L31" i="27" s="1"/>
  <c r="B31" i="27"/>
  <c r="Z30" i="27"/>
  <c r="X30" i="27"/>
  <c r="P30" i="27"/>
  <c r="N30" i="27"/>
  <c r="L30" i="27"/>
  <c r="D30" i="27"/>
  <c r="B30" i="27"/>
  <c r="Z29" i="27"/>
  <c r="X29" i="27"/>
  <c r="P29" i="27"/>
  <c r="N29" i="27"/>
  <c r="L29" i="27"/>
  <c r="D29" i="27"/>
  <c r="B29" i="27"/>
  <c r="Z28" i="27"/>
  <c r="P28" i="27"/>
  <c r="X28" i="27" s="1"/>
  <c r="N28" i="27"/>
  <c r="L28" i="27"/>
  <c r="D28" i="27"/>
  <c r="B28" i="27"/>
  <c r="Z27" i="27"/>
  <c r="P27" i="27"/>
  <c r="X27" i="27" s="1"/>
  <c r="N27" i="27"/>
  <c r="L27" i="27"/>
  <c r="D27" i="27"/>
  <c r="B27" i="27"/>
  <c r="Z26" i="27"/>
  <c r="P26" i="27"/>
  <c r="X26" i="27" s="1"/>
  <c r="N26" i="27"/>
  <c r="L26" i="27"/>
  <c r="D26" i="27"/>
  <c r="B26" i="27"/>
  <c r="Z25" i="27"/>
  <c r="P25" i="27"/>
  <c r="X25" i="27" s="1"/>
  <c r="N25" i="27"/>
  <c r="D25" i="27"/>
  <c r="L25" i="27" s="1"/>
  <c r="B25" i="27"/>
  <c r="Z24" i="27"/>
  <c r="P24" i="27"/>
  <c r="X24" i="27" s="1"/>
  <c r="N24" i="27"/>
  <c r="D24" i="27"/>
  <c r="L24" i="27" s="1"/>
  <c r="B24" i="27"/>
  <c r="Z23" i="27"/>
  <c r="X23" i="27"/>
  <c r="P23" i="27"/>
  <c r="N23" i="27"/>
  <c r="D23" i="27"/>
  <c r="L23" i="27" s="1"/>
  <c r="B23" i="27"/>
  <c r="Z22" i="27"/>
  <c r="P22" i="27"/>
  <c r="X22" i="27" s="1"/>
  <c r="N22" i="27"/>
  <c r="D22" i="27"/>
  <c r="L22" i="27" s="1"/>
  <c r="B22" i="27"/>
  <c r="X21" i="27"/>
  <c r="Z21" i="27" s="1"/>
  <c r="P21" i="27"/>
  <c r="D21" i="27"/>
  <c r="L21" i="27" s="1"/>
  <c r="N21" i="27" s="1"/>
  <c r="B21" i="27"/>
  <c r="Z20" i="27"/>
  <c r="X20" i="27"/>
  <c r="P20" i="27"/>
  <c r="N20" i="27"/>
  <c r="L20" i="27"/>
  <c r="D20" i="27"/>
  <c r="B20" i="27"/>
  <c r="Z19" i="27"/>
  <c r="X19" i="27"/>
  <c r="P19" i="27"/>
  <c r="N19" i="27"/>
  <c r="D19" i="27"/>
  <c r="L19" i="27" s="1"/>
  <c r="B19" i="27"/>
  <c r="Z18" i="27"/>
  <c r="X18" i="27"/>
  <c r="P18" i="27"/>
  <c r="N18" i="27"/>
  <c r="L18" i="27"/>
  <c r="D18" i="27"/>
  <c r="B18" i="27"/>
  <c r="Z17" i="27"/>
  <c r="X17" i="27"/>
  <c r="P17" i="27"/>
  <c r="N17" i="27"/>
  <c r="L17" i="27"/>
  <c r="D17" i="27"/>
  <c r="B17" i="27"/>
  <c r="Z16" i="27"/>
  <c r="P16" i="27"/>
  <c r="X16" i="27" s="1"/>
  <c r="N16" i="27"/>
  <c r="L16" i="27"/>
  <c r="D16" i="27"/>
  <c r="B16" i="27"/>
  <c r="Z15" i="27"/>
  <c r="P15" i="27"/>
  <c r="X15" i="27" s="1"/>
  <c r="N15" i="27"/>
  <c r="L15" i="27"/>
  <c r="D15" i="27"/>
  <c r="B15" i="27"/>
  <c r="Z14" i="27"/>
  <c r="P14" i="27"/>
  <c r="X14" i="27" s="1"/>
  <c r="N14" i="27"/>
  <c r="L14" i="27"/>
  <c r="D14" i="27"/>
  <c r="B14" i="27"/>
  <c r="Z13" i="27"/>
  <c r="P13" i="27"/>
  <c r="N13" i="27"/>
  <c r="D13" i="27"/>
  <c r="L13" i="27" s="1"/>
  <c r="B13" i="27"/>
  <c r="T12" i="27"/>
  <c r="V125" i="27" s="1"/>
  <c r="H12" i="27"/>
  <c r="J123" i="27" s="1"/>
  <c r="D4" i="27"/>
  <c r="X145" i="24"/>
  <c r="Z145" i="24" s="1"/>
  <c r="L145" i="24"/>
  <c r="N145" i="24" s="1"/>
  <c r="Z141" i="24"/>
  <c r="X141" i="24"/>
  <c r="P141" i="24"/>
  <c r="N141" i="24"/>
  <c r="J141" i="24"/>
  <c r="D141" i="24"/>
  <c r="L141" i="24" s="1"/>
  <c r="B141" i="24"/>
  <c r="X140" i="24"/>
  <c r="T140" i="24"/>
  <c r="Z140" i="24" s="1"/>
  <c r="P140" i="24"/>
  <c r="N140" i="24"/>
  <c r="J140" i="24"/>
  <c r="H140" i="24"/>
  <c r="D140" i="24"/>
  <c r="L140" i="24" s="1"/>
  <c r="Z138" i="24"/>
  <c r="X138" i="24"/>
  <c r="N138" i="24"/>
  <c r="L138" i="24"/>
  <c r="B138" i="24"/>
  <c r="Z137" i="24"/>
  <c r="X137" i="24"/>
  <c r="T137" i="24"/>
  <c r="P137" i="24"/>
  <c r="H137" i="24"/>
  <c r="N137" i="24" s="1"/>
  <c r="D137" i="24"/>
  <c r="L137" i="24" s="1"/>
  <c r="B137" i="24"/>
  <c r="X136" i="24"/>
  <c r="Z136" i="24" s="1"/>
  <c r="N136" i="24"/>
  <c r="L136" i="24"/>
  <c r="B136" i="24"/>
  <c r="X135" i="24"/>
  <c r="T135" i="24"/>
  <c r="P135" i="24"/>
  <c r="N135" i="24"/>
  <c r="L135" i="24"/>
  <c r="H135" i="24"/>
  <c r="D135" i="24"/>
  <c r="B135" i="24"/>
  <c r="Z134" i="24"/>
  <c r="X134" i="24"/>
  <c r="L134" i="24"/>
  <c r="N134" i="24" s="1"/>
  <c r="B134" i="24"/>
  <c r="T133" i="24"/>
  <c r="P133" i="24"/>
  <c r="X133" i="24" s="1"/>
  <c r="H133" i="24"/>
  <c r="D133" i="24"/>
  <c r="L133" i="24" s="1"/>
  <c r="N133" i="24" s="1"/>
  <c r="B133" i="24"/>
  <c r="Z132" i="24"/>
  <c r="X132" i="24"/>
  <c r="N132" i="24"/>
  <c r="L132" i="24"/>
  <c r="B132" i="24"/>
  <c r="Z131" i="24"/>
  <c r="X131" i="24"/>
  <c r="N131" i="24"/>
  <c r="L131" i="24"/>
  <c r="B131" i="24"/>
  <c r="X130" i="24"/>
  <c r="Z130" i="24" s="1"/>
  <c r="N130" i="24"/>
  <c r="L130" i="24"/>
  <c r="B130" i="24"/>
  <c r="T129" i="24"/>
  <c r="P129" i="24"/>
  <c r="X129" i="24" s="1"/>
  <c r="Z129" i="24" s="1"/>
  <c r="H129" i="24"/>
  <c r="D129" i="24"/>
  <c r="L129" i="24" s="1"/>
  <c r="B129" i="24"/>
  <c r="Z128" i="24"/>
  <c r="X128" i="24"/>
  <c r="N128" i="24"/>
  <c r="L128" i="24"/>
  <c r="B128" i="24"/>
  <c r="X127" i="24"/>
  <c r="T127" i="24"/>
  <c r="Z127" i="24" s="1"/>
  <c r="P127" i="24"/>
  <c r="N127" i="24"/>
  <c r="L127" i="24"/>
  <c r="H127" i="24"/>
  <c r="D127" i="24"/>
  <c r="B127" i="24"/>
  <c r="Z126" i="24"/>
  <c r="X126" i="24"/>
  <c r="L126" i="24"/>
  <c r="N126" i="24" s="1"/>
  <c r="B126" i="24"/>
  <c r="X125" i="24"/>
  <c r="Z125" i="24" s="1"/>
  <c r="L125" i="24"/>
  <c r="N125" i="24" s="1"/>
  <c r="J125" i="24"/>
  <c r="B125" i="24"/>
  <c r="T124" i="24"/>
  <c r="P124" i="24"/>
  <c r="X124" i="24" s="1"/>
  <c r="Z124" i="24" s="1"/>
  <c r="H124" i="24"/>
  <c r="D124" i="24"/>
  <c r="B124" i="24"/>
  <c r="X123" i="24"/>
  <c r="Z123" i="24" s="1"/>
  <c r="L123" i="24"/>
  <c r="N123" i="24" s="1"/>
  <c r="B123" i="24"/>
  <c r="Z122" i="24"/>
  <c r="X122" i="24"/>
  <c r="N122" i="24"/>
  <c r="L122" i="24"/>
  <c r="B122" i="24"/>
  <c r="T121" i="24"/>
  <c r="P121" i="24"/>
  <c r="X121" i="24" s="1"/>
  <c r="Z121" i="24" s="1"/>
  <c r="H121" i="24"/>
  <c r="N121" i="24" s="1"/>
  <c r="D121" i="24"/>
  <c r="L121" i="24" s="1"/>
  <c r="B121" i="24"/>
  <c r="X120" i="24"/>
  <c r="Z120" i="24" s="1"/>
  <c r="N120" i="24"/>
  <c r="L120" i="24"/>
  <c r="B120" i="24"/>
  <c r="X119" i="24"/>
  <c r="T119" i="24"/>
  <c r="Z119" i="24" s="1"/>
  <c r="P119" i="24"/>
  <c r="N119" i="24"/>
  <c r="L119" i="24"/>
  <c r="H119" i="24"/>
  <c r="D119" i="24"/>
  <c r="B119" i="24"/>
  <c r="Z118" i="24"/>
  <c r="X118" i="24"/>
  <c r="L118" i="24"/>
  <c r="N118" i="24" s="1"/>
  <c r="B118" i="24"/>
  <c r="T117" i="24"/>
  <c r="P117" i="24"/>
  <c r="X117" i="24" s="1"/>
  <c r="J117" i="24"/>
  <c r="H117" i="24"/>
  <c r="D117" i="24"/>
  <c r="L117" i="24" s="1"/>
  <c r="N117" i="24" s="1"/>
  <c r="B117" i="24"/>
  <c r="Z116" i="24"/>
  <c r="X116" i="24"/>
  <c r="N116" i="24"/>
  <c r="L116" i="24"/>
  <c r="B116" i="24"/>
  <c r="T115" i="24"/>
  <c r="Z115" i="24" s="1"/>
  <c r="P115" i="24"/>
  <c r="X115" i="24" s="1"/>
  <c r="N115" i="24"/>
  <c r="J115" i="24"/>
  <c r="H115" i="24"/>
  <c r="D115" i="24"/>
  <c r="L115" i="24" s="1"/>
  <c r="B115" i="24"/>
  <c r="Z114" i="24"/>
  <c r="X114" i="24"/>
  <c r="N114" i="24"/>
  <c r="L114" i="24"/>
  <c r="B114" i="24"/>
  <c r="Z113" i="24"/>
  <c r="X113" i="24"/>
  <c r="T113" i="24"/>
  <c r="P113" i="24"/>
  <c r="L113" i="24"/>
  <c r="H113" i="24"/>
  <c r="D113" i="24"/>
  <c r="B113" i="24"/>
  <c r="Z112" i="24"/>
  <c r="X112" i="24"/>
  <c r="N112" i="24"/>
  <c r="L112" i="24"/>
  <c r="J112" i="24"/>
  <c r="B112" i="24"/>
  <c r="Z111" i="24"/>
  <c r="X111" i="24"/>
  <c r="L111" i="24"/>
  <c r="N111" i="24" s="1"/>
  <c r="B111" i="24"/>
  <c r="T110" i="24"/>
  <c r="Z110" i="24" s="1"/>
  <c r="P110" i="24"/>
  <c r="X110" i="24" s="1"/>
  <c r="H110" i="24"/>
  <c r="D110" i="24"/>
  <c r="L110" i="24" s="1"/>
  <c r="N110" i="24" s="1"/>
  <c r="B110" i="24"/>
  <c r="Z109" i="24"/>
  <c r="X109" i="24"/>
  <c r="N109" i="24"/>
  <c r="L109" i="24"/>
  <c r="B109" i="24"/>
  <c r="Z108" i="24"/>
  <c r="V108" i="24"/>
  <c r="T108" i="24"/>
  <c r="P108" i="24"/>
  <c r="X108" i="24" s="1"/>
  <c r="L108" i="24"/>
  <c r="H108" i="24"/>
  <c r="N108" i="24" s="1"/>
  <c r="D108" i="24"/>
  <c r="B108" i="24"/>
  <c r="X107" i="24"/>
  <c r="Z107" i="24" s="1"/>
  <c r="N107" i="24"/>
  <c r="L107" i="24"/>
  <c r="J107" i="24"/>
  <c r="B107" i="24"/>
  <c r="T106" i="24"/>
  <c r="P106" i="24"/>
  <c r="X106" i="24" s="1"/>
  <c r="Z106" i="24" s="1"/>
  <c r="H106" i="24"/>
  <c r="D106" i="24"/>
  <c r="B106" i="24"/>
  <c r="Z105" i="24"/>
  <c r="X105" i="24"/>
  <c r="N105" i="24"/>
  <c r="L105" i="24"/>
  <c r="J105" i="24"/>
  <c r="B105" i="24"/>
  <c r="Z104" i="24"/>
  <c r="X104" i="24"/>
  <c r="N104" i="24"/>
  <c r="L104" i="24"/>
  <c r="J104" i="24"/>
  <c r="B104" i="24"/>
  <c r="Z103" i="24"/>
  <c r="X103" i="24"/>
  <c r="L103" i="24"/>
  <c r="N103" i="24" s="1"/>
  <c r="B103" i="24"/>
  <c r="Z102" i="24"/>
  <c r="X102" i="24"/>
  <c r="L102" i="24"/>
  <c r="N102" i="24" s="1"/>
  <c r="B102" i="24"/>
  <c r="Z101" i="24"/>
  <c r="X101" i="24"/>
  <c r="N101" i="24"/>
  <c r="L101" i="24"/>
  <c r="J101" i="24"/>
  <c r="B101" i="24"/>
  <c r="Z100" i="24"/>
  <c r="X100" i="24"/>
  <c r="N100" i="24"/>
  <c r="L100" i="24"/>
  <c r="J100" i="24"/>
  <c r="B100" i="24"/>
  <c r="Z99" i="24"/>
  <c r="X99" i="24"/>
  <c r="N99" i="24"/>
  <c r="L99" i="24"/>
  <c r="B99" i="24"/>
  <c r="Z98" i="24"/>
  <c r="X98" i="24"/>
  <c r="N98" i="24"/>
  <c r="L98" i="24"/>
  <c r="B98" i="24"/>
  <c r="Z97" i="24"/>
  <c r="X97" i="24"/>
  <c r="N97" i="24"/>
  <c r="L97" i="24"/>
  <c r="J97" i="24"/>
  <c r="B97" i="24"/>
  <c r="Z96" i="24"/>
  <c r="X96" i="24"/>
  <c r="N96" i="24"/>
  <c r="L96" i="24"/>
  <c r="J96" i="24"/>
  <c r="B96" i="24"/>
  <c r="T95" i="24"/>
  <c r="P95" i="24"/>
  <c r="X95" i="24" s="1"/>
  <c r="Z95" i="24" s="1"/>
  <c r="H95" i="24"/>
  <c r="D95" i="24"/>
  <c r="L95" i="24" s="1"/>
  <c r="B95" i="24"/>
  <c r="Z94" i="24"/>
  <c r="X94" i="24"/>
  <c r="N94" i="24"/>
  <c r="L94" i="24"/>
  <c r="B94" i="24"/>
  <c r="X93" i="24"/>
  <c r="Z93" i="24" s="1"/>
  <c r="N93" i="24"/>
  <c r="L93" i="24"/>
  <c r="B93" i="24"/>
  <c r="Z92" i="24"/>
  <c r="X92" i="24"/>
  <c r="L92" i="24"/>
  <c r="N92" i="24" s="1"/>
  <c r="B92" i="24"/>
  <c r="Z91" i="24"/>
  <c r="X91" i="24"/>
  <c r="N91" i="24"/>
  <c r="L91" i="24"/>
  <c r="B91" i="24"/>
  <c r="X90" i="24"/>
  <c r="Z90" i="24" s="1"/>
  <c r="N90" i="24"/>
  <c r="L90" i="24"/>
  <c r="B90" i="24"/>
  <c r="X89" i="24"/>
  <c r="Z89" i="24" s="1"/>
  <c r="V89" i="24"/>
  <c r="N89" i="24"/>
  <c r="L89" i="24"/>
  <c r="B89" i="24"/>
  <c r="Z88" i="24"/>
  <c r="X88" i="24"/>
  <c r="L88" i="24"/>
  <c r="N88" i="24" s="1"/>
  <c r="B88" i="24"/>
  <c r="X87" i="24"/>
  <c r="Z87" i="24" s="1"/>
  <c r="L87" i="24"/>
  <c r="N87" i="24" s="1"/>
  <c r="B87" i="24"/>
  <c r="X86" i="24"/>
  <c r="Z86" i="24" s="1"/>
  <c r="N86" i="24"/>
  <c r="L86" i="24"/>
  <c r="B86" i="24"/>
  <c r="T85" i="24"/>
  <c r="P85" i="24"/>
  <c r="X85" i="24" s="1"/>
  <c r="Z85" i="24" s="1"/>
  <c r="H85" i="24"/>
  <c r="N85" i="24" s="1"/>
  <c r="D85" i="24"/>
  <c r="L85" i="24" s="1"/>
  <c r="B85" i="24"/>
  <c r="T84" i="24"/>
  <c r="P84" i="24"/>
  <c r="X84" i="24" s="1"/>
  <c r="H84" i="24"/>
  <c r="D84" i="24"/>
  <c r="L84" i="24" s="1"/>
  <c r="Z80" i="24"/>
  <c r="X80" i="24"/>
  <c r="R80" i="24"/>
  <c r="N80" i="24"/>
  <c r="L80" i="24"/>
  <c r="B80" i="24"/>
  <c r="Z79" i="24"/>
  <c r="X79" i="24"/>
  <c r="N79" i="24"/>
  <c r="L79" i="24"/>
  <c r="J79" i="24"/>
  <c r="B79" i="24"/>
  <c r="Z78" i="24"/>
  <c r="X78" i="24"/>
  <c r="N78" i="24"/>
  <c r="L78" i="24"/>
  <c r="B78" i="24"/>
  <c r="Z77" i="24"/>
  <c r="X77" i="24"/>
  <c r="N77" i="24"/>
  <c r="L77" i="24"/>
  <c r="B77" i="24"/>
  <c r="Z76" i="24"/>
  <c r="X76" i="24"/>
  <c r="R76" i="24"/>
  <c r="N76" i="24"/>
  <c r="L76" i="24"/>
  <c r="B76" i="24"/>
  <c r="Z75" i="24"/>
  <c r="X75" i="24"/>
  <c r="N75" i="24"/>
  <c r="L75" i="24"/>
  <c r="J75" i="24"/>
  <c r="B75" i="24"/>
  <c r="Z74" i="24"/>
  <c r="X74" i="24"/>
  <c r="N74" i="24"/>
  <c r="L74" i="24"/>
  <c r="B74" i="24"/>
  <c r="Z73" i="24"/>
  <c r="X73" i="24"/>
  <c r="N73" i="24"/>
  <c r="L73" i="24"/>
  <c r="B73" i="24"/>
  <c r="Z72" i="24"/>
  <c r="X72" i="24"/>
  <c r="R72" i="24"/>
  <c r="N72" i="24"/>
  <c r="L72" i="24"/>
  <c r="B72" i="24"/>
  <c r="Z71" i="24"/>
  <c r="X71" i="24"/>
  <c r="N71" i="24"/>
  <c r="L71" i="24"/>
  <c r="J71" i="24"/>
  <c r="B71" i="24"/>
  <c r="Z70" i="24"/>
  <c r="X70" i="24"/>
  <c r="N70" i="24"/>
  <c r="L70" i="24"/>
  <c r="B70" i="24"/>
  <c r="Z69" i="24"/>
  <c r="X69" i="24"/>
  <c r="N69" i="24"/>
  <c r="L69" i="24"/>
  <c r="B69" i="24"/>
  <c r="Z68" i="24"/>
  <c r="X68" i="24"/>
  <c r="N68" i="24"/>
  <c r="L68" i="24"/>
  <c r="B68" i="24"/>
  <c r="Z67" i="24"/>
  <c r="X67" i="24"/>
  <c r="N67" i="24"/>
  <c r="L67" i="24"/>
  <c r="J67" i="24"/>
  <c r="B67" i="24"/>
  <c r="Z66" i="24"/>
  <c r="X66" i="24"/>
  <c r="N66" i="24"/>
  <c r="L66" i="24"/>
  <c r="B66" i="24"/>
  <c r="Z65" i="24"/>
  <c r="X65" i="24"/>
  <c r="N65" i="24"/>
  <c r="L65" i="24"/>
  <c r="B65" i="24"/>
  <c r="Z64" i="24"/>
  <c r="X64" i="24"/>
  <c r="N64" i="24"/>
  <c r="L64" i="24"/>
  <c r="B64" i="24"/>
  <c r="Z63" i="24"/>
  <c r="X63" i="24"/>
  <c r="N63" i="24"/>
  <c r="L63" i="24"/>
  <c r="J63" i="24"/>
  <c r="B63" i="24"/>
  <c r="Z62" i="24"/>
  <c r="X62" i="24"/>
  <c r="V62" i="24"/>
  <c r="N62" i="24"/>
  <c r="L62" i="24"/>
  <c r="B62" i="24"/>
  <c r="Z61" i="24"/>
  <c r="X61" i="24"/>
  <c r="N61" i="24"/>
  <c r="L61" i="24"/>
  <c r="B61" i="24"/>
  <c r="Z60" i="24"/>
  <c r="X60" i="24"/>
  <c r="R60" i="24"/>
  <c r="N60" i="24"/>
  <c r="L60" i="24"/>
  <c r="B60" i="24"/>
  <c r="Z59" i="24"/>
  <c r="X59" i="24"/>
  <c r="N59" i="24"/>
  <c r="L59" i="24"/>
  <c r="J59" i="24"/>
  <c r="B59" i="24"/>
  <c r="Z58" i="24"/>
  <c r="X58" i="24"/>
  <c r="N58" i="24"/>
  <c r="L58" i="24"/>
  <c r="B58" i="24"/>
  <c r="Z57" i="24"/>
  <c r="X57" i="24"/>
  <c r="L57" i="24"/>
  <c r="N57" i="24" s="1"/>
  <c r="B57" i="24"/>
  <c r="X56" i="24"/>
  <c r="T56" i="24"/>
  <c r="P56" i="24"/>
  <c r="J56" i="24"/>
  <c r="H56" i="24"/>
  <c r="D56" i="24"/>
  <c r="L56" i="24" s="1"/>
  <c r="Z54" i="24"/>
  <c r="X54" i="24"/>
  <c r="P54" i="24"/>
  <c r="N54" i="24"/>
  <c r="L54" i="24"/>
  <c r="D54" i="24"/>
  <c r="B54" i="24"/>
  <c r="Z53" i="24"/>
  <c r="X53" i="24"/>
  <c r="P53" i="24"/>
  <c r="N53" i="24"/>
  <c r="L53" i="24"/>
  <c r="D53" i="24"/>
  <c r="B53" i="24"/>
  <c r="Z52" i="24"/>
  <c r="X52" i="24"/>
  <c r="P52" i="24"/>
  <c r="N52" i="24"/>
  <c r="L52" i="24"/>
  <c r="D52" i="24"/>
  <c r="B52" i="24"/>
  <c r="Z51" i="24"/>
  <c r="P51" i="24"/>
  <c r="X51" i="24" s="1"/>
  <c r="N51" i="24"/>
  <c r="L51" i="24"/>
  <c r="D51" i="24"/>
  <c r="B51" i="24"/>
  <c r="Z50" i="24"/>
  <c r="X50" i="24"/>
  <c r="P50" i="24"/>
  <c r="N50" i="24"/>
  <c r="L50" i="24"/>
  <c r="D50" i="24"/>
  <c r="B50" i="24"/>
  <c r="Z49" i="24"/>
  <c r="P49" i="24"/>
  <c r="X49" i="24" s="1"/>
  <c r="N49" i="24"/>
  <c r="L49" i="24"/>
  <c r="D49" i="24"/>
  <c r="B49" i="24"/>
  <c r="Z48" i="24"/>
  <c r="P48" i="24"/>
  <c r="X48" i="24" s="1"/>
  <c r="N48" i="24"/>
  <c r="L48" i="24"/>
  <c r="D48" i="24"/>
  <c r="B48" i="24"/>
  <c r="Z47" i="24"/>
  <c r="P47" i="24"/>
  <c r="X47" i="24" s="1"/>
  <c r="N47" i="24"/>
  <c r="L47" i="24"/>
  <c r="D47" i="24"/>
  <c r="B47" i="24"/>
  <c r="Z46" i="24"/>
  <c r="P46" i="24"/>
  <c r="X46" i="24" s="1"/>
  <c r="N46" i="24"/>
  <c r="D46" i="24"/>
  <c r="L46" i="24" s="1"/>
  <c r="B46" i="24"/>
  <c r="Z45" i="24"/>
  <c r="X45" i="24"/>
  <c r="P45" i="24"/>
  <c r="N45" i="24"/>
  <c r="D45" i="24"/>
  <c r="L45" i="24" s="1"/>
  <c r="B45" i="24"/>
  <c r="Z44" i="24"/>
  <c r="X44" i="24"/>
  <c r="P44" i="24"/>
  <c r="N44" i="24"/>
  <c r="D44" i="24"/>
  <c r="L44" i="24" s="1"/>
  <c r="B44" i="24"/>
  <c r="Z43" i="24"/>
  <c r="X43" i="24"/>
  <c r="P43" i="24"/>
  <c r="N43" i="24"/>
  <c r="D43" i="24"/>
  <c r="L43" i="24" s="1"/>
  <c r="B43" i="24"/>
  <c r="Z42" i="24"/>
  <c r="X42" i="24"/>
  <c r="P42" i="24"/>
  <c r="N42" i="24"/>
  <c r="L42" i="24"/>
  <c r="D42" i="24"/>
  <c r="B42" i="24"/>
  <c r="Z41" i="24"/>
  <c r="X41" i="24"/>
  <c r="P41" i="24"/>
  <c r="N41" i="24"/>
  <c r="L41" i="24"/>
  <c r="D41" i="24"/>
  <c r="B41" i="24"/>
  <c r="Z40" i="24"/>
  <c r="P40" i="24"/>
  <c r="X40" i="24" s="1"/>
  <c r="N40" i="24"/>
  <c r="L40" i="24"/>
  <c r="D40" i="24"/>
  <c r="B40" i="24"/>
  <c r="Z39" i="24"/>
  <c r="X39" i="24"/>
  <c r="P39" i="24"/>
  <c r="N39" i="24"/>
  <c r="L39" i="24"/>
  <c r="D39" i="24"/>
  <c r="B39" i="24"/>
  <c r="Z38" i="24"/>
  <c r="X38" i="24"/>
  <c r="P38" i="24"/>
  <c r="N38" i="24"/>
  <c r="L38" i="24"/>
  <c r="D38" i="24"/>
  <c r="B38" i="24"/>
  <c r="Z37" i="24"/>
  <c r="P37" i="24"/>
  <c r="X37" i="24" s="1"/>
  <c r="N37" i="24"/>
  <c r="D37" i="24"/>
  <c r="L37" i="24" s="1"/>
  <c r="B37" i="24"/>
  <c r="Z36" i="24"/>
  <c r="P36" i="24"/>
  <c r="X36" i="24" s="1"/>
  <c r="N36" i="24"/>
  <c r="D36" i="24"/>
  <c r="L36" i="24" s="1"/>
  <c r="B36" i="24"/>
  <c r="Z35" i="24"/>
  <c r="P35" i="24"/>
  <c r="X35" i="24" s="1"/>
  <c r="N35" i="24"/>
  <c r="L35" i="24"/>
  <c r="D35" i="24"/>
  <c r="B35" i="24"/>
  <c r="Z34" i="24"/>
  <c r="X34" i="24"/>
  <c r="P34" i="24"/>
  <c r="N34" i="24"/>
  <c r="L34" i="24"/>
  <c r="D34" i="24"/>
  <c r="B34" i="24"/>
  <c r="X33" i="24"/>
  <c r="Z33" i="24" s="1"/>
  <c r="P33" i="24"/>
  <c r="D33" i="24"/>
  <c r="L33" i="24" s="1"/>
  <c r="N33" i="24" s="1"/>
  <c r="B33" i="24"/>
  <c r="Z32" i="24"/>
  <c r="X32" i="24"/>
  <c r="P32" i="24"/>
  <c r="N32" i="24"/>
  <c r="D32" i="24"/>
  <c r="L32" i="24" s="1"/>
  <c r="B32" i="24"/>
  <c r="Z31" i="24"/>
  <c r="X31" i="24"/>
  <c r="P31" i="24"/>
  <c r="N31" i="24"/>
  <c r="L31" i="24"/>
  <c r="D31" i="24"/>
  <c r="B31" i="24"/>
  <c r="Z30" i="24"/>
  <c r="X30" i="24"/>
  <c r="P30" i="24"/>
  <c r="N30" i="24"/>
  <c r="L30" i="24"/>
  <c r="D30" i="24"/>
  <c r="B30" i="24"/>
  <c r="Z29" i="24"/>
  <c r="P29" i="24"/>
  <c r="X29" i="24" s="1"/>
  <c r="N29" i="24"/>
  <c r="D29" i="24"/>
  <c r="L29" i="24" s="1"/>
  <c r="B29" i="24"/>
  <c r="Z28" i="24"/>
  <c r="X28" i="24"/>
  <c r="P28" i="24"/>
  <c r="N28" i="24"/>
  <c r="L28" i="24"/>
  <c r="D28" i="24"/>
  <c r="B28" i="24"/>
  <c r="Z27" i="24"/>
  <c r="X27" i="24"/>
  <c r="P27" i="24"/>
  <c r="N27" i="24"/>
  <c r="L27" i="24"/>
  <c r="D27" i="24"/>
  <c r="B27" i="24"/>
  <c r="Z26" i="24"/>
  <c r="X26" i="24"/>
  <c r="P26" i="24"/>
  <c r="N26" i="24"/>
  <c r="D26" i="24"/>
  <c r="L26" i="24" s="1"/>
  <c r="B26" i="24"/>
  <c r="Z25" i="24"/>
  <c r="X25" i="24"/>
  <c r="P25" i="24"/>
  <c r="N25" i="24"/>
  <c r="L25" i="24"/>
  <c r="D25" i="24"/>
  <c r="B25" i="24"/>
  <c r="Z24" i="24"/>
  <c r="P24" i="24"/>
  <c r="X24" i="24" s="1"/>
  <c r="N24" i="24"/>
  <c r="L24" i="24"/>
  <c r="D24" i="24"/>
  <c r="B24" i="24"/>
  <c r="Z23" i="24"/>
  <c r="P23" i="24"/>
  <c r="X23" i="24" s="1"/>
  <c r="N23" i="24"/>
  <c r="L23" i="24"/>
  <c r="D23" i="24"/>
  <c r="B23" i="24"/>
  <c r="Z22" i="24"/>
  <c r="X22" i="24"/>
  <c r="P22" i="24"/>
  <c r="N22" i="24"/>
  <c r="L22" i="24"/>
  <c r="D22" i="24"/>
  <c r="B22" i="24"/>
  <c r="Z21" i="24"/>
  <c r="X21" i="24"/>
  <c r="P21" i="24"/>
  <c r="N21" i="24"/>
  <c r="D21" i="24"/>
  <c r="L21" i="24" s="1"/>
  <c r="B21" i="24"/>
  <c r="Z20" i="24"/>
  <c r="P20" i="24"/>
  <c r="X20" i="24" s="1"/>
  <c r="N20" i="24"/>
  <c r="D20" i="24"/>
  <c r="L20" i="24" s="1"/>
  <c r="B20" i="24"/>
  <c r="Z19" i="24"/>
  <c r="X19" i="24"/>
  <c r="P19" i="24"/>
  <c r="N19" i="24"/>
  <c r="D19" i="24"/>
  <c r="L19" i="24" s="1"/>
  <c r="B19" i="24"/>
  <c r="Z18" i="24"/>
  <c r="X18" i="24"/>
  <c r="P18" i="24"/>
  <c r="N18" i="24"/>
  <c r="L18" i="24"/>
  <c r="D18" i="24"/>
  <c r="B18" i="24"/>
  <c r="Z17" i="24"/>
  <c r="X17" i="24"/>
  <c r="P17" i="24"/>
  <c r="N17" i="24"/>
  <c r="L17" i="24"/>
  <c r="D17" i="24"/>
  <c r="B17" i="24"/>
  <c r="Z16" i="24"/>
  <c r="P16" i="24"/>
  <c r="X16" i="24" s="1"/>
  <c r="N16" i="24"/>
  <c r="L16" i="24"/>
  <c r="D16" i="24"/>
  <c r="B16" i="24"/>
  <c r="Z15" i="24"/>
  <c r="X15" i="24"/>
  <c r="P15" i="24"/>
  <c r="P12" i="24" s="1"/>
  <c r="R64" i="24" s="1"/>
  <c r="N15" i="24"/>
  <c r="L15" i="24"/>
  <c r="D15" i="24"/>
  <c r="B15" i="24"/>
  <c r="Z14" i="24"/>
  <c r="X14" i="24"/>
  <c r="P14" i="24"/>
  <c r="N14" i="24"/>
  <c r="L14" i="24"/>
  <c r="D14" i="24"/>
  <c r="B14" i="24"/>
  <c r="P13" i="24"/>
  <c r="X13" i="24" s="1"/>
  <c r="Z13" i="24" s="1"/>
  <c r="L13" i="24"/>
  <c r="N13" i="24" s="1"/>
  <c r="D13" i="24"/>
  <c r="B13" i="24"/>
  <c r="T12" i="24"/>
  <c r="V92" i="24" s="1"/>
  <c r="H12" i="24"/>
  <c r="D12" i="24"/>
  <c r="F92" i="24" s="1"/>
  <c r="D4" i="24"/>
  <c r="X120" i="21"/>
  <c r="Z120" i="21" s="1"/>
  <c r="L120" i="21"/>
  <c r="N120" i="21" s="1"/>
  <c r="J120" i="21"/>
  <c r="Z116" i="21"/>
  <c r="T116" i="21"/>
  <c r="P116" i="21"/>
  <c r="H116" i="21"/>
  <c r="N116" i="21" s="1"/>
  <c r="D116" i="21"/>
  <c r="L116" i="21" s="1"/>
  <c r="Z114" i="21"/>
  <c r="X114" i="21"/>
  <c r="V114" i="21"/>
  <c r="N114" i="21"/>
  <c r="L114" i="21"/>
  <c r="B114" i="21"/>
  <c r="X113" i="21"/>
  <c r="V113" i="21"/>
  <c r="T113" i="21"/>
  <c r="Z113" i="21" s="1"/>
  <c r="P113" i="21"/>
  <c r="L113" i="21"/>
  <c r="N113" i="21" s="1"/>
  <c r="H113" i="21"/>
  <c r="D113" i="21"/>
  <c r="B113" i="21"/>
  <c r="X112" i="21"/>
  <c r="Z112" i="21" s="1"/>
  <c r="V112" i="21"/>
  <c r="N112" i="21"/>
  <c r="L112" i="21"/>
  <c r="J112" i="21"/>
  <c r="B112" i="21"/>
  <c r="T111" i="21"/>
  <c r="P111" i="21"/>
  <c r="X111" i="21" s="1"/>
  <c r="Z111" i="21" s="1"/>
  <c r="L111" i="21"/>
  <c r="H111" i="21"/>
  <c r="N111" i="21" s="1"/>
  <c r="D111" i="21"/>
  <c r="B111" i="21"/>
  <c r="Z110" i="21"/>
  <c r="X110" i="21"/>
  <c r="N110" i="21"/>
  <c r="L110" i="21"/>
  <c r="J110" i="21"/>
  <c r="B110" i="21"/>
  <c r="V109" i="21"/>
  <c r="T109" i="21"/>
  <c r="P109" i="21"/>
  <c r="H109" i="21"/>
  <c r="N109" i="21" s="1"/>
  <c r="D109" i="21"/>
  <c r="L109" i="21" s="1"/>
  <c r="B109" i="21"/>
  <c r="X108" i="21"/>
  <c r="Z108" i="21" s="1"/>
  <c r="V108" i="21"/>
  <c r="L108" i="21"/>
  <c r="N108" i="21" s="1"/>
  <c r="B108" i="21"/>
  <c r="Z107" i="21"/>
  <c r="X107" i="21"/>
  <c r="T107" i="21"/>
  <c r="P107" i="21"/>
  <c r="L107" i="21"/>
  <c r="N107" i="21" s="1"/>
  <c r="H107" i="21"/>
  <c r="D107" i="21"/>
  <c r="B107" i="21"/>
  <c r="Z106" i="21"/>
  <c r="X106" i="21"/>
  <c r="N106" i="21"/>
  <c r="L106" i="21"/>
  <c r="B106" i="21"/>
  <c r="X105" i="21"/>
  <c r="Z105" i="21" s="1"/>
  <c r="N105" i="21"/>
  <c r="L105" i="21"/>
  <c r="B105" i="21"/>
  <c r="Z104" i="21"/>
  <c r="X104" i="21"/>
  <c r="V104" i="21"/>
  <c r="N104" i="21"/>
  <c r="L104" i="21"/>
  <c r="B104" i="21"/>
  <c r="X103" i="21"/>
  <c r="Z103" i="21" s="1"/>
  <c r="V103" i="21"/>
  <c r="N103" i="21"/>
  <c r="L103" i="21"/>
  <c r="J103" i="21"/>
  <c r="B103" i="21"/>
  <c r="Z102" i="21"/>
  <c r="X102" i="21"/>
  <c r="N102" i="21"/>
  <c r="L102" i="21"/>
  <c r="J102" i="21"/>
  <c r="B102" i="21"/>
  <c r="X101" i="21"/>
  <c r="Z101" i="21" s="1"/>
  <c r="N101" i="21"/>
  <c r="L101" i="21"/>
  <c r="B101" i="21"/>
  <c r="Z100" i="21"/>
  <c r="X100" i="21"/>
  <c r="N100" i="21"/>
  <c r="L100" i="21"/>
  <c r="B100" i="21"/>
  <c r="Z99" i="21"/>
  <c r="X99" i="21"/>
  <c r="N99" i="21"/>
  <c r="L99" i="21"/>
  <c r="J99" i="21"/>
  <c r="B99" i="21"/>
  <c r="Z98" i="21"/>
  <c r="X98" i="21"/>
  <c r="N98" i="21"/>
  <c r="L98" i="21"/>
  <c r="J98" i="21"/>
  <c r="B98" i="21"/>
  <c r="X97" i="21"/>
  <c r="Z97" i="21" s="1"/>
  <c r="T97" i="21"/>
  <c r="P97" i="21"/>
  <c r="H97" i="21"/>
  <c r="D97" i="21"/>
  <c r="B97" i="21"/>
  <c r="Z96" i="21"/>
  <c r="X96" i="21"/>
  <c r="L96" i="21"/>
  <c r="N96" i="21" s="1"/>
  <c r="B96" i="21"/>
  <c r="V95" i="21"/>
  <c r="T95" i="21"/>
  <c r="P95" i="21"/>
  <c r="X95" i="21" s="1"/>
  <c r="H95" i="21"/>
  <c r="D95" i="21"/>
  <c r="L95" i="21" s="1"/>
  <c r="B95" i="21"/>
  <c r="X94" i="21"/>
  <c r="Z94" i="21" s="1"/>
  <c r="V94" i="21"/>
  <c r="N94" i="21"/>
  <c r="L94" i="21"/>
  <c r="B94" i="21"/>
  <c r="X93" i="21"/>
  <c r="Z93" i="21" s="1"/>
  <c r="N93" i="21"/>
  <c r="L93" i="21"/>
  <c r="B93" i="21"/>
  <c r="X92" i="21"/>
  <c r="Z92" i="21" s="1"/>
  <c r="N92" i="21"/>
  <c r="L92" i="21"/>
  <c r="B92" i="21"/>
  <c r="X91" i="21"/>
  <c r="Z91" i="21" s="1"/>
  <c r="N91" i="21"/>
  <c r="L91" i="21"/>
  <c r="J91" i="21"/>
  <c r="B91" i="21"/>
  <c r="Z90" i="21"/>
  <c r="X90" i="21"/>
  <c r="V90" i="21"/>
  <c r="N90" i="21"/>
  <c r="L90" i="21"/>
  <c r="B90" i="21"/>
  <c r="T89" i="21"/>
  <c r="P89" i="21"/>
  <c r="X89" i="21" s="1"/>
  <c r="Z89" i="21" s="1"/>
  <c r="L89" i="21"/>
  <c r="N89" i="21" s="1"/>
  <c r="H89" i="21"/>
  <c r="D89" i="21"/>
  <c r="B89" i="21"/>
  <c r="Z88" i="21"/>
  <c r="X88" i="21"/>
  <c r="N88" i="21"/>
  <c r="L88" i="21"/>
  <c r="B88" i="21"/>
  <c r="Z87" i="21"/>
  <c r="X87" i="21"/>
  <c r="N87" i="21"/>
  <c r="L87" i="21"/>
  <c r="J87" i="21"/>
  <c r="B87" i="21"/>
  <c r="T86" i="21"/>
  <c r="P86" i="21"/>
  <c r="X86" i="21" s="1"/>
  <c r="Z86" i="21" s="1"/>
  <c r="H86" i="21"/>
  <c r="D86" i="21"/>
  <c r="L86" i="21" s="1"/>
  <c r="B86" i="21"/>
  <c r="Z85" i="21"/>
  <c r="X85" i="21"/>
  <c r="L85" i="21"/>
  <c r="N85" i="21" s="1"/>
  <c r="B85" i="21"/>
  <c r="Z84" i="21"/>
  <c r="X84" i="21"/>
  <c r="N84" i="21"/>
  <c r="L84" i="21"/>
  <c r="B84" i="21"/>
  <c r="Z83" i="21"/>
  <c r="X83" i="21"/>
  <c r="V83" i="21"/>
  <c r="N83" i="21"/>
  <c r="L83" i="21"/>
  <c r="B83" i="21"/>
  <c r="V82" i="21"/>
  <c r="T82" i="21"/>
  <c r="Z82" i="21" s="1"/>
  <c r="P82" i="21"/>
  <c r="X82" i="21" s="1"/>
  <c r="N82" i="21"/>
  <c r="L82" i="21"/>
  <c r="H82" i="21"/>
  <c r="D82" i="21"/>
  <c r="B82" i="21"/>
  <c r="X81" i="21"/>
  <c r="Z81" i="21" s="1"/>
  <c r="L81" i="21"/>
  <c r="N81" i="21" s="1"/>
  <c r="B81" i="21"/>
  <c r="T80" i="21"/>
  <c r="P80" i="21"/>
  <c r="X80" i="21" s="1"/>
  <c r="L80" i="21"/>
  <c r="J80" i="21"/>
  <c r="H80" i="21"/>
  <c r="D80" i="21"/>
  <c r="B80" i="21"/>
  <c r="Z79" i="21"/>
  <c r="X79" i="21"/>
  <c r="N79" i="21"/>
  <c r="L79" i="21"/>
  <c r="J79" i="21"/>
  <c r="B79" i="21"/>
  <c r="Z78" i="21"/>
  <c r="T78" i="21"/>
  <c r="P78" i="21"/>
  <c r="X78" i="21" s="1"/>
  <c r="H78" i="21"/>
  <c r="N78" i="21" s="1"/>
  <c r="D78" i="21"/>
  <c r="B78" i="21"/>
  <c r="Z77" i="21"/>
  <c r="X77" i="21"/>
  <c r="L77" i="21"/>
  <c r="N77" i="21" s="1"/>
  <c r="B77" i="21"/>
  <c r="Z76" i="21"/>
  <c r="X76" i="21"/>
  <c r="T76" i="21"/>
  <c r="P76" i="21"/>
  <c r="J76" i="21"/>
  <c r="H76" i="21"/>
  <c r="N76" i="21" s="1"/>
  <c r="D76" i="21"/>
  <c r="L76" i="21" s="1"/>
  <c r="B76" i="21"/>
  <c r="X75" i="21"/>
  <c r="Z75" i="21" s="1"/>
  <c r="N75" i="21"/>
  <c r="L75" i="21"/>
  <c r="J75" i="21"/>
  <c r="B75" i="21"/>
  <c r="X74" i="21"/>
  <c r="V74" i="21"/>
  <c r="T74" i="21"/>
  <c r="P74" i="21"/>
  <c r="H74" i="21"/>
  <c r="N74" i="21" s="1"/>
  <c r="D74" i="21"/>
  <c r="L74" i="21" s="1"/>
  <c r="B74" i="21"/>
  <c r="X73" i="21"/>
  <c r="Z73" i="21" s="1"/>
  <c r="N73" i="21"/>
  <c r="L73" i="21"/>
  <c r="B73" i="21"/>
  <c r="T72" i="21"/>
  <c r="P72" i="21"/>
  <c r="H72" i="21"/>
  <c r="D72" i="21"/>
  <c r="L72" i="21" s="1"/>
  <c r="N72" i="21" s="1"/>
  <c r="B72" i="21"/>
  <c r="Z71" i="21"/>
  <c r="X71" i="21"/>
  <c r="V71" i="21"/>
  <c r="N71" i="21"/>
  <c r="L71" i="21"/>
  <c r="B71" i="21"/>
  <c r="V70" i="21"/>
  <c r="T70" i="21"/>
  <c r="Z70" i="21" s="1"/>
  <c r="P70" i="21"/>
  <c r="X70" i="21" s="1"/>
  <c r="N70" i="21"/>
  <c r="L70" i="21"/>
  <c r="H70" i="21"/>
  <c r="D70" i="21"/>
  <c r="B70" i="21"/>
  <c r="X69" i="21"/>
  <c r="Z69" i="21" s="1"/>
  <c r="L69" i="21"/>
  <c r="N69" i="21" s="1"/>
  <c r="B69" i="21"/>
  <c r="T68" i="21"/>
  <c r="Z68" i="21" s="1"/>
  <c r="P68" i="21"/>
  <c r="X68" i="21" s="1"/>
  <c r="L68" i="21"/>
  <c r="J68" i="21"/>
  <c r="H68" i="21"/>
  <c r="D68" i="21"/>
  <c r="B68" i="21"/>
  <c r="Z67" i="21"/>
  <c r="X67" i="21"/>
  <c r="N67" i="21"/>
  <c r="L67" i="21"/>
  <c r="J67" i="21"/>
  <c r="B67" i="21"/>
  <c r="T66" i="21"/>
  <c r="P66" i="21"/>
  <c r="X66" i="21" s="1"/>
  <c r="Z66" i="21" s="1"/>
  <c r="H66" i="21"/>
  <c r="D66" i="21"/>
  <c r="L66" i="21" s="1"/>
  <c r="B66" i="21"/>
  <c r="Z65" i="21"/>
  <c r="X65" i="21"/>
  <c r="N65" i="21"/>
  <c r="L65" i="21"/>
  <c r="B65" i="21"/>
  <c r="Z64" i="21"/>
  <c r="X64" i="21"/>
  <c r="T64" i="21"/>
  <c r="P64" i="21"/>
  <c r="J64" i="21"/>
  <c r="H64" i="21"/>
  <c r="N64" i="21" s="1"/>
  <c r="D64" i="21"/>
  <c r="L64" i="21" s="1"/>
  <c r="B64" i="21"/>
  <c r="X63" i="21"/>
  <c r="Z63" i="21" s="1"/>
  <c r="N63" i="21"/>
  <c r="L63" i="21"/>
  <c r="J63" i="21"/>
  <c r="B63" i="21"/>
  <c r="X62" i="21"/>
  <c r="Z62" i="21" s="1"/>
  <c r="V62" i="21"/>
  <c r="N62" i="21"/>
  <c r="L62" i="21"/>
  <c r="B62" i="21"/>
  <c r="X61" i="21"/>
  <c r="Z61" i="21" s="1"/>
  <c r="N61" i="21"/>
  <c r="L61" i="21"/>
  <c r="B61" i="21"/>
  <c r="T60" i="21"/>
  <c r="P60" i="21"/>
  <c r="X60" i="21" s="1"/>
  <c r="L60" i="21"/>
  <c r="J60" i="21"/>
  <c r="H60" i="21"/>
  <c r="N60" i="21" s="1"/>
  <c r="D60" i="21"/>
  <c r="B60" i="21"/>
  <c r="Z59" i="21"/>
  <c r="X59" i="21"/>
  <c r="N59" i="21"/>
  <c r="L59" i="21"/>
  <c r="J59" i="21"/>
  <c r="B59" i="21"/>
  <c r="T58" i="21"/>
  <c r="P58" i="21"/>
  <c r="X58" i="21" s="1"/>
  <c r="Z58" i="21" s="1"/>
  <c r="H58" i="21"/>
  <c r="D58" i="21"/>
  <c r="L58" i="21" s="1"/>
  <c r="B58" i="21"/>
  <c r="Z57" i="21"/>
  <c r="X57" i="21"/>
  <c r="L57" i="21"/>
  <c r="N57" i="21" s="1"/>
  <c r="B57" i="21"/>
  <c r="Z56" i="21"/>
  <c r="X56" i="21"/>
  <c r="T56" i="21"/>
  <c r="P56" i="21"/>
  <c r="J56" i="21"/>
  <c r="H56" i="21"/>
  <c r="D56" i="21"/>
  <c r="L56" i="21" s="1"/>
  <c r="B56" i="21"/>
  <c r="X55" i="21"/>
  <c r="Z55" i="21" s="1"/>
  <c r="N55" i="21"/>
  <c r="L55" i="21"/>
  <c r="J55" i="21"/>
  <c r="B55" i="21"/>
  <c r="X54" i="21"/>
  <c r="V54" i="21"/>
  <c r="T54" i="21"/>
  <c r="P54" i="21"/>
  <c r="H54" i="21"/>
  <c r="D54" i="21"/>
  <c r="L54" i="21" s="1"/>
  <c r="B54" i="21"/>
  <c r="Z53" i="21"/>
  <c r="X53" i="21"/>
  <c r="N53" i="21"/>
  <c r="L53" i="21"/>
  <c r="B53" i="21"/>
  <c r="Z52" i="21"/>
  <c r="X52" i="21"/>
  <c r="N52" i="21"/>
  <c r="L52" i="21"/>
  <c r="B52" i="21"/>
  <c r="Z51" i="21"/>
  <c r="X51" i="21"/>
  <c r="V51" i="21"/>
  <c r="N51" i="21"/>
  <c r="L51" i="21"/>
  <c r="J51" i="21"/>
  <c r="B51" i="21"/>
  <c r="Z50" i="21"/>
  <c r="X50" i="21"/>
  <c r="N50" i="21"/>
  <c r="L50" i="21"/>
  <c r="J50" i="21"/>
  <c r="B50" i="21"/>
  <c r="Z49" i="21"/>
  <c r="X49" i="21"/>
  <c r="N49" i="21"/>
  <c r="L49" i="21"/>
  <c r="B49" i="21"/>
  <c r="Z48" i="21"/>
  <c r="X48" i="21"/>
  <c r="N48" i="21"/>
  <c r="L48" i="21"/>
  <c r="J48" i="21"/>
  <c r="B48" i="21"/>
  <c r="Z47" i="21"/>
  <c r="X47" i="21"/>
  <c r="V47" i="21"/>
  <c r="N47" i="21"/>
  <c r="L47" i="21"/>
  <c r="J47" i="21"/>
  <c r="B47" i="21"/>
  <c r="Z46" i="21"/>
  <c r="X46" i="21"/>
  <c r="N46" i="21"/>
  <c r="L46" i="21"/>
  <c r="J46" i="21"/>
  <c r="B46" i="21"/>
  <c r="Z45" i="21"/>
  <c r="X45" i="21"/>
  <c r="N45" i="21"/>
  <c r="L45" i="21"/>
  <c r="B45" i="21"/>
  <c r="Z44" i="21"/>
  <c r="X44" i="21"/>
  <c r="N44" i="21"/>
  <c r="L44" i="21"/>
  <c r="J44" i="21"/>
  <c r="B44" i="21"/>
  <c r="T43" i="21"/>
  <c r="P43" i="21"/>
  <c r="N43" i="21"/>
  <c r="L43" i="21"/>
  <c r="H43" i="21"/>
  <c r="J43" i="21" s="1"/>
  <c r="D43" i="21"/>
  <c r="B43" i="21"/>
  <c r="X42" i="21"/>
  <c r="Z42" i="21" s="1"/>
  <c r="V42" i="21"/>
  <c r="N42" i="21"/>
  <c r="L42" i="21"/>
  <c r="J42" i="21"/>
  <c r="B42" i="21"/>
  <c r="Z41" i="21"/>
  <c r="X41" i="21"/>
  <c r="L41" i="21"/>
  <c r="N41" i="21" s="1"/>
  <c r="J41" i="21"/>
  <c r="B41" i="21"/>
  <c r="Z40" i="21"/>
  <c r="X40" i="21"/>
  <c r="L40" i="21"/>
  <c r="N40" i="21" s="1"/>
  <c r="B40" i="21"/>
  <c r="Z39" i="21"/>
  <c r="X39" i="21"/>
  <c r="V39" i="21"/>
  <c r="N39" i="21"/>
  <c r="L39" i="21"/>
  <c r="B39" i="21"/>
  <c r="X38" i="21"/>
  <c r="Z38" i="21" s="1"/>
  <c r="V38" i="21"/>
  <c r="L38" i="21"/>
  <c r="N38" i="21" s="1"/>
  <c r="J38" i="21"/>
  <c r="B38" i="21"/>
  <c r="Z37" i="21"/>
  <c r="X37" i="21"/>
  <c r="L37" i="21"/>
  <c r="N37" i="21" s="1"/>
  <c r="J37" i="21"/>
  <c r="B37" i="21"/>
  <c r="Z36" i="21"/>
  <c r="X36" i="21"/>
  <c r="L36" i="21"/>
  <c r="N36" i="21" s="1"/>
  <c r="B36" i="21"/>
  <c r="Z35" i="21"/>
  <c r="X35" i="21"/>
  <c r="V35" i="21"/>
  <c r="L35" i="21"/>
  <c r="N35" i="21" s="1"/>
  <c r="B35" i="21"/>
  <c r="X34" i="21"/>
  <c r="Z34" i="21" s="1"/>
  <c r="V34" i="21"/>
  <c r="L34" i="21"/>
  <c r="N34" i="21" s="1"/>
  <c r="J34" i="21"/>
  <c r="B34" i="21"/>
  <c r="T33" i="21"/>
  <c r="P33" i="21"/>
  <c r="X33" i="21" s="1"/>
  <c r="H33" i="21"/>
  <c r="D33" i="21"/>
  <c r="L33" i="21" s="1"/>
  <c r="B33" i="21"/>
  <c r="T32" i="21"/>
  <c r="P32" i="21"/>
  <c r="X32" i="21" s="1"/>
  <c r="H32" i="21"/>
  <c r="D32" i="21"/>
  <c r="L32" i="21" s="1"/>
  <c r="T30" i="21"/>
  <c r="J30" i="21"/>
  <c r="H30" i="21"/>
  <c r="H118" i="21" s="1"/>
  <c r="Z28" i="21"/>
  <c r="X28" i="21"/>
  <c r="N28" i="21"/>
  <c r="L28" i="21"/>
  <c r="B28" i="21"/>
  <c r="Z27" i="21"/>
  <c r="X27" i="21"/>
  <c r="N27" i="21"/>
  <c r="L27" i="21"/>
  <c r="J27" i="21"/>
  <c r="B27" i="21"/>
  <c r="X26" i="21"/>
  <c r="Z26" i="21" s="1"/>
  <c r="V26" i="21"/>
  <c r="N26" i="21"/>
  <c r="L26" i="21"/>
  <c r="B26" i="21"/>
  <c r="V25" i="21"/>
  <c r="T25" i="21"/>
  <c r="P25" i="21"/>
  <c r="X25" i="21" s="1"/>
  <c r="Z25" i="21" s="1"/>
  <c r="N25" i="21"/>
  <c r="L25" i="21"/>
  <c r="J25" i="21"/>
  <c r="H25" i="21"/>
  <c r="D25" i="21"/>
  <c r="Z23" i="21"/>
  <c r="X23" i="21"/>
  <c r="P23" i="21"/>
  <c r="N23" i="21"/>
  <c r="D23" i="21"/>
  <c r="L23" i="21" s="1"/>
  <c r="B23" i="21"/>
  <c r="Z22" i="21"/>
  <c r="X22" i="21"/>
  <c r="P22" i="21"/>
  <c r="N22" i="21"/>
  <c r="D22" i="21"/>
  <c r="L22" i="21" s="1"/>
  <c r="B22" i="21"/>
  <c r="Z21" i="21"/>
  <c r="P21" i="21"/>
  <c r="X21" i="21" s="1"/>
  <c r="N21" i="21"/>
  <c r="L21" i="21"/>
  <c r="D21" i="21"/>
  <c r="B21" i="21"/>
  <c r="Z20" i="21"/>
  <c r="X20" i="21"/>
  <c r="P20" i="21"/>
  <c r="N20" i="21"/>
  <c r="L20" i="21"/>
  <c r="D20" i="21"/>
  <c r="B20" i="21"/>
  <c r="Z19" i="21"/>
  <c r="X19" i="21"/>
  <c r="P19" i="21"/>
  <c r="N19" i="21"/>
  <c r="L19" i="21"/>
  <c r="D19" i="21"/>
  <c r="B19" i="21"/>
  <c r="Z18" i="21"/>
  <c r="P18" i="21"/>
  <c r="X18" i="21" s="1"/>
  <c r="N18" i="21"/>
  <c r="D18" i="21"/>
  <c r="L18" i="21" s="1"/>
  <c r="B18" i="21"/>
  <c r="Z17" i="21"/>
  <c r="X17" i="21"/>
  <c r="P17" i="21"/>
  <c r="L17" i="21"/>
  <c r="N17" i="21" s="1"/>
  <c r="D17" i="21"/>
  <c r="B17" i="21"/>
  <c r="Z16" i="21"/>
  <c r="X16" i="21"/>
  <c r="P16" i="21"/>
  <c r="N16" i="21"/>
  <c r="L16" i="21"/>
  <c r="D16" i="21"/>
  <c r="B16" i="21"/>
  <c r="Z15" i="21"/>
  <c r="P15" i="21"/>
  <c r="X15" i="21" s="1"/>
  <c r="N15" i="21"/>
  <c r="D15" i="21"/>
  <c r="B15" i="21"/>
  <c r="Z14" i="21"/>
  <c r="P14" i="21"/>
  <c r="X14" i="21" s="1"/>
  <c r="N14" i="21"/>
  <c r="L14" i="21"/>
  <c r="D14" i="21"/>
  <c r="B14" i="21"/>
  <c r="P13" i="21"/>
  <c r="P12" i="21" s="1"/>
  <c r="N13" i="21"/>
  <c r="L13" i="21"/>
  <c r="D13" i="21"/>
  <c r="B13" i="21"/>
  <c r="T12" i="21"/>
  <c r="H12" i="21"/>
  <c r="J97" i="21" s="1"/>
  <c r="D4" i="21"/>
  <c r="Z301" i="18"/>
  <c r="X301" i="18"/>
  <c r="N301" i="18"/>
  <c r="L301" i="18"/>
  <c r="Z297" i="18"/>
  <c r="P297" i="18"/>
  <c r="X297" i="18" s="1"/>
  <c r="N297" i="18"/>
  <c r="L297" i="18"/>
  <c r="D297" i="18"/>
  <c r="B297" i="18"/>
  <c r="X296" i="18"/>
  <c r="Z296" i="18" s="1"/>
  <c r="P296" i="18"/>
  <c r="L296" i="18"/>
  <c r="N296" i="18" s="1"/>
  <c r="D296" i="18"/>
  <c r="B296" i="18"/>
  <c r="Z295" i="18"/>
  <c r="P295" i="18"/>
  <c r="X295" i="18" s="1"/>
  <c r="N295" i="18"/>
  <c r="L295" i="18"/>
  <c r="D295" i="18"/>
  <c r="B295" i="18"/>
  <c r="Z294" i="18"/>
  <c r="P294" i="18"/>
  <c r="X294" i="18" s="1"/>
  <c r="N294" i="18"/>
  <c r="D294" i="18"/>
  <c r="L294" i="18" s="1"/>
  <c r="B294" i="18"/>
  <c r="P293" i="18"/>
  <c r="X293" i="18" s="1"/>
  <c r="Z293" i="18" s="1"/>
  <c r="D293" i="18"/>
  <c r="L293" i="18" s="1"/>
  <c r="N293" i="18" s="1"/>
  <c r="B293" i="18"/>
  <c r="Z292" i="18"/>
  <c r="X292" i="18"/>
  <c r="P292" i="18"/>
  <c r="D292" i="18"/>
  <c r="L292" i="18" s="1"/>
  <c r="N292" i="18" s="1"/>
  <c r="B292" i="18"/>
  <c r="Z291" i="18"/>
  <c r="X291" i="18"/>
  <c r="P291" i="18"/>
  <c r="N291" i="18"/>
  <c r="L291" i="18"/>
  <c r="D291" i="18"/>
  <c r="B291" i="18"/>
  <c r="Z290" i="18"/>
  <c r="X290" i="18"/>
  <c r="P290" i="18"/>
  <c r="N290" i="18"/>
  <c r="D290" i="18"/>
  <c r="L290" i="18" s="1"/>
  <c r="B290" i="18"/>
  <c r="Z289" i="18"/>
  <c r="X289" i="18"/>
  <c r="P289" i="18"/>
  <c r="N289" i="18"/>
  <c r="D289" i="18"/>
  <c r="L289" i="18" s="1"/>
  <c r="B289" i="18"/>
  <c r="Z288" i="18"/>
  <c r="X288" i="18"/>
  <c r="P288" i="18"/>
  <c r="N288" i="18"/>
  <c r="D288" i="18"/>
  <c r="L288" i="18" s="1"/>
  <c r="B288" i="18"/>
  <c r="Z287" i="18"/>
  <c r="V287" i="18"/>
  <c r="P287" i="18"/>
  <c r="X287" i="18" s="1"/>
  <c r="N287" i="18"/>
  <c r="L287" i="18"/>
  <c r="D287" i="18"/>
  <c r="B287" i="18"/>
  <c r="Z286" i="18"/>
  <c r="P286" i="18"/>
  <c r="X286" i="18" s="1"/>
  <c r="N286" i="18"/>
  <c r="L286" i="18"/>
  <c r="D286" i="18"/>
  <c r="B286" i="18"/>
  <c r="T285" i="18"/>
  <c r="H285" i="18"/>
  <c r="X283" i="18"/>
  <c r="Z283" i="18" s="1"/>
  <c r="N283" i="18"/>
  <c r="L283" i="18"/>
  <c r="B283" i="18"/>
  <c r="T282" i="18"/>
  <c r="Z282" i="18" s="1"/>
  <c r="P282" i="18"/>
  <c r="X282" i="18" s="1"/>
  <c r="L282" i="18"/>
  <c r="J282" i="18"/>
  <c r="H282" i="18"/>
  <c r="D282" i="18"/>
  <c r="B282" i="18"/>
  <c r="Z281" i="18"/>
  <c r="X281" i="18"/>
  <c r="N281" i="18"/>
  <c r="L281" i="18"/>
  <c r="B281" i="18"/>
  <c r="X280" i="18"/>
  <c r="Z280" i="18" s="1"/>
  <c r="L280" i="18"/>
  <c r="N280" i="18" s="1"/>
  <c r="J280" i="18"/>
  <c r="B280" i="18"/>
  <c r="Z279" i="18"/>
  <c r="X279" i="18"/>
  <c r="N279" i="18"/>
  <c r="L279" i="18"/>
  <c r="B279" i="18"/>
  <c r="T278" i="18"/>
  <c r="P278" i="18"/>
  <c r="X278" i="18" s="1"/>
  <c r="Z278" i="18" s="1"/>
  <c r="H278" i="18"/>
  <c r="D278" i="18"/>
  <c r="L278" i="18" s="1"/>
  <c r="N278" i="18" s="1"/>
  <c r="B278" i="18"/>
  <c r="Z277" i="18"/>
  <c r="X277" i="18"/>
  <c r="N277" i="18"/>
  <c r="L277" i="18"/>
  <c r="B277" i="18"/>
  <c r="T276" i="18"/>
  <c r="Z276" i="18" s="1"/>
  <c r="P276" i="18"/>
  <c r="X276" i="18" s="1"/>
  <c r="N276" i="18"/>
  <c r="L276" i="18"/>
  <c r="H276" i="18"/>
  <c r="D276" i="18"/>
  <c r="B276" i="18"/>
  <c r="X275" i="18"/>
  <c r="Z275" i="18" s="1"/>
  <c r="L275" i="18"/>
  <c r="N275" i="18" s="1"/>
  <c r="B275" i="18"/>
  <c r="X274" i="18"/>
  <c r="Z274" i="18" s="1"/>
  <c r="N274" i="18"/>
  <c r="L274" i="18"/>
  <c r="B274" i="18"/>
  <c r="Z273" i="18"/>
  <c r="X273" i="18"/>
  <c r="T273" i="18"/>
  <c r="P273" i="18"/>
  <c r="H273" i="18"/>
  <c r="D273" i="18"/>
  <c r="L273" i="18" s="1"/>
  <c r="N273" i="18" s="1"/>
  <c r="B273" i="18"/>
  <c r="X272" i="18"/>
  <c r="Z272" i="18" s="1"/>
  <c r="L272" i="18"/>
  <c r="N272" i="18" s="1"/>
  <c r="B272" i="18"/>
  <c r="Z271" i="18"/>
  <c r="X271" i="18"/>
  <c r="N271" i="18"/>
  <c r="L271" i="18"/>
  <c r="B271" i="18"/>
  <c r="Z270" i="18"/>
  <c r="X270" i="18"/>
  <c r="N270" i="18"/>
  <c r="L270" i="18"/>
  <c r="B270" i="18"/>
  <c r="Z269" i="18"/>
  <c r="X269" i="18"/>
  <c r="N269" i="18"/>
  <c r="L269" i="18"/>
  <c r="B269" i="18"/>
  <c r="X268" i="18"/>
  <c r="Z268" i="18" s="1"/>
  <c r="L268" i="18"/>
  <c r="N268" i="18" s="1"/>
  <c r="J268" i="18"/>
  <c r="B268" i="18"/>
  <c r="X267" i="18"/>
  <c r="Z267" i="18" s="1"/>
  <c r="N267" i="18"/>
  <c r="L267" i="18"/>
  <c r="B267" i="18"/>
  <c r="Z266" i="18"/>
  <c r="X266" i="18"/>
  <c r="N266" i="18"/>
  <c r="L266" i="18"/>
  <c r="B266" i="18"/>
  <c r="T265" i="18"/>
  <c r="P265" i="18"/>
  <c r="N265" i="18"/>
  <c r="L265" i="18"/>
  <c r="H265" i="18"/>
  <c r="D265" i="18"/>
  <c r="B265" i="18"/>
  <c r="X264" i="18"/>
  <c r="Z264" i="18" s="1"/>
  <c r="L264" i="18"/>
  <c r="N264" i="18" s="1"/>
  <c r="B264" i="18"/>
  <c r="Z263" i="18"/>
  <c r="X263" i="18"/>
  <c r="L263" i="18"/>
  <c r="N263" i="18" s="1"/>
  <c r="B263" i="18"/>
  <c r="Z262" i="18"/>
  <c r="X262" i="18"/>
  <c r="T262" i="18"/>
  <c r="P262" i="18"/>
  <c r="H262" i="18"/>
  <c r="N262" i="18" s="1"/>
  <c r="D262" i="18"/>
  <c r="L262" i="18" s="1"/>
  <c r="B262" i="18"/>
  <c r="Z261" i="18"/>
  <c r="X261" i="18"/>
  <c r="N261" i="18"/>
  <c r="L261" i="18"/>
  <c r="B261" i="18"/>
  <c r="X260" i="18"/>
  <c r="Z260" i="18" s="1"/>
  <c r="N260" i="18"/>
  <c r="L260" i="18"/>
  <c r="B260" i="18"/>
  <c r="X259" i="18"/>
  <c r="Z259" i="18" s="1"/>
  <c r="N259" i="18"/>
  <c r="L259" i="18"/>
  <c r="B259" i="18"/>
  <c r="X258" i="18"/>
  <c r="Z258" i="18" s="1"/>
  <c r="N258" i="18"/>
  <c r="L258" i="18"/>
  <c r="B258" i="18"/>
  <c r="Z257" i="18"/>
  <c r="X257" i="18"/>
  <c r="T257" i="18"/>
  <c r="P257" i="18"/>
  <c r="L257" i="18"/>
  <c r="N257" i="18" s="1"/>
  <c r="H257" i="18"/>
  <c r="D257" i="18"/>
  <c r="B257" i="18"/>
  <c r="Z256" i="18"/>
  <c r="X256" i="18"/>
  <c r="N256" i="18"/>
  <c r="L256" i="18"/>
  <c r="J256" i="18"/>
  <c r="B256" i="18"/>
  <c r="Z255" i="18"/>
  <c r="X255" i="18"/>
  <c r="N255" i="18"/>
  <c r="L255" i="18"/>
  <c r="B255" i="18"/>
  <c r="Z254" i="18"/>
  <c r="X254" i="18"/>
  <c r="N254" i="18"/>
  <c r="L254" i="18"/>
  <c r="B254" i="18"/>
  <c r="Z253" i="18"/>
  <c r="X253" i="18"/>
  <c r="N253" i="18"/>
  <c r="L253" i="18"/>
  <c r="B253" i="18"/>
  <c r="T252" i="18"/>
  <c r="P252" i="18"/>
  <c r="X252" i="18" s="1"/>
  <c r="Z252" i="18" s="1"/>
  <c r="H252" i="18"/>
  <c r="D252" i="18"/>
  <c r="B252" i="18"/>
  <c r="Z251" i="18"/>
  <c r="X251" i="18"/>
  <c r="L251" i="18"/>
  <c r="N251" i="18" s="1"/>
  <c r="B251" i="18"/>
  <c r="Z250" i="18"/>
  <c r="X250" i="18"/>
  <c r="L250" i="18"/>
  <c r="N250" i="18" s="1"/>
  <c r="B250" i="18"/>
  <c r="Z249" i="18"/>
  <c r="X249" i="18"/>
  <c r="V249" i="18"/>
  <c r="N249" i="18"/>
  <c r="L249" i="18"/>
  <c r="B249" i="18"/>
  <c r="X248" i="18"/>
  <c r="Z248" i="18" s="1"/>
  <c r="N248" i="18"/>
  <c r="L248" i="18"/>
  <c r="B248" i="18"/>
  <c r="T247" i="18"/>
  <c r="P247" i="18"/>
  <c r="X247" i="18" s="1"/>
  <c r="Z247" i="18" s="1"/>
  <c r="H247" i="18"/>
  <c r="D247" i="18"/>
  <c r="L247" i="18" s="1"/>
  <c r="B247" i="18"/>
  <c r="X246" i="18"/>
  <c r="Z246" i="18" s="1"/>
  <c r="N246" i="18"/>
  <c r="L246" i="18"/>
  <c r="B246" i="18"/>
  <c r="Z245" i="18"/>
  <c r="X245" i="18"/>
  <c r="T245" i="18"/>
  <c r="P245" i="18"/>
  <c r="L245" i="18"/>
  <c r="N245" i="18" s="1"/>
  <c r="H245" i="18"/>
  <c r="D245" i="18"/>
  <c r="B245" i="18"/>
  <c r="Z244" i="18"/>
  <c r="X244" i="18"/>
  <c r="L244" i="18"/>
  <c r="N244" i="18" s="1"/>
  <c r="B244" i="18"/>
  <c r="Z243" i="18"/>
  <c r="X243" i="18"/>
  <c r="T243" i="18"/>
  <c r="P243" i="18"/>
  <c r="H243" i="18"/>
  <c r="D243" i="18"/>
  <c r="B243" i="18"/>
  <c r="Z242" i="18"/>
  <c r="X242" i="18"/>
  <c r="L242" i="18"/>
  <c r="N242" i="18" s="1"/>
  <c r="B242" i="18"/>
  <c r="T241" i="18"/>
  <c r="P241" i="18"/>
  <c r="H241" i="18"/>
  <c r="D241" i="18"/>
  <c r="L241" i="18" s="1"/>
  <c r="N241" i="18" s="1"/>
  <c r="B241" i="18"/>
  <c r="X240" i="18"/>
  <c r="Z240" i="18" s="1"/>
  <c r="V240" i="18"/>
  <c r="N240" i="18"/>
  <c r="L240" i="18"/>
  <c r="B240" i="18"/>
  <c r="X239" i="18"/>
  <c r="Z239" i="18" s="1"/>
  <c r="T239" i="18"/>
  <c r="P239" i="18"/>
  <c r="N239" i="18"/>
  <c r="L239" i="18"/>
  <c r="H239" i="18"/>
  <c r="D239" i="18"/>
  <c r="B239" i="18"/>
  <c r="Z238" i="18"/>
  <c r="X238" i="18"/>
  <c r="N238" i="18"/>
  <c r="L238" i="18"/>
  <c r="B238" i="18"/>
  <c r="T237" i="18"/>
  <c r="P237" i="18"/>
  <c r="L237" i="18"/>
  <c r="N237" i="18" s="1"/>
  <c r="H237" i="18"/>
  <c r="D237" i="18"/>
  <c r="B237" i="18"/>
  <c r="X236" i="18"/>
  <c r="Z236" i="18" s="1"/>
  <c r="L236" i="18"/>
  <c r="N236" i="18" s="1"/>
  <c r="B236" i="18"/>
  <c r="Z235" i="18"/>
  <c r="X235" i="18"/>
  <c r="L235" i="18"/>
  <c r="N235" i="18" s="1"/>
  <c r="B235" i="18"/>
  <c r="Z234" i="18"/>
  <c r="X234" i="18"/>
  <c r="T234" i="18"/>
  <c r="P234" i="18"/>
  <c r="H234" i="18"/>
  <c r="D234" i="18"/>
  <c r="L234" i="18" s="1"/>
  <c r="B234" i="18"/>
  <c r="Z233" i="18"/>
  <c r="X233" i="18"/>
  <c r="N233" i="18"/>
  <c r="L233" i="18"/>
  <c r="B233" i="18"/>
  <c r="X232" i="18"/>
  <c r="T232" i="18"/>
  <c r="Z232" i="18" s="1"/>
  <c r="P232" i="18"/>
  <c r="H232" i="18"/>
  <c r="D232" i="18"/>
  <c r="L232" i="18" s="1"/>
  <c r="B232" i="18"/>
  <c r="Z231" i="18"/>
  <c r="X231" i="18"/>
  <c r="N231" i="18"/>
  <c r="L231" i="18"/>
  <c r="B231" i="18"/>
  <c r="T230" i="18"/>
  <c r="P230" i="18"/>
  <c r="H230" i="18"/>
  <c r="D230" i="18"/>
  <c r="L230" i="18" s="1"/>
  <c r="N230" i="18" s="1"/>
  <c r="B230" i="18"/>
  <c r="Z229" i="18"/>
  <c r="X229" i="18"/>
  <c r="N229" i="18"/>
  <c r="L229" i="18"/>
  <c r="B229" i="18"/>
  <c r="X228" i="18"/>
  <c r="Z228" i="18" s="1"/>
  <c r="L228" i="18"/>
  <c r="N228" i="18" s="1"/>
  <c r="J228" i="18"/>
  <c r="B228" i="18"/>
  <c r="T227" i="18"/>
  <c r="P227" i="18"/>
  <c r="X227" i="18" s="1"/>
  <c r="Z227" i="18" s="1"/>
  <c r="H227" i="18"/>
  <c r="D227" i="18"/>
  <c r="L227" i="18" s="1"/>
  <c r="B227" i="18"/>
  <c r="Z226" i="18"/>
  <c r="X226" i="18"/>
  <c r="N226" i="18"/>
  <c r="L226" i="18"/>
  <c r="B226" i="18"/>
  <c r="Z225" i="18"/>
  <c r="X225" i="18"/>
  <c r="N225" i="18"/>
  <c r="L225" i="18"/>
  <c r="B225" i="18"/>
  <c r="X224" i="18"/>
  <c r="V224" i="18"/>
  <c r="T224" i="18"/>
  <c r="P224" i="18"/>
  <c r="H224" i="18"/>
  <c r="D224" i="18"/>
  <c r="L224" i="18" s="1"/>
  <c r="B224" i="18"/>
  <c r="X223" i="18"/>
  <c r="Z223" i="18" s="1"/>
  <c r="N223" i="18"/>
  <c r="L223" i="18"/>
  <c r="B223" i="18"/>
  <c r="Z222" i="18"/>
  <c r="X222" i="18"/>
  <c r="N222" i="18"/>
  <c r="L222" i="18"/>
  <c r="B222" i="18"/>
  <c r="Z221" i="18"/>
  <c r="X221" i="18"/>
  <c r="N221" i="18"/>
  <c r="L221" i="18"/>
  <c r="J221" i="18"/>
  <c r="B221" i="18"/>
  <c r="Z220" i="18"/>
  <c r="X220" i="18"/>
  <c r="L220" i="18"/>
  <c r="N220" i="18" s="1"/>
  <c r="B220" i="18"/>
  <c r="X219" i="18"/>
  <c r="Z219" i="18" s="1"/>
  <c r="T219" i="18"/>
  <c r="P219" i="18"/>
  <c r="J219" i="18"/>
  <c r="H219" i="18"/>
  <c r="D219" i="18"/>
  <c r="B219" i="18"/>
  <c r="Z218" i="18"/>
  <c r="X218" i="18"/>
  <c r="L218" i="18"/>
  <c r="N218" i="18" s="1"/>
  <c r="B218" i="18"/>
  <c r="V217" i="18"/>
  <c r="T217" i="18"/>
  <c r="P217" i="18"/>
  <c r="X217" i="18" s="1"/>
  <c r="H217" i="18"/>
  <c r="D217" i="18"/>
  <c r="L217" i="18" s="1"/>
  <c r="N217" i="18" s="1"/>
  <c r="B217" i="18"/>
  <c r="X216" i="18"/>
  <c r="Z216" i="18" s="1"/>
  <c r="N216" i="18"/>
  <c r="L216" i="18"/>
  <c r="B216" i="18"/>
  <c r="Z215" i="18"/>
  <c r="X215" i="18"/>
  <c r="L215" i="18"/>
  <c r="N215" i="18" s="1"/>
  <c r="B215" i="18"/>
  <c r="T214" i="18"/>
  <c r="P214" i="18"/>
  <c r="L214" i="18"/>
  <c r="H214" i="18"/>
  <c r="D214" i="18"/>
  <c r="B214" i="18"/>
  <c r="Z213" i="18"/>
  <c r="X213" i="18"/>
  <c r="V213" i="18"/>
  <c r="N213" i="18"/>
  <c r="L213" i="18"/>
  <c r="B213" i="18"/>
  <c r="T212" i="18"/>
  <c r="P212" i="18"/>
  <c r="X212" i="18" s="1"/>
  <c r="Z212" i="18" s="1"/>
  <c r="H212" i="18"/>
  <c r="D212" i="18"/>
  <c r="L212" i="18" s="1"/>
  <c r="N212" i="18" s="1"/>
  <c r="B212" i="18"/>
  <c r="Z211" i="18"/>
  <c r="X211" i="18"/>
  <c r="N211" i="18"/>
  <c r="L211" i="18"/>
  <c r="B211" i="18"/>
  <c r="Z210" i="18"/>
  <c r="X210" i="18"/>
  <c r="N210" i="18"/>
  <c r="L210" i="18"/>
  <c r="B210" i="18"/>
  <c r="Z209" i="18"/>
  <c r="X209" i="18"/>
  <c r="N209" i="18"/>
  <c r="L209" i="18"/>
  <c r="B209" i="18"/>
  <c r="X208" i="18"/>
  <c r="Z208" i="18" s="1"/>
  <c r="V208" i="18"/>
  <c r="L208" i="18"/>
  <c r="N208" i="18" s="1"/>
  <c r="B208" i="18"/>
  <c r="Z207" i="18"/>
  <c r="X207" i="18"/>
  <c r="N207" i="18"/>
  <c r="L207" i="18"/>
  <c r="B207" i="18"/>
  <c r="Z206" i="18"/>
  <c r="X206" i="18"/>
  <c r="L206" i="18"/>
  <c r="N206" i="18" s="1"/>
  <c r="B206" i="18"/>
  <c r="Z205" i="18"/>
  <c r="X205" i="18"/>
  <c r="N205" i="18"/>
  <c r="L205" i="18"/>
  <c r="B205" i="18"/>
  <c r="Z204" i="18"/>
  <c r="X204" i="18"/>
  <c r="N204" i="18"/>
  <c r="L204" i="18"/>
  <c r="B204" i="18"/>
  <c r="Z203" i="18"/>
  <c r="X203" i="18"/>
  <c r="N203" i="18"/>
  <c r="L203" i="18"/>
  <c r="B203" i="18"/>
  <c r="Z202" i="18"/>
  <c r="X202" i="18"/>
  <c r="L202" i="18"/>
  <c r="N202" i="18" s="1"/>
  <c r="B202" i="18"/>
  <c r="T201" i="18"/>
  <c r="P201" i="18"/>
  <c r="H201" i="18"/>
  <c r="D201" i="18"/>
  <c r="L201" i="18" s="1"/>
  <c r="N201" i="18" s="1"/>
  <c r="B201" i="18"/>
  <c r="X200" i="18"/>
  <c r="Z200" i="18" s="1"/>
  <c r="N200" i="18"/>
  <c r="L200" i="18"/>
  <c r="B200" i="18"/>
  <c r="X199" i="18"/>
  <c r="Z199" i="18" s="1"/>
  <c r="L199" i="18"/>
  <c r="N199" i="18" s="1"/>
  <c r="B199" i="18"/>
  <c r="X198" i="18"/>
  <c r="Z198" i="18" s="1"/>
  <c r="N198" i="18"/>
  <c r="L198" i="18"/>
  <c r="B198" i="18"/>
  <c r="Z197" i="18"/>
  <c r="X197" i="18"/>
  <c r="N197" i="18"/>
  <c r="L197" i="18"/>
  <c r="J197" i="18"/>
  <c r="B197" i="18"/>
  <c r="Z196" i="18"/>
  <c r="X196" i="18"/>
  <c r="N196" i="18"/>
  <c r="L196" i="18"/>
  <c r="B196" i="18"/>
  <c r="X195" i="18"/>
  <c r="Z195" i="18" s="1"/>
  <c r="L195" i="18"/>
  <c r="N195" i="18" s="1"/>
  <c r="B195" i="18"/>
  <c r="X194" i="18"/>
  <c r="Z194" i="18" s="1"/>
  <c r="N194" i="18"/>
  <c r="L194" i="18"/>
  <c r="B194" i="18"/>
  <c r="Z193" i="18"/>
  <c r="X193" i="18"/>
  <c r="N193" i="18"/>
  <c r="L193" i="18"/>
  <c r="J193" i="18"/>
  <c r="B193" i="18"/>
  <c r="X192" i="18"/>
  <c r="Z192" i="18" s="1"/>
  <c r="N192" i="18"/>
  <c r="L192" i="18"/>
  <c r="B192" i="18"/>
  <c r="X191" i="18"/>
  <c r="Z191" i="18" s="1"/>
  <c r="N191" i="18"/>
  <c r="L191" i="18"/>
  <c r="B191" i="18"/>
  <c r="T190" i="18"/>
  <c r="P190" i="18"/>
  <c r="X190" i="18" s="1"/>
  <c r="L190" i="18"/>
  <c r="H190" i="18"/>
  <c r="N190" i="18" s="1"/>
  <c r="D190" i="18"/>
  <c r="B190" i="18"/>
  <c r="T189" i="18"/>
  <c r="P189" i="18"/>
  <c r="H189" i="18"/>
  <c r="D189" i="18"/>
  <c r="L189" i="18" s="1"/>
  <c r="N189" i="18" s="1"/>
  <c r="Z185" i="18"/>
  <c r="X185" i="18"/>
  <c r="V185" i="18"/>
  <c r="N185" i="18"/>
  <c r="L185" i="18"/>
  <c r="B185" i="18"/>
  <c r="Z184" i="18"/>
  <c r="X184" i="18"/>
  <c r="N184" i="18"/>
  <c r="L184" i="18"/>
  <c r="B184" i="18"/>
  <c r="Z183" i="18"/>
  <c r="X183" i="18"/>
  <c r="N183" i="18"/>
  <c r="L183" i="18"/>
  <c r="B183" i="18"/>
  <c r="Z182" i="18"/>
  <c r="X182" i="18"/>
  <c r="N182" i="18"/>
  <c r="L182" i="18"/>
  <c r="B182" i="18"/>
  <c r="Z181" i="18"/>
  <c r="X181" i="18"/>
  <c r="V181" i="18"/>
  <c r="N181" i="18"/>
  <c r="L181" i="18"/>
  <c r="B181" i="18"/>
  <c r="Z180" i="18"/>
  <c r="X180" i="18"/>
  <c r="N180" i="18"/>
  <c r="L180" i="18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N177" i="18"/>
  <c r="L177" i="18"/>
  <c r="B177" i="18"/>
  <c r="Z176" i="18"/>
  <c r="X176" i="18"/>
  <c r="N176" i="18"/>
  <c r="L176" i="18"/>
  <c r="B176" i="18"/>
  <c r="Z175" i="18"/>
  <c r="X175" i="18"/>
  <c r="N175" i="18"/>
  <c r="L175" i="18"/>
  <c r="B175" i="18"/>
  <c r="Z174" i="18"/>
  <c r="X174" i="18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N171" i="18"/>
  <c r="L171" i="18"/>
  <c r="B171" i="18"/>
  <c r="Z170" i="18"/>
  <c r="X170" i="18"/>
  <c r="N170" i="18"/>
  <c r="L170" i="18"/>
  <c r="B170" i="18"/>
  <c r="Z169" i="18"/>
  <c r="X169" i="18"/>
  <c r="V169" i="18"/>
  <c r="N169" i="18"/>
  <c r="L169" i="18"/>
  <c r="J169" i="18"/>
  <c r="B169" i="18"/>
  <c r="Z168" i="18"/>
  <c r="X168" i="18"/>
  <c r="N168" i="18"/>
  <c r="L168" i="18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J165" i="18"/>
  <c r="B165" i="18"/>
  <c r="Z164" i="18"/>
  <c r="X164" i="18"/>
  <c r="N164" i="18"/>
  <c r="L164" i="18"/>
  <c r="J164" i="18"/>
  <c r="B164" i="18"/>
  <c r="Z163" i="18"/>
  <c r="X163" i="18"/>
  <c r="N163" i="18"/>
  <c r="L163" i="18"/>
  <c r="B163" i="18"/>
  <c r="Z162" i="18"/>
  <c r="X162" i="18"/>
  <c r="N162" i="18"/>
  <c r="L162" i="18"/>
  <c r="J162" i="18"/>
  <c r="B162" i="18"/>
  <c r="Z161" i="18"/>
  <c r="X161" i="18"/>
  <c r="N161" i="18"/>
  <c r="L161" i="18"/>
  <c r="B161" i="18"/>
  <c r="Z160" i="18"/>
  <c r="X160" i="18"/>
  <c r="N160" i="18"/>
  <c r="L160" i="18"/>
  <c r="J160" i="18"/>
  <c r="B160" i="18"/>
  <c r="Z159" i="18"/>
  <c r="X159" i="18"/>
  <c r="N159" i="18"/>
  <c r="L159" i="18"/>
  <c r="B159" i="18"/>
  <c r="Z158" i="18"/>
  <c r="X158" i="18"/>
  <c r="N158" i="18"/>
  <c r="L158" i="18"/>
  <c r="J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V155" i="18"/>
  <c r="N155" i="18"/>
  <c r="L155" i="18"/>
  <c r="B155" i="18"/>
  <c r="Z154" i="18"/>
  <c r="X154" i="18"/>
  <c r="N154" i="18"/>
  <c r="L154" i="18"/>
  <c r="B154" i="18"/>
  <c r="Z153" i="18"/>
  <c r="X153" i="18"/>
  <c r="V153" i="18"/>
  <c r="N153" i="18"/>
  <c r="L153" i="18"/>
  <c r="B153" i="18"/>
  <c r="Z152" i="18"/>
  <c r="X152" i="18"/>
  <c r="N152" i="18"/>
  <c r="L152" i="18"/>
  <c r="B152" i="18"/>
  <c r="Z151" i="18"/>
  <c r="X151" i="18"/>
  <c r="N151" i="18"/>
  <c r="L151" i="18"/>
  <c r="B151" i="18"/>
  <c r="Z150" i="18"/>
  <c r="X150" i="18"/>
  <c r="N150" i="18"/>
  <c r="L150" i="18"/>
  <c r="J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V147" i="18"/>
  <c r="N147" i="18"/>
  <c r="L147" i="18"/>
  <c r="B147" i="18"/>
  <c r="Z146" i="18"/>
  <c r="X146" i="18"/>
  <c r="N146" i="18"/>
  <c r="L146" i="18"/>
  <c r="B146" i="18"/>
  <c r="Z145" i="18"/>
  <c r="X145" i="18"/>
  <c r="V145" i="18"/>
  <c r="N145" i="18"/>
  <c r="L145" i="18"/>
  <c r="B145" i="18"/>
  <c r="Z144" i="18"/>
  <c r="X144" i="18"/>
  <c r="N144" i="18"/>
  <c r="L144" i="18"/>
  <c r="B144" i="18"/>
  <c r="Z143" i="18"/>
  <c r="X143" i="18"/>
  <c r="V143" i="18"/>
  <c r="N143" i="18"/>
  <c r="L143" i="18"/>
  <c r="B143" i="18"/>
  <c r="Z142" i="18"/>
  <c r="X142" i="18"/>
  <c r="V142" i="18"/>
  <c r="N142" i="18"/>
  <c r="L142" i="18"/>
  <c r="J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V139" i="18"/>
  <c r="N139" i="18"/>
  <c r="L139" i="18"/>
  <c r="B139" i="18"/>
  <c r="Z138" i="18"/>
  <c r="X138" i="18"/>
  <c r="V138" i="18"/>
  <c r="N138" i="18"/>
  <c r="L138" i="18"/>
  <c r="J138" i="18"/>
  <c r="B138" i="18"/>
  <c r="Z137" i="18"/>
  <c r="X137" i="18"/>
  <c r="N137" i="18"/>
  <c r="L137" i="18"/>
  <c r="B137" i="18"/>
  <c r="Z136" i="18"/>
  <c r="X136" i="18"/>
  <c r="V136" i="18"/>
  <c r="N136" i="18"/>
  <c r="L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V133" i="18"/>
  <c r="N133" i="18"/>
  <c r="L133" i="18"/>
  <c r="B133" i="18"/>
  <c r="Z132" i="18"/>
  <c r="X132" i="18"/>
  <c r="N132" i="18"/>
  <c r="L132" i="18"/>
  <c r="J132" i="18"/>
  <c r="B132" i="18"/>
  <c r="Z131" i="18"/>
  <c r="X131" i="18"/>
  <c r="V131" i="18"/>
  <c r="N131" i="18"/>
  <c r="L131" i="18"/>
  <c r="B131" i="18"/>
  <c r="Z130" i="18"/>
  <c r="X130" i="18"/>
  <c r="V130" i="18"/>
  <c r="N130" i="18"/>
  <c r="L130" i="18"/>
  <c r="B130" i="18"/>
  <c r="Z129" i="18"/>
  <c r="X129" i="18"/>
  <c r="V129" i="18"/>
  <c r="N129" i="18"/>
  <c r="L129" i="18"/>
  <c r="J129" i="18"/>
  <c r="B129" i="18"/>
  <c r="Z128" i="18"/>
  <c r="X128" i="18"/>
  <c r="V128" i="18"/>
  <c r="L128" i="18"/>
  <c r="N128" i="18" s="1"/>
  <c r="B128" i="18"/>
  <c r="X127" i="18"/>
  <c r="Z127" i="18" s="1"/>
  <c r="V127" i="18"/>
  <c r="T127" i="18"/>
  <c r="P127" i="18"/>
  <c r="J127" i="18"/>
  <c r="H127" i="18"/>
  <c r="D127" i="18"/>
  <c r="L127" i="18" s="1"/>
  <c r="Z125" i="18"/>
  <c r="X125" i="18"/>
  <c r="P125" i="18"/>
  <c r="N125" i="18"/>
  <c r="D125" i="18"/>
  <c r="L125" i="18" s="1"/>
  <c r="B125" i="18"/>
  <c r="Z124" i="18"/>
  <c r="P124" i="18"/>
  <c r="X124" i="18" s="1"/>
  <c r="N124" i="18"/>
  <c r="L124" i="18"/>
  <c r="D124" i="18"/>
  <c r="B124" i="18"/>
  <c r="Z123" i="18"/>
  <c r="X123" i="18"/>
  <c r="P123" i="18"/>
  <c r="N123" i="18"/>
  <c r="L123" i="18"/>
  <c r="D123" i="18"/>
  <c r="B123" i="18"/>
  <c r="Z122" i="18"/>
  <c r="P122" i="18"/>
  <c r="X122" i="18" s="1"/>
  <c r="N122" i="18"/>
  <c r="D122" i="18"/>
  <c r="L122" i="18" s="1"/>
  <c r="B122" i="18"/>
  <c r="Z121" i="18"/>
  <c r="X121" i="18"/>
  <c r="P121" i="18"/>
  <c r="N121" i="18"/>
  <c r="D121" i="18"/>
  <c r="L121" i="18" s="1"/>
  <c r="B121" i="18"/>
  <c r="Z120" i="18"/>
  <c r="X120" i="18"/>
  <c r="P120" i="18"/>
  <c r="N120" i="18"/>
  <c r="L120" i="18"/>
  <c r="D120" i="18"/>
  <c r="B120" i="18"/>
  <c r="Z119" i="18"/>
  <c r="P119" i="18"/>
  <c r="X119" i="18" s="1"/>
  <c r="N119" i="18"/>
  <c r="L119" i="18"/>
  <c r="D119" i="18"/>
  <c r="B119" i="18"/>
  <c r="Z118" i="18"/>
  <c r="P118" i="18"/>
  <c r="X118" i="18" s="1"/>
  <c r="N118" i="18"/>
  <c r="L118" i="18"/>
  <c r="D118" i="18"/>
  <c r="B118" i="18"/>
  <c r="Z117" i="18"/>
  <c r="P117" i="18"/>
  <c r="X117" i="18" s="1"/>
  <c r="N117" i="18"/>
  <c r="L117" i="18"/>
  <c r="D117" i="18"/>
  <c r="B117" i="18"/>
  <c r="Z116" i="18"/>
  <c r="P116" i="18"/>
  <c r="X116" i="18" s="1"/>
  <c r="N116" i="18"/>
  <c r="D116" i="18"/>
  <c r="L116" i="18" s="1"/>
  <c r="B116" i="18"/>
  <c r="Z115" i="18"/>
  <c r="X115" i="18"/>
  <c r="P115" i="18"/>
  <c r="N115" i="18"/>
  <c r="L115" i="18"/>
  <c r="D115" i="18"/>
  <c r="B115" i="18"/>
  <c r="Z114" i="18"/>
  <c r="P114" i="18"/>
  <c r="X114" i="18" s="1"/>
  <c r="N114" i="18"/>
  <c r="L114" i="18"/>
  <c r="D114" i="18"/>
  <c r="B114" i="18"/>
  <c r="Z113" i="18"/>
  <c r="P113" i="18"/>
  <c r="X113" i="18" s="1"/>
  <c r="N113" i="18"/>
  <c r="D113" i="18"/>
  <c r="L113" i="18" s="1"/>
  <c r="B113" i="18"/>
  <c r="Z112" i="18"/>
  <c r="P112" i="18"/>
  <c r="X112" i="18" s="1"/>
  <c r="N112" i="18"/>
  <c r="D112" i="18"/>
  <c r="L112" i="18" s="1"/>
  <c r="B112" i="18"/>
  <c r="Z111" i="18"/>
  <c r="X111" i="18"/>
  <c r="P111" i="18"/>
  <c r="N111" i="18"/>
  <c r="D111" i="18"/>
  <c r="L111" i="18" s="1"/>
  <c r="B111" i="18"/>
  <c r="Z110" i="18"/>
  <c r="P110" i="18"/>
  <c r="X110" i="18" s="1"/>
  <c r="N110" i="18"/>
  <c r="D110" i="18"/>
  <c r="L110" i="18" s="1"/>
  <c r="B110" i="18"/>
  <c r="Z109" i="18"/>
  <c r="X109" i="18"/>
  <c r="P109" i="18"/>
  <c r="N109" i="18"/>
  <c r="D109" i="18"/>
  <c r="L109" i="18" s="1"/>
  <c r="B109" i="18"/>
  <c r="Z108" i="18"/>
  <c r="X108" i="18"/>
  <c r="P108" i="18"/>
  <c r="N108" i="18"/>
  <c r="L108" i="18"/>
  <c r="D108" i="18"/>
  <c r="B108" i="18"/>
  <c r="Z107" i="18"/>
  <c r="P107" i="18"/>
  <c r="X107" i="18" s="1"/>
  <c r="N107" i="18"/>
  <c r="D107" i="18"/>
  <c r="L107" i="18" s="1"/>
  <c r="B107" i="18"/>
  <c r="Z106" i="18"/>
  <c r="X106" i="18"/>
  <c r="P106" i="18"/>
  <c r="N106" i="18"/>
  <c r="L106" i="18"/>
  <c r="D106" i="18"/>
  <c r="B106" i="18"/>
  <c r="Z105" i="18"/>
  <c r="X105" i="18"/>
  <c r="P105" i="18"/>
  <c r="N105" i="18"/>
  <c r="L105" i="18"/>
  <c r="D105" i="18"/>
  <c r="B105" i="18"/>
  <c r="Z104" i="18"/>
  <c r="P104" i="18"/>
  <c r="X104" i="18" s="1"/>
  <c r="N104" i="18"/>
  <c r="D104" i="18"/>
  <c r="L104" i="18" s="1"/>
  <c r="B104" i="18"/>
  <c r="Z103" i="18"/>
  <c r="P103" i="18"/>
  <c r="X103" i="18" s="1"/>
  <c r="N103" i="18"/>
  <c r="L103" i="18"/>
  <c r="D103" i="18"/>
  <c r="B103" i="18"/>
  <c r="Z102" i="18"/>
  <c r="P102" i="18"/>
  <c r="X102" i="18" s="1"/>
  <c r="N102" i="18"/>
  <c r="L102" i="18"/>
  <c r="D102" i="18"/>
  <c r="B102" i="18"/>
  <c r="Z101" i="18"/>
  <c r="P101" i="18"/>
  <c r="X101" i="18" s="1"/>
  <c r="N101" i="18"/>
  <c r="D101" i="18"/>
  <c r="L101" i="18" s="1"/>
  <c r="B101" i="18"/>
  <c r="Z100" i="18"/>
  <c r="P100" i="18"/>
  <c r="X100" i="18" s="1"/>
  <c r="N100" i="18"/>
  <c r="D100" i="18"/>
  <c r="L100" i="18" s="1"/>
  <c r="B100" i="18"/>
  <c r="Z99" i="18"/>
  <c r="X99" i="18"/>
  <c r="P99" i="18"/>
  <c r="N99" i="18"/>
  <c r="D99" i="18"/>
  <c r="L99" i="18" s="1"/>
  <c r="B99" i="18"/>
  <c r="Z98" i="18"/>
  <c r="P98" i="18"/>
  <c r="X98" i="18" s="1"/>
  <c r="N98" i="18"/>
  <c r="D98" i="18"/>
  <c r="L98" i="18" s="1"/>
  <c r="B98" i="18"/>
  <c r="Z97" i="18"/>
  <c r="X97" i="18"/>
  <c r="P97" i="18"/>
  <c r="N97" i="18"/>
  <c r="D97" i="18"/>
  <c r="L97" i="18" s="1"/>
  <c r="B97" i="18"/>
  <c r="Z96" i="18"/>
  <c r="X96" i="18"/>
  <c r="P96" i="18"/>
  <c r="N96" i="18"/>
  <c r="L96" i="18"/>
  <c r="D96" i="18"/>
  <c r="B96" i="18"/>
  <c r="Z95" i="18"/>
  <c r="P95" i="18"/>
  <c r="X95" i="18" s="1"/>
  <c r="N95" i="18"/>
  <c r="D95" i="18"/>
  <c r="L95" i="18" s="1"/>
  <c r="B95" i="18"/>
  <c r="Z94" i="18"/>
  <c r="X94" i="18"/>
  <c r="P94" i="18"/>
  <c r="N94" i="18"/>
  <c r="L94" i="18"/>
  <c r="D94" i="18"/>
  <c r="B94" i="18"/>
  <c r="Z93" i="18"/>
  <c r="X93" i="18"/>
  <c r="P93" i="18"/>
  <c r="N93" i="18"/>
  <c r="L93" i="18"/>
  <c r="D93" i="18"/>
  <c r="B93" i="18"/>
  <c r="Z92" i="18"/>
  <c r="P92" i="18"/>
  <c r="X92" i="18" s="1"/>
  <c r="N92" i="18"/>
  <c r="D92" i="18"/>
  <c r="L92" i="18" s="1"/>
  <c r="B92" i="18"/>
  <c r="Z91" i="18"/>
  <c r="P91" i="18"/>
  <c r="X91" i="18" s="1"/>
  <c r="N91" i="18"/>
  <c r="L91" i="18"/>
  <c r="D91" i="18"/>
  <c r="B91" i="18"/>
  <c r="Z90" i="18"/>
  <c r="P90" i="18"/>
  <c r="X90" i="18" s="1"/>
  <c r="N90" i="18"/>
  <c r="L90" i="18"/>
  <c r="D90" i="18"/>
  <c r="B90" i="18"/>
  <c r="Z89" i="18"/>
  <c r="P89" i="18"/>
  <c r="X89" i="18" s="1"/>
  <c r="N89" i="18"/>
  <c r="D89" i="18"/>
  <c r="L89" i="18" s="1"/>
  <c r="B89" i="18"/>
  <c r="Z88" i="18"/>
  <c r="P88" i="18"/>
  <c r="X88" i="18" s="1"/>
  <c r="N88" i="18"/>
  <c r="D88" i="18"/>
  <c r="L88" i="18" s="1"/>
  <c r="B88" i="18"/>
  <c r="Z87" i="18"/>
  <c r="X87" i="18"/>
  <c r="P87" i="18"/>
  <c r="N87" i="18"/>
  <c r="D87" i="18"/>
  <c r="L87" i="18" s="1"/>
  <c r="B87" i="18"/>
  <c r="Z86" i="18"/>
  <c r="P86" i="18"/>
  <c r="X86" i="18" s="1"/>
  <c r="N86" i="18"/>
  <c r="D86" i="18"/>
  <c r="L86" i="18" s="1"/>
  <c r="B86" i="18"/>
  <c r="Z85" i="18"/>
  <c r="X85" i="18"/>
  <c r="P85" i="18"/>
  <c r="N85" i="18"/>
  <c r="D85" i="18"/>
  <c r="L85" i="18" s="1"/>
  <c r="B85" i="18"/>
  <c r="Z84" i="18"/>
  <c r="X84" i="18"/>
  <c r="P84" i="18"/>
  <c r="N84" i="18"/>
  <c r="L84" i="18"/>
  <c r="D84" i="18"/>
  <c r="B84" i="18"/>
  <c r="Z83" i="18"/>
  <c r="P83" i="18"/>
  <c r="X83" i="18" s="1"/>
  <c r="N83" i="18"/>
  <c r="D83" i="18"/>
  <c r="L83" i="18" s="1"/>
  <c r="B83" i="18"/>
  <c r="Z82" i="18"/>
  <c r="X82" i="18"/>
  <c r="P82" i="18"/>
  <c r="N82" i="18"/>
  <c r="L82" i="18"/>
  <c r="D82" i="18"/>
  <c r="B82" i="18"/>
  <c r="Z81" i="18"/>
  <c r="X81" i="18"/>
  <c r="P81" i="18"/>
  <c r="N81" i="18"/>
  <c r="L81" i="18"/>
  <c r="D81" i="18"/>
  <c r="B81" i="18"/>
  <c r="Z80" i="18"/>
  <c r="P80" i="18"/>
  <c r="X80" i="18" s="1"/>
  <c r="N80" i="18"/>
  <c r="D80" i="18"/>
  <c r="L80" i="18" s="1"/>
  <c r="B80" i="18"/>
  <c r="Z79" i="18"/>
  <c r="P79" i="18"/>
  <c r="X79" i="18" s="1"/>
  <c r="N79" i="18"/>
  <c r="L79" i="18"/>
  <c r="D79" i="18"/>
  <c r="B79" i="18"/>
  <c r="Z78" i="18"/>
  <c r="P78" i="18"/>
  <c r="X78" i="18" s="1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P76" i="18"/>
  <c r="X76" i="18" s="1"/>
  <c r="N76" i="18"/>
  <c r="D76" i="18"/>
  <c r="L76" i="18" s="1"/>
  <c r="B76" i="18"/>
  <c r="Z75" i="18"/>
  <c r="X75" i="18"/>
  <c r="P75" i="18"/>
  <c r="N75" i="18"/>
  <c r="D75" i="18"/>
  <c r="L75" i="18" s="1"/>
  <c r="B75" i="18"/>
  <c r="Z74" i="18"/>
  <c r="P74" i="18"/>
  <c r="X74" i="18" s="1"/>
  <c r="N74" i="18"/>
  <c r="D74" i="18"/>
  <c r="L74" i="18" s="1"/>
  <c r="B74" i="18"/>
  <c r="Z73" i="18"/>
  <c r="X73" i="18"/>
  <c r="P73" i="18"/>
  <c r="N73" i="18"/>
  <c r="D73" i="18"/>
  <c r="L73" i="18" s="1"/>
  <c r="B73" i="18"/>
  <c r="Z72" i="18"/>
  <c r="X72" i="18"/>
  <c r="P72" i="18"/>
  <c r="N72" i="18"/>
  <c r="L72" i="18"/>
  <c r="D72" i="18"/>
  <c r="B72" i="18"/>
  <c r="Z71" i="18"/>
  <c r="P71" i="18"/>
  <c r="X71" i="18" s="1"/>
  <c r="N71" i="18"/>
  <c r="D71" i="18"/>
  <c r="L71" i="18" s="1"/>
  <c r="B71" i="18"/>
  <c r="Z70" i="18"/>
  <c r="X70" i="18"/>
  <c r="P70" i="18"/>
  <c r="N70" i="18"/>
  <c r="L70" i="18"/>
  <c r="D70" i="18"/>
  <c r="B70" i="18"/>
  <c r="Z69" i="18"/>
  <c r="X69" i="18"/>
  <c r="P69" i="18"/>
  <c r="N69" i="18"/>
  <c r="L69" i="18"/>
  <c r="D69" i="18"/>
  <c r="B69" i="18"/>
  <c r="Z68" i="18"/>
  <c r="P68" i="18"/>
  <c r="X68" i="18" s="1"/>
  <c r="N68" i="18"/>
  <c r="D68" i="18"/>
  <c r="L68" i="18" s="1"/>
  <c r="B68" i="18"/>
  <c r="Z67" i="18"/>
  <c r="P67" i="18"/>
  <c r="X67" i="18" s="1"/>
  <c r="N67" i="18"/>
  <c r="L67" i="18"/>
  <c r="D67" i="18"/>
  <c r="B67" i="18"/>
  <c r="Z66" i="18"/>
  <c r="P66" i="18"/>
  <c r="X66" i="18" s="1"/>
  <c r="N66" i="18"/>
  <c r="L66" i="18"/>
  <c r="D66" i="18"/>
  <c r="B66" i="18"/>
  <c r="Z65" i="18"/>
  <c r="P65" i="18"/>
  <c r="X65" i="18" s="1"/>
  <c r="N65" i="18"/>
  <c r="D65" i="18"/>
  <c r="L65" i="18" s="1"/>
  <c r="B65" i="18"/>
  <c r="Z64" i="18"/>
  <c r="P64" i="18"/>
  <c r="X64" i="18" s="1"/>
  <c r="N64" i="18"/>
  <c r="D64" i="18"/>
  <c r="L64" i="18" s="1"/>
  <c r="B64" i="18"/>
  <c r="Z63" i="18"/>
  <c r="X63" i="18"/>
  <c r="P63" i="18"/>
  <c r="N63" i="18"/>
  <c r="D63" i="18"/>
  <c r="L63" i="18" s="1"/>
  <c r="B63" i="18"/>
  <c r="Z62" i="18"/>
  <c r="P62" i="18"/>
  <c r="X62" i="18" s="1"/>
  <c r="N62" i="18"/>
  <c r="D62" i="18"/>
  <c r="L62" i="18" s="1"/>
  <c r="B62" i="18"/>
  <c r="Z61" i="18"/>
  <c r="X61" i="18"/>
  <c r="P61" i="18"/>
  <c r="N61" i="18"/>
  <c r="D61" i="18"/>
  <c r="L61" i="18" s="1"/>
  <c r="B61" i="18"/>
  <c r="Z60" i="18"/>
  <c r="X60" i="18"/>
  <c r="P60" i="18"/>
  <c r="N60" i="18"/>
  <c r="L60" i="18"/>
  <c r="D60" i="18"/>
  <c r="B60" i="18"/>
  <c r="Z59" i="18"/>
  <c r="P59" i="18"/>
  <c r="X59" i="18" s="1"/>
  <c r="N59" i="18"/>
  <c r="D59" i="18"/>
  <c r="L59" i="18" s="1"/>
  <c r="B59" i="18"/>
  <c r="Z58" i="18"/>
  <c r="X58" i="18"/>
  <c r="P58" i="18"/>
  <c r="N58" i="18"/>
  <c r="L58" i="18"/>
  <c r="D58" i="18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D56" i="18"/>
  <c r="L56" i="18" s="1"/>
  <c r="B56" i="18"/>
  <c r="Z55" i="18"/>
  <c r="P55" i="18"/>
  <c r="X55" i="18" s="1"/>
  <c r="N55" i="18"/>
  <c r="L55" i="18"/>
  <c r="D55" i="18"/>
  <c r="B55" i="18"/>
  <c r="Z54" i="18"/>
  <c r="P54" i="18"/>
  <c r="X54" i="18" s="1"/>
  <c r="N54" i="18"/>
  <c r="L54" i="18"/>
  <c r="D54" i="18"/>
  <c r="B54" i="18"/>
  <c r="Z53" i="18"/>
  <c r="P53" i="18"/>
  <c r="X53" i="18" s="1"/>
  <c r="N53" i="18"/>
  <c r="D53" i="18"/>
  <c r="L53" i="18" s="1"/>
  <c r="B53" i="18"/>
  <c r="Z52" i="18"/>
  <c r="P52" i="18"/>
  <c r="X52" i="18" s="1"/>
  <c r="N52" i="18"/>
  <c r="D52" i="18"/>
  <c r="L52" i="18" s="1"/>
  <c r="B52" i="18"/>
  <c r="Z51" i="18"/>
  <c r="X51" i="18"/>
  <c r="P51" i="18"/>
  <c r="N51" i="18"/>
  <c r="D51" i="18"/>
  <c r="L51" i="18" s="1"/>
  <c r="B51" i="18"/>
  <c r="P50" i="18"/>
  <c r="X50" i="18" s="1"/>
  <c r="Z50" i="18" s="1"/>
  <c r="N50" i="18"/>
  <c r="D50" i="18"/>
  <c r="L50" i="18" s="1"/>
  <c r="B50" i="18"/>
  <c r="Z49" i="18"/>
  <c r="X49" i="18"/>
  <c r="P49" i="18"/>
  <c r="N49" i="18"/>
  <c r="D49" i="18"/>
  <c r="L49" i="18" s="1"/>
  <c r="B49" i="18"/>
  <c r="Z48" i="18"/>
  <c r="X48" i="18"/>
  <c r="P48" i="18"/>
  <c r="N48" i="18"/>
  <c r="L48" i="18"/>
  <c r="D48" i="18"/>
  <c r="B48" i="18"/>
  <c r="Z47" i="18"/>
  <c r="P47" i="18"/>
  <c r="X47" i="18" s="1"/>
  <c r="N47" i="18"/>
  <c r="D47" i="18"/>
  <c r="L47" i="18" s="1"/>
  <c r="B47" i="18"/>
  <c r="Z46" i="18"/>
  <c r="X46" i="18"/>
  <c r="P46" i="18"/>
  <c r="N46" i="18"/>
  <c r="L46" i="18"/>
  <c r="D46" i="18"/>
  <c r="B46" i="18"/>
  <c r="Z45" i="18"/>
  <c r="X45" i="18"/>
  <c r="P45" i="18"/>
  <c r="N45" i="18"/>
  <c r="L45" i="18"/>
  <c r="D45" i="18"/>
  <c r="B45" i="18"/>
  <c r="Z44" i="18"/>
  <c r="P44" i="18"/>
  <c r="X44" i="18" s="1"/>
  <c r="N44" i="18"/>
  <c r="D44" i="18"/>
  <c r="L44" i="18" s="1"/>
  <c r="B44" i="18"/>
  <c r="Z43" i="18"/>
  <c r="P43" i="18"/>
  <c r="X43" i="18" s="1"/>
  <c r="N43" i="18"/>
  <c r="L43" i="18"/>
  <c r="D43" i="18"/>
  <c r="B43" i="18"/>
  <c r="Z42" i="18"/>
  <c r="P42" i="18"/>
  <c r="X42" i="18" s="1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P40" i="18"/>
  <c r="X40" i="18" s="1"/>
  <c r="N40" i="18"/>
  <c r="D40" i="18"/>
  <c r="L40" i="18" s="1"/>
  <c r="B40" i="18"/>
  <c r="Z39" i="18"/>
  <c r="X39" i="18"/>
  <c r="P39" i="18"/>
  <c r="N39" i="18"/>
  <c r="D39" i="18"/>
  <c r="L39" i="18" s="1"/>
  <c r="B39" i="18"/>
  <c r="Z38" i="18"/>
  <c r="P38" i="18"/>
  <c r="X38" i="18" s="1"/>
  <c r="N38" i="18"/>
  <c r="D38" i="18"/>
  <c r="L38" i="18" s="1"/>
  <c r="B38" i="18"/>
  <c r="Z37" i="18"/>
  <c r="X37" i="18"/>
  <c r="P37" i="18"/>
  <c r="N37" i="18"/>
  <c r="D37" i="18"/>
  <c r="L37" i="18" s="1"/>
  <c r="B37" i="18"/>
  <c r="Z36" i="18"/>
  <c r="X36" i="18"/>
  <c r="P36" i="18"/>
  <c r="N36" i="18"/>
  <c r="L36" i="18"/>
  <c r="D36" i="18"/>
  <c r="B36" i="18"/>
  <c r="Z35" i="18"/>
  <c r="P35" i="18"/>
  <c r="X35" i="18" s="1"/>
  <c r="N35" i="18"/>
  <c r="D35" i="18"/>
  <c r="L35" i="18" s="1"/>
  <c r="B35" i="18"/>
  <c r="Z34" i="18"/>
  <c r="X34" i="18"/>
  <c r="P34" i="18"/>
  <c r="N34" i="18"/>
  <c r="L34" i="18"/>
  <c r="D34" i="18"/>
  <c r="B34" i="18"/>
  <c r="Z33" i="18"/>
  <c r="X33" i="18"/>
  <c r="P33" i="18"/>
  <c r="N33" i="18"/>
  <c r="L33" i="18"/>
  <c r="D33" i="18"/>
  <c r="B33" i="18"/>
  <c r="Z32" i="18"/>
  <c r="P32" i="18"/>
  <c r="X32" i="18" s="1"/>
  <c r="N32" i="18"/>
  <c r="D32" i="18"/>
  <c r="L32" i="18" s="1"/>
  <c r="B32" i="18"/>
  <c r="Z31" i="18"/>
  <c r="P31" i="18"/>
  <c r="X31" i="18" s="1"/>
  <c r="N31" i="18"/>
  <c r="L31" i="18"/>
  <c r="D31" i="18"/>
  <c r="B31" i="18"/>
  <c r="Z30" i="18"/>
  <c r="P30" i="18"/>
  <c r="X30" i="18" s="1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P28" i="18"/>
  <c r="X28" i="18" s="1"/>
  <c r="N28" i="18"/>
  <c r="D28" i="18"/>
  <c r="L28" i="18" s="1"/>
  <c r="B28" i="18"/>
  <c r="Z27" i="18"/>
  <c r="X27" i="18"/>
  <c r="P27" i="18"/>
  <c r="N27" i="18"/>
  <c r="D27" i="18"/>
  <c r="L27" i="18" s="1"/>
  <c r="B27" i="18"/>
  <c r="Z26" i="18"/>
  <c r="P26" i="18"/>
  <c r="X26" i="18" s="1"/>
  <c r="N26" i="18"/>
  <c r="D26" i="18"/>
  <c r="L26" i="18" s="1"/>
  <c r="B26" i="18"/>
  <c r="Z25" i="18"/>
  <c r="X25" i="18"/>
  <c r="P25" i="18"/>
  <c r="N25" i="18"/>
  <c r="D25" i="18"/>
  <c r="L25" i="18" s="1"/>
  <c r="B25" i="18"/>
  <c r="Z24" i="18"/>
  <c r="X24" i="18"/>
  <c r="P24" i="18"/>
  <c r="N24" i="18"/>
  <c r="L24" i="18"/>
  <c r="D24" i="18"/>
  <c r="B24" i="18"/>
  <c r="Z23" i="18"/>
  <c r="P23" i="18"/>
  <c r="X23" i="18" s="1"/>
  <c r="N23" i="18"/>
  <c r="D23" i="18"/>
  <c r="L23" i="18" s="1"/>
  <c r="B23" i="18"/>
  <c r="Z22" i="18"/>
  <c r="X22" i="18"/>
  <c r="P22" i="18"/>
  <c r="N22" i="18"/>
  <c r="L22" i="18"/>
  <c r="D22" i="18"/>
  <c r="B22" i="18"/>
  <c r="Z21" i="18"/>
  <c r="X21" i="18"/>
  <c r="P21" i="18"/>
  <c r="N21" i="18"/>
  <c r="L21" i="18"/>
  <c r="D21" i="18"/>
  <c r="B21" i="18"/>
  <c r="Z20" i="18"/>
  <c r="P20" i="18"/>
  <c r="X20" i="18" s="1"/>
  <c r="N20" i="18"/>
  <c r="D20" i="18"/>
  <c r="L20" i="18" s="1"/>
  <c r="B20" i="18"/>
  <c r="Z19" i="18"/>
  <c r="P19" i="18"/>
  <c r="X19" i="18" s="1"/>
  <c r="N19" i="18"/>
  <c r="L19" i="18"/>
  <c r="D19" i="18"/>
  <c r="B19" i="18"/>
  <c r="Z18" i="18"/>
  <c r="P18" i="18"/>
  <c r="X18" i="18" s="1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P16" i="18"/>
  <c r="X16" i="18" s="1"/>
  <c r="N16" i="18"/>
  <c r="D16" i="18"/>
  <c r="L16" i="18" s="1"/>
  <c r="B16" i="18"/>
  <c r="Z15" i="18"/>
  <c r="X15" i="18"/>
  <c r="P15" i="18"/>
  <c r="N15" i="18"/>
  <c r="D15" i="18"/>
  <c r="L15" i="18" s="1"/>
  <c r="B15" i="18"/>
  <c r="Z14" i="18"/>
  <c r="P14" i="18"/>
  <c r="X14" i="18" s="1"/>
  <c r="N14" i="18"/>
  <c r="D14" i="18"/>
  <c r="L14" i="18" s="1"/>
  <c r="B14" i="18"/>
  <c r="X13" i="18"/>
  <c r="Z13" i="18" s="1"/>
  <c r="P13" i="18"/>
  <c r="D13" i="18"/>
  <c r="B13" i="18"/>
  <c r="T12" i="18"/>
  <c r="H12" i="18"/>
  <c r="J253" i="18" s="1"/>
  <c r="D4" i="18"/>
  <c r="X273" i="15"/>
  <c r="Z273" i="15" s="1"/>
  <c r="V273" i="15"/>
  <c r="N273" i="15"/>
  <c r="L273" i="15"/>
  <c r="Z269" i="15"/>
  <c r="X269" i="15"/>
  <c r="P269" i="15"/>
  <c r="N269" i="15"/>
  <c r="L269" i="15"/>
  <c r="D269" i="15"/>
  <c r="B269" i="15"/>
  <c r="P268" i="15"/>
  <c r="X268" i="15" s="1"/>
  <c r="Z268" i="15" s="1"/>
  <c r="D268" i="15"/>
  <c r="L268" i="15" s="1"/>
  <c r="N268" i="15" s="1"/>
  <c r="B268" i="15"/>
  <c r="Z267" i="15"/>
  <c r="P267" i="15"/>
  <c r="X267" i="15" s="1"/>
  <c r="N267" i="15"/>
  <c r="L267" i="15"/>
  <c r="D267" i="15"/>
  <c r="B267" i="15"/>
  <c r="Z266" i="15"/>
  <c r="P266" i="15"/>
  <c r="X266" i="15" s="1"/>
  <c r="N266" i="15"/>
  <c r="D266" i="15"/>
  <c r="L266" i="15" s="1"/>
  <c r="B266" i="15"/>
  <c r="Z265" i="15"/>
  <c r="X265" i="15"/>
  <c r="P265" i="15"/>
  <c r="L265" i="15"/>
  <c r="N265" i="15" s="1"/>
  <c r="D265" i="15"/>
  <c r="B265" i="15"/>
  <c r="X264" i="15"/>
  <c r="Z264" i="15" s="1"/>
  <c r="P264" i="15"/>
  <c r="L264" i="15"/>
  <c r="N264" i="15" s="1"/>
  <c r="D264" i="15"/>
  <c r="B264" i="15"/>
  <c r="Z263" i="15"/>
  <c r="V263" i="15"/>
  <c r="P263" i="15"/>
  <c r="X263" i="15" s="1"/>
  <c r="N263" i="15"/>
  <c r="D263" i="15"/>
  <c r="L263" i="15" s="1"/>
  <c r="B263" i="15"/>
  <c r="Z262" i="15"/>
  <c r="X262" i="15"/>
  <c r="P262" i="15"/>
  <c r="N262" i="15"/>
  <c r="D262" i="15"/>
  <c r="L262" i="15" s="1"/>
  <c r="B262" i="15"/>
  <c r="Z261" i="15"/>
  <c r="V261" i="15"/>
  <c r="P261" i="15"/>
  <c r="X261" i="15" s="1"/>
  <c r="N261" i="15"/>
  <c r="D261" i="15"/>
  <c r="L261" i="15" s="1"/>
  <c r="B261" i="15"/>
  <c r="T260" i="15"/>
  <c r="P260" i="15"/>
  <c r="X260" i="15" s="1"/>
  <c r="H260" i="15"/>
  <c r="Z258" i="15"/>
  <c r="X258" i="15"/>
  <c r="L258" i="15"/>
  <c r="N258" i="15" s="1"/>
  <c r="B258" i="15"/>
  <c r="T257" i="15"/>
  <c r="P257" i="15"/>
  <c r="H257" i="15"/>
  <c r="D257" i="15"/>
  <c r="L257" i="15" s="1"/>
  <c r="N257" i="15" s="1"/>
  <c r="B257" i="15"/>
  <c r="X256" i="15"/>
  <c r="Z256" i="15" s="1"/>
  <c r="L256" i="15"/>
  <c r="N256" i="15" s="1"/>
  <c r="B256" i="15"/>
  <c r="X255" i="15"/>
  <c r="Z255" i="15" s="1"/>
  <c r="L255" i="15"/>
  <c r="N255" i="15" s="1"/>
  <c r="B255" i="15"/>
  <c r="Z254" i="15"/>
  <c r="X254" i="15"/>
  <c r="N254" i="15"/>
  <c r="L254" i="15"/>
  <c r="B254" i="15"/>
  <c r="X253" i="15"/>
  <c r="Z253" i="15" s="1"/>
  <c r="V253" i="15"/>
  <c r="T253" i="15"/>
  <c r="P253" i="15"/>
  <c r="H253" i="15"/>
  <c r="D253" i="15"/>
  <c r="L253" i="15" s="1"/>
  <c r="B253" i="15"/>
  <c r="X252" i="15"/>
  <c r="Z252" i="15" s="1"/>
  <c r="N252" i="15"/>
  <c r="L252" i="15"/>
  <c r="B252" i="15"/>
  <c r="X251" i="15"/>
  <c r="Z251" i="15" s="1"/>
  <c r="T251" i="15"/>
  <c r="P251" i="15"/>
  <c r="H251" i="15"/>
  <c r="D251" i="15"/>
  <c r="L251" i="15" s="1"/>
  <c r="N251" i="15" s="1"/>
  <c r="B251" i="15"/>
  <c r="Z250" i="15"/>
  <c r="X250" i="15"/>
  <c r="L250" i="15"/>
  <c r="N250" i="15" s="1"/>
  <c r="B250" i="15"/>
  <c r="X249" i="15"/>
  <c r="Z249" i="15" s="1"/>
  <c r="L249" i="15"/>
  <c r="N249" i="15" s="1"/>
  <c r="B249" i="15"/>
  <c r="T248" i="15"/>
  <c r="P248" i="15"/>
  <c r="X248" i="15" s="1"/>
  <c r="Z248" i="15" s="1"/>
  <c r="H248" i="15"/>
  <c r="D248" i="15"/>
  <c r="L248" i="15" s="1"/>
  <c r="B248" i="15"/>
  <c r="X247" i="15"/>
  <c r="Z247" i="15" s="1"/>
  <c r="L247" i="15"/>
  <c r="N247" i="15" s="1"/>
  <c r="B247" i="15"/>
  <c r="X246" i="15"/>
  <c r="Z246" i="15" s="1"/>
  <c r="N246" i="15"/>
  <c r="L246" i="15"/>
  <c r="B246" i="15"/>
  <c r="X245" i="15"/>
  <c r="Z245" i="15" s="1"/>
  <c r="V245" i="15"/>
  <c r="N245" i="15"/>
  <c r="L245" i="15"/>
  <c r="B245" i="15"/>
  <c r="X244" i="15"/>
  <c r="Z244" i="15" s="1"/>
  <c r="L244" i="15"/>
  <c r="N244" i="15" s="1"/>
  <c r="B244" i="15"/>
  <c r="X243" i="15"/>
  <c r="Z243" i="15" s="1"/>
  <c r="L243" i="15"/>
  <c r="N243" i="15" s="1"/>
  <c r="B243" i="15"/>
  <c r="X242" i="15"/>
  <c r="Z242" i="15" s="1"/>
  <c r="N242" i="15"/>
  <c r="L242" i="15"/>
  <c r="B242" i="15"/>
  <c r="X241" i="15"/>
  <c r="Z241" i="15" s="1"/>
  <c r="V241" i="15"/>
  <c r="N241" i="15"/>
  <c r="L241" i="15"/>
  <c r="B241" i="15"/>
  <c r="T240" i="15"/>
  <c r="P240" i="15"/>
  <c r="X240" i="15" s="1"/>
  <c r="Z240" i="15" s="1"/>
  <c r="L240" i="15"/>
  <c r="H240" i="15"/>
  <c r="N240" i="15" s="1"/>
  <c r="D240" i="15"/>
  <c r="B240" i="15"/>
  <c r="X239" i="15"/>
  <c r="Z239" i="15" s="1"/>
  <c r="N239" i="15"/>
  <c r="L239" i="15"/>
  <c r="B239" i="15"/>
  <c r="Z238" i="15"/>
  <c r="X238" i="15"/>
  <c r="N238" i="15"/>
  <c r="L238" i="15"/>
  <c r="B238" i="15"/>
  <c r="T237" i="15"/>
  <c r="P237" i="15"/>
  <c r="X237" i="15" s="1"/>
  <c r="Z237" i="15" s="1"/>
  <c r="L237" i="15"/>
  <c r="N237" i="15" s="1"/>
  <c r="H237" i="15"/>
  <c r="D237" i="15"/>
  <c r="B237" i="15"/>
  <c r="X236" i="15"/>
  <c r="Z236" i="15" s="1"/>
  <c r="L236" i="15"/>
  <c r="N236" i="15" s="1"/>
  <c r="B236" i="15"/>
  <c r="Z235" i="15"/>
  <c r="X235" i="15"/>
  <c r="V235" i="15"/>
  <c r="N235" i="15"/>
  <c r="L235" i="15"/>
  <c r="B235" i="15"/>
  <c r="Z234" i="15"/>
  <c r="X234" i="15"/>
  <c r="L234" i="15"/>
  <c r="N234" i="15" s="1"/>
  <c r="B234" i="15"/>
  <c r="X233" i="15"/>
  <c r="Z233" i="15" s="1"/>
  <c r="L233" i="15"/>
  <c r="N233" i="15" s="1"/>
  <c r="B233" i="15"/>
  <c r="T232" i="15"/>
  <c r="P232" i="15"/>
  <c r="X232" i="15" s="1"/>
  <c r="Z232" i="15" s="1"/>
  <c r="H232" i="15"/>
  <c r="D232" i="15"/>
  <c r="L232" i="15" s="1"/>
  <c r="B232" i="15"/>
  <c r="Z231" i="15"/>
  <c r="X231" i="15"/>
  <c r="N231" i="15"/>
  <c r="L231" i="15"/>
  <c r="B231" i="15"/>
  <c r="X230" i="15"/>
  <c r="Z230" i="15" s="1"/>
  <c r="N230" i="15"/>
  <c r="L230" i="15"/>
  <c r="B230" i="15"/>
  <c r="X229" i="15"/>
  <c r="Z229" i="15" s="1"/>
  <c r="V229" i="15"/>
  <c r="N229" i="15"/>
  <c r="L229" i="15"/>
  <c r="B229" i="15"/>
  <c r="X228" i="15"/>
  <c r="Z228" i="15" s="1"/>
  <c r="L228" i="15"/>
  <c r="N228" i="15" s="1"/>
  <c r="B228" i="15"/>
  <c r="T227" i="15"/>
  <c r="P227" i="15"/>
  <c r="X227" i="15" s="1"/>
  <c r="L227" i="15"/>
  <c r="N227" i="15" s="1"/>
  <c r="H227" i="15"/>
  <c r="D227" i="15"/>
  <c r="B227" i="15"/>
  <c r="Z226" i="15"/>
  <c r="X226" i="15"/>
  <c r="N226" i="15"/>
  <c r="L226" i="15"/>
  <c r="B226" i="15"/>
  <c r="Z225" i="15"/>
  <c r="X225" i="15"/>
  <c r="L225" i="15"/>
  <c r="N225" i="15" s="1"/>
  <c r="B225" i="15"/>
  <c r="X224" i="15"/>
  <c r="Z224" i="15" s="1"/>
  <c r="N224" i="15"/>
  <c r="L224" i="15"/>
  <c r="B224" i="15"/>
  <c r="X223" i="15"/>
  <c r="Z223" i="15" s="1"/>
  <c r="N223" i="15"/>
  <c r="L223" i="15"/>
  <c r="B223" i="15"/>
  <c r="T222" i="15"/>
  <c r="P222" i="15"/>
  <c r="X222" i="15" s="1"/>
  <c r="H222" i="15"/>
  <c r="D222" i="15"/>
  <c r="B222" i="15"/>
  <c r="X221" i="15"/>
  <c r="Z221" i="15" s="1"/>
  <c r="L221" i="15"/>
  <c r="N221" i="15" s="1"/>
  <c r="B221" i="15"/>
  <c r="T220" i="15"/>
  <c r="P220" i="15"/>
  <c r="X220" i="15" s="1"/>
  <c r="Z220" i="15" s="1"/>
  <c r="H220" i="15"/>
  <c r="D220" i="15"/>
  <c r="L220" i="15" s="1"/>
  <c r="B220" i="15"/>
  <c r="Z219" i="15"/>
  <c r="X219" i="15"/>
  <c r="L219" i="15"/>
  <c r="N219" i="15" s="1"/>
  <c r="B219" i="15"/>
  <c r="X218" i="15"/>
  <c r="T218" i="15"/>
  <c r="Z218" i="15" s="1"/>
  <c r="P218" i="15"/>
  <c r="H218" i="15"/>
  <c r="D218" i="15"/>
  <c r="L218" i="15" s="1"/>
  <c r="N218" i="15" s="1"/>
  <c r="B218" i="15"/>
  <c r="Z217" i="15"/>
  <c r="X217" i="15"/>
  <c r="L217" i="15"/>
  <c r="N217" i="15" s="1"/>
  <c r="B217" i="15"/>
  <c r="T216" i="15"/>
  <c r="P216" i="15"/>
  <c r="H216" i="15"/>
  <c r="D216" i="15"/>
  <c r="L216" i="15" s="1"/>
  <c r="B216" i="15"/>
  <c r="Z215" i="15"/>
  <c r="X215" i="15"/>
  <c r="V215" i="15"/>
  <c r="N215" i="15"/>
  <c r="L215" i="15"/>
  <c r="B215" i="15"/>
  <c r="T214" i="15"/>
  <c r="P214" i="15"/>
  <c r="X214" i="15" s="1"/>
  <c r="H214" i="15"/>
  <c r="D214" i="15"/>
  <c r="L214" i="15" s="1"/>
  <c r="N214" i="15" s="1"/>
  <c r="B214" i="15"/>
  <c r="X213" i="15"/>
  <c r="Z213" i="15" s="1"/>
  <c r="V213" i="15"/>
  <c r="N213" i="15"/>
  <c r="L213" i="15"/>
  <c r="B213" i="15"/>
  <c r="T212" i="15"/>
  <c r="P212" i="15"/>
  <c r="X212" i="15" s="1"/>
  <c r="Z212" i="15" s="1"/>
  <c r="L212" i="15"/>
  <c r="H212" i="15"/>
  <c r="N212" i="15" s="1"/>
  <c r="D212" i="15"/>
  <c r="B212" i="15"/>
  <c r="X211" i="15"/>
  <c r="Z211" i="15" s="1"/>
  <c r="N211" i="15"/>
  <c r="L211" i="15"/>
  <c r="B211" i="15"/>
  <c r="Z210" i="15"/>
  <c r="X210" i="15"/>
  <c r="N210" i="15"/>
  <c r="L210" i="15"/>
  <c r="B210" i="15"/>
  <c r="T209" i="15"/>
  <c r="P209" i="15"/>
  <c r="X209" i="15" s="1"/>
  <c r="Z209" i="15" s="1"/>
  <c r="L209" i="15"/>
  <c r="N209" i="15" s="1"/>
  <c r="H209" i="15"/>
  <c r="D209" i="15"/>
  <c r="B209" i="15"/>
  <c r="X208" i="15"/>
  <c r="Z208" i="15" s="1"/>
  <c r="L208" i="15"/>
  <c r="N208" i="15" s="1"/>
  <c r="B208" i="15"/>
  <c r="V207" i="15"/>
  <c r="T207" i="15"/>
  <c r="P207" i="15"/>
  <c r="X207" i="15" s="1"/>
  <c r="Z207" i="15" s="1"/>
  <c r="H207" i="15"/>
  <c r="D207" i="15"/>
  <c r="B207" i="15"/>
  <c r="X206" i="15"/>
  <c r="Z206" i="15" s="1"/>
  <c r="N206" i="15"/>
  <c r="L206" i="15"/>
  <c r="B206" i="15"/>
  <c r="V205" i="15"/>
  <c r="T205" i="15"/>
  <c r="P205" i="15"/>
  <c r="X205" i="15" s="1"/>
  <c r="Z205" i="15" s="1"/>
  <c r="H205" i="15"/>
  <c r="N205" i="15" s="1"/>
  <c r="D205" i="15"/>
  <c r="L205" i="15" s="1"/>
  <c r="B205" i="15"/>
  <c r="Z204" i="15"/>
  <c r="X204" i="15"/>
  <c r="N204" i="15"/>
  <c r="L204" i="15"/>
  <c r="B204" i="15"/>
  <c r="X203" i="15"/>
  <c r="Z203" i="15" s="1"/>
  <c r="N203" i="15"/>
  <c r="L203" i="15"/>
  <c r="B203" i="15"/>
  <c r="T202" i="15"/>
  <c r="P202" i="15"/>
  <c r="X202" i="15" s="1"/>
  <c r="H202" i="15"/>
  <c r="D202" i="15"/>
  <c r="B202" i="15"/>
  <c r="Z201" i="15"/>
  <c r="X201" i="15"/>
  <c r="N201" i="15"/>
  <c r="L201" i="15"/>
  <c r="B201" i="15"/>
  <c r="X200" i="15"/>
  <c r="Z200" i="15" s="1"/>
  <c r="L200" i="15"/>
  <c r="N200" i="15" s="1"/>
  <c r="B200" i="15"/>
  <c r="Z199" i="15"/>
  <c r="V199" i="15"/>
  <c r="T199" i="15"/>
  <c r="P199" i="15"/>
  <c r="X199" i="15" s="1"/>
  <c r="H199" i="15"/>
  <c r="D199" i="15"/>
  <c r="B199" i="15"/>
  <c r="X198" i="15"/>
  <c r="Z198" i="15" s="1"/>
  <c r="N198" i="15"/>
  <c r="L198" i="15"/>
  <c r="B198" i="15"/>
  <c r="X197" i="15"/>
  <c r="Z197" i="15" s="1"/>
  <c r="V197" i="15"/>
  <c r="N197" i="15"/>
  <c r="L197" i="15"/>
  <c r="B197" i="15"/>
  <c r="X196" i="15"/>
  <c r="Z196" i="15" s="1"/>
  <c r="V196" i="15"/>
  <c r="L196" i="15"/>
  <c r="N196" i="15" s="1"/>
  <c r="B196" i="15"/>
  <c r="Z195" i="15"/>
  <c r="X195" i="15"/>
  <c r="L195" i="15"/>
  <c r="N195" i="15" s="1"/>
  <c r="B195" i="15"/>
  <c r="X194" i="15"/>
  <c r="T194" i="15"/>
  <c r="Z194" i="15" s="1"/>
  <c r="P194" i="15"/>
  <c r="H194" i="15"/>
  <c r="D194" i="15"/>
  <c r="L194" i="15" s="1"/>
  <c r="N194" i="15" s="1"/>
  <c r="B194" i="15"/>
  <c r="Z193" i="15"/>
  <c r="X193" i="15"/>
  <c r="L193" i="15"/>
  <c r="N193" i="15" s="1"/>
  <c r="B193" i="15"/>
  <c r="T192" i="15"/>
  <c r="P192" i="15"/>
  <c r="H192" i="15"/>
  <c r="D192" i="15"/>
  <c r="L192" i="15" s="1"/>
  <c r="B192" i="15"/>
  <c r="Z191" i="15"/>
  <c r="X191" i="15"/>
  <c r="V191" i="15"/>
  <c r="N191" i="15"/>
  <c r="L191" i="15"/>
  <c r="B191" i="15"/>
  <c r="Z190" i="15"/>
  <c r="X190" i="15"/>
  <c r="L190" i="15"/>
  <c r="N190" i="15" s="1"/>
  <c r="B190" i="15"/>
  <c r="T189" i="15"/>
  <c r="P189" i="15"/>
  <c r="N189" i="15"/>
  <c r="H189" i="15"/>
  <c r="D189" i="15"/>
  <c r="L189" i="15" s="1"/>
  <c r="B189" i="15"/>
  <c r="X188" i="15"/>
  <c r="Z188" i="15" s="1"/>
  <c r="V188" i="15"/>
  <c r="L188" i="15"/>
  <c r="N188" i="15" s="1"/>
  <c r="B188" i="15"/>
  <c r="T187" i="15"/>
  <c r="P187" i="15"/>
  <c r="X187" i="15" s="1"/>
  <c r="H187" i="15"/>
  <c r="D187" i="15"/>
  <c r="L187" i="15" s="1"/>
  <c r="N187" i="15" s="1"/>
  <c r="B187" i="15"/>
  <c r="Z186" i="15"/>
  <c r="X186" i="15"/>
  <c r="N186" i="15"/>
  <c r="L186" i="15"/>
  <c r="B186" i="15"/>
  <c r="Z185" i="15"/>
  <c r="X185" i="15"/>
  <c r="N185" i="15"/>
  <c r="L185" i="15"/>
  <c r="B185" i="15"/>
  <c r="X184" i="15"/>
  <c r="Z184" i="15" s="1"/>
  <c r="L184" i="15"/>
  <c r="N184" i="15" s="1"/>
  <c r="B184" i="15"/>
  <c r="X183" i="15"/>
  <c r="Z183" i="15" s="1"/>
  <c r="N183" i="15"/>
  <c r="L183" i="15"/>
  <c r="B183" i="15"/>
  <c r="Z182" i="15"/>
  <c r="X182" i="15"/>
  <c r="N182" i="15"/>
  <c r="L182" i="15"/>
  <c r="B182" i="15"/>
  <c r="Z181" i="15"/>
  <c r="X181" i="15"/>
  <c r="L181" i="15"/>
  <c r="N181" i="15" s="1"/>
  <c r="B181" i="15"/>
  <c r="X180" i="15"/>
  <c r="Z180" i="15" s="1"/>
  <c r="L180" i="15"/>
  <c r="N180" i="15" s="1"/>
  <c r="B180" i="15"/>
  <c r="Z179" i="15"/>
  <c r="X179" i="15"/>
  <c r="N179" i="15"/>
  <c r="L179" i="15"/>
  <c r="B179" i="15"/>
  <c r="Z178" i="15"/>
  <c r="X178" i="15"/>
  <c r="N178" i="15"/>
  <c r="L178" i="15"/>
  <c r="B178" i="15"/>
  <c r="Z177" i="15"/>
  <c r="X177" i="15"/>
  <c r="L177" i="15"/>
  <c r="N177" i="15" s="1"/>
  <c r="B177" i="15"/>
  <c r="T176" i="15"/>
  <c r="P176" i="15"/>
  <c r="H176" i="15"/>
  <c r="D176" i="15"/>
  <c r="L176" i="15" s="1"/>
  <c r="B176" i="15"/>
  <c r="Z175" i="15"/>
  <c r="X175" i="15"/>
  <c r="V175" i="15"/>
  <c r="N175" i="15"/>
  <c r="L175" i="15"/>
  <c r="B175" i="15"/>
  <c r="Z174" i="15"/>
  <c r="X174" i="15"/>
  <c r="L174" i="15"/>
  <c r="N174" i="15" s="1"/>
  <c r="B174" i="15"/>
  <c r="X173" i="15"/>
  <c r="Z173" i="15" s="1"/>
  <c r="N173" i="15"/>
  <c r="L173" i="15"/>
  <c r="B173" i="15"/>
  <c r="Z172" i="15"/>
  <c r="X172" i="15"/>
  <c r="N172" i="15"/>
  <c r="L172" i="15"/>
  <c r="B172" i="15"/>
  <c r="Z171" i="15"/>
  <c r="X171" i="15"/>
  <c r="V171" i="15"/>
  <c r="N171" i="15"/>
  <c r="L171" i="15"/>
  <c r="B171" i="15"/>
  <c r="Z170" i="15"/>
  <c r="X170" i="15"/>
  <c r="L170" i="15"/>
  <c r="N170" i="15" s="1"/>
  <c r="B170" i="15"/>
  <c r="X169" i="15"/>
  <c r="Z169" i="15" s="1"/>
  <c r="N169" i="15"/>
  <c r="L169" i="15"/>
  <c r="B169" i="15"/>
  <c r="X168" i="15"/>
  <c r="Z168" i="15" s="1"/>
  <c r="L168" i="15"/>
  <c r="N168" i="15" s="1"/>
  <c r="B168" i="15"/>
  <c r="Z167" i="15"/>
  <c r="X167" i="15"/>
  <c r="V167" i="15"/>
  <c r="N167" i="15"/>
  <c r="L167" i="15"/>
  <c r="B167" i="15"/>
  <c r="Z166" i="15"/>
  <c r="X166" i="15"/>
  <c r="L166" i="15"/>
  <c r="N166" i="15" s="1"/>
  <c r="B166" i="15"/>
  <c r="T165" i="15"/>
  <c r="P165" i="15"/>
  <c r="N165" i="15"/>
  <c r="H165" i="15"/>
  <c r="D165" i="15"/>
  <c r="L165" i="15" s="1"/>
  <c r="B165" i="15"/>
  <c r="T164" i="15"/>
  <c r="V164" i="15" s="1"/>
  <c r="P164" i="15"/>
  <c r="X164" i="15" s="1"/>
  <c r="H164" i="15"/>
  <c r="D164" i="15"/>
  <c r="L164" i="15" s="1"/>
  <c r="Z160" i="15"/>
  <c r="X160" i="15"/>
  <c r="V160" i="15"/>
  <c r="N160" i="15"/>
  <c r="L160" i="15"/>
  <c r="B160" i="15"/>
  <c r="Z159" i="15"/>
  <c r="X159" i="15"/>
  <c r="N159" i="15"/>
  <c r="L159" i="15"/>
  <c r="B159" i="15"/>
  <c r="Z158" i="15"/>
  <c r="X158" i="15"/>
  <c r="N158" i="15"/>
  <c r="L158" i="15"/>
  <c r="B158" i="15"/>
  <c r="Z157" i="15"/>
  <c r="X157" i="15"/>
  <c r="V157" i="15"/>
  <c r="N157" i="15"/>
  <c r="L157" i="15"/>
  <c r="B157" i="15"/>
  <c r="Z156" i="15"/>
  <c r="X156" i="15"/>
  <c r="V156" i="15"/>
  <c r="N156" i="15"/>
  <c r="L156" i="15"/>
  <c r="B156" i="15"/>
  <c r="Z155" i="15"/>
  <c r="X155" i="15"/>
  <c r="N155" i="15"/>
  <c r="L155" i="15"/>
  <c r="B155" i="15"/>
  <c r="Z154" i="15"/>
  <c r="X154" i="15"/>
  <c r="N154" i="15"/>
  <c r="L154" i="15"/>
  <c r="B154" i="15"/>
  <c r="Z153" i="15"/>
  <c r="X153" i="15"/>
  <c r="V153" i="15"/>
  <c r="N153" i="15"/>
  <c r="L153" i="15"/>
  <c r="B153" i="15"/>
  <c r="Z152" i="15"/>
  <c r="X152" i="15"/>
  <c r="V152" i="15"/>
  <c r="N152" i="15"/>
  <c r="L152" i="15"/>
  <c r="B152" i="15"/>
  <c r="Z151" i="15"/>
  <c r="X151" i="15"/>
  <c r="N151" i="15"/>
  <c r="L151" i="15"/>
  <c r="B151" i="15"/>
  <c r="Z150" i="15"/>
  <c r="X150" i="15"/>
  <c r="N150" i="15"/>
  <c r="L150" i="15"/>
  <c r="B150" i="15"/>
  <c r="Z149" i="15"/>
  <c r="X149" i="15"/>
  <c r="V149" i="15"/>
  <c r="N149" i="15"/>
  <c r="L149" i="15"/>
  <c r="B149" i="15"/>
  <c r="Z148" i="15"/>
  <c r="X148" i="15"/>
  <c r="V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Z145" i="15"/>
  <c r="X145" i="15"/>
  <c r="V145" i="15"/>
  <c r="N145" i="15"/>
  <c r="L145" i="15"/>
  <c r="B145" i="15"/>
  <c r="Z144" i="15"/>
  <c r="X144" i="15"/>
  <c r="V144" i="15"/>
  <c r="N144" i="15"/>
  <c r="L144" i="15"/>
  <c r="B144" i="15"/>
  <c r="Z143" i="15"/>
  <c r="X143" i="15"/>
  <c r="N143" i="15"/>
  <c r="L143" i="15"/>
  <c r="B143" i="15"/>
  <c r="Z142" i="15"/>
  <c r="X142" i="15"/>
  <c r="N142" i="15"/>
  <c r="L142" i="15"/>
  <c r="B142" i="15"/>
  <c r="Z141" i="15"/>
  <c r="X141" i="15"/>
  <c r="V141" i="15"/>
  <c r="N141" i="15"/>
  <c r="L141" i="15"/>
  <c r="B141" i="15"/>
  <c r="Z140" i="15"/>
  <c r="X140" i="15"/>
  <c r="V140" i="15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B138" i="15"/>
  <c r="Z137" i="15"/>
  <c r="X137" i="15"/>
  <c r="V137" i="15"/>
  <c r="N137" i="15"/>
  <c r="L137" i="15"/>
  <c r="B137" i="15"/>
  <c r="Z136" i="15"/>
  <c r="X136" i="15"/>
  <c r="V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Z133" i="15"/>
  <c r="X133" i="15"/>
  <c r="V133" i="15"/>
  <c r="N133" i="15"/>
  <c r="L133" i="15"/>
  <c r="B133" i="15"/>
  <c r="Z132" i="15"/>
  <c r="X132" i="15"/>
  <c r="V132" i="15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V129" i="15"/>
  <c r="N129" i="15"/>
  <c r="L129" i="15"/>
  <c r="B129" i="15"/>
  <c r="Z128" i="15"/>
  <c r="X128" i="15"/>
  <c r="V128" i="15"/>
  <c r="N128" i="15"/>
  <c r="L128" i="15"/>
  <c r="B128" i="15"/>
  <c r="Z127" i="15"/>
  <c r="X127" i="15"/>
  <c r="N127" i="15"/>
  <c r="L127" i="15"/>
  <c r="B127" i="15"/>
  <c r="Z126" i="15"/>
  <c r="X126" i="15"/>
  <c r="N126" i="15"/>
  <c r="L126" i="15"/>
  <c r="B126" i="15"/>
  <c r="Z125" i="15"/>
  <c r="X125" i="15"/>
  <c r="V125" i="15"/>
  <c r="N125" i="15"/>
  <c r="L125" i="15"/>
  <c r="B125" i="15"/>
  <c r="Z124" i="15"/>
  <c r="X124" i="15"/>
  <c r="V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B122" i="15"/>
  <c r="Z121" i="15"/>
  <c r="X121" i="15"/>
  <c r="V121" i="15"/>
  <c r="N121" i="15"/>
  <c r="L121" i="15"/>
  <c r="B121" i="15"/>
  <c r="Z120" i="15"/>
  <c r="X120" i="15"/>
  <c r="V120" i="15"/>
  <c r="N120" i="15"/>
  <c r="L120" i="15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V117" i="15"/>
  <c r="N117" i="15"/>
  <c r="L117" i="15"/>
  <c r="B117" i="15"/>
  <c r="Z116" i="15"/>
  <c r="X116" i="15"/>
  <c r="V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V113" i="15"/>
  <c r="N113" i="15"/>
  <c r="L113" i="15"/>
  <c r="B113" i="15"/>
  <c r="Z112" i="15"/>
  <c r="X112" i="15"/>
  <c r="V112" i="15"/>
  <c r="N112" i="15"/>
  <c r="L112" i="15"/>
  <c r="B112" i="15"/>
  <c r="Z111" i="15"/>
  <c r="X111" i="15"/>
  <c r="N111" i="15"/>
  <c r="L111" i="15"/>
  <c r="B111" i="15"/>
  <c r="X110" i="15"/>
  <c r="Z110" i="15" s="1"/>
  <c r="N110" i="15"/>
  <c r="L110" i="15"/>
  <c r="B110" i="15"/>
  <c r="V109" i="15"/>
  <c r="T109" i="15"/>
  <c r="P109" i="15"/>
  <c r="X109" i="15" s="1"/>
  <c r="Z109" i="15" s="1"/>
  <c r="H109" i="15"/>
  <c r="D109" i="15"/>
  <c r="L109" i="15" s="1"/>
  <c r="N109" i="15" s="1"/>
  <c r="Z107" i="15"/>
  <c r="P107" i="15"/>
  <c r="X107" i="15" s="1"/>
  <c r="N107" i="15"/>
  <c r="L107" i="15"/>
  <c r="D107" i="15"/>
  <c r="B107" i="15"/>
  <c r="Z106" i="15"/>
  <c r="P106" i="15"/>
  <c r="X106" i="15" s="1"/>
  <c r="N106" i="15"/>
  <c r="L106" i="15"/>
  <c r="D106" i="15"/>
  <c r="B106" i="15"/>
  <c r="Z105" i="15"/>
  <c r="P105" i="15"/>
  <c r="X105" i="15" s="1"/>
  <c r="N105" i="15"/>
  <c r="L105" i="15"/>
  <c r="D105" i="15"/>
  <c r="B105" i="15"/>
  <c r="Z104" i="15"/>
  <c r="P104" i="15"/>
  <c r="X104" i="15" s="1"/>
  <c r="N104" i="15"/>
  <c r="D104" i="15"/>
  <c r="L104" i="15" s="1"/>
  <c r="B104" i="15"/>
  <c r="Z103" i="15"/>
  <c r="P103" i="15"/>
  <c r="X103" i="15" s="1"/>
  <c r="N103" i="15"/>
  <c r="D103" i="15"/>
  <c r="L103" i="15" s="1"/>
  <c r="B103" i="15"/>
  <c r="Z102" i="15"/>
  <c r="X102" i="15"/>
  <c r="P102" i="15"/>
  <c r="N102" i="15"/>
  <c r="D102" i="15"/>
  <c r="L102" i="15" s="1"/>
  <c r="B102" i="15"/>
  <c r="Z101" i="15"/>
  <c r="X101" i="15"/>
  <c r="P101" i="15"/>
  <c r="N101" i="15"/>
  <c r="D101" i="15"/>
  <c r="L101" i="15" s="1"/>
  <c r="B101" i="15"/>
  <c r="Z100" i="15"/>
  <c r="X100" i="15"/>
  <c r="P100" i="15"/>
  <c r="N100" i="15"/>
  <c r="D100" i="15"/>
  <c r="L100" i="15" s="1"/>
  <c r="B100" i="15"/>
  <c r="Z99" i="15"/>
  <c r="P99" i="15"/>
  <c r="X99" i="15" s="1"/>
  <c r="N99" i="15"/>
  <c r="L99" i="15"/>
  <c r="D99" i="15"/>
  <c r="B99" i="15"/>
  <c r="Z98" i="15"/>
  <c r="X98" i="15"/>
  <c r="P98" i="15"/>
  <c r="N98" i="15"/>
  <c r="L98" i="15"/>
  <c r="D98" i="15"/>
  <c r="B98" i="15"/>
  <c r="Z97" i="15"/>
  <c r="X97" i="15"/>
  <c r="P97" i="15"/>
  <c r="N97" i="15"/>
  <c r="L97" i="15"/>
  <c r="D97" i="15"/>
  <c r="B97" i="15"/>
  <c r="Z96" i="15"/>
  <c r="X96" i="15"/>
  <c r="P96" i="15"/>
  <c r="N96" i="15"/>
  <c r="D96" i="15"/>
  <c r="L96" i="15" s="1"/>
  <c r="B96" i="15"/>
  <c r="Z95" i="15"/>
  <c r="P95" i="15"/>
  <c r="X95" i="15" s="1"/>
  <c r="N95" i="15"/>
  <c r="L95" i="15"/>
  <c r="D95" i="15"/>
  <c r="B95" i="15"/>
  <c r="Z94" i="15"/>
  <c r="P94" i="15"/>
  <c r="X94" i="15" s="1"/>
  <c r="N94" i="15"/>
  <c r="L94" i="15"/>
  <c r="D94" i="15"/>
  <c r="B94" i="15"/>
  <c r="Z93" i="15"/>
  <c r="P93" i="15"/>
  <c r="X93" i="15" s="1"/>
  <c r="N93" i="15"/>
  <c r="L93" i="15"/>
  <c r="D93" i="15"/>
  <c r="B93" i="15"/>
  <c r="Z92" i="15"/>
  <c r="P92" i="15"/>
  <c r="X92" i="15" s="1"/>
  <c r="N92" i="15"/>
  <c r="D92" i="15"/>
  <c r="L92" i="15" s="1"/>
  <c r="B92" i="15"/>
  <c r="Z91" i="15"/>
  <c r="P91" i="15"/>
  <c r="X91" i="15" s="1"/>
  <c r="N91" i="15"/>
  <c r="D91" i="15"/>
  <c r="L91" i="15" s="1"/>
  <c r="B91" i="15"/>
  <c r="Z90" i="15"/>
  <c r="X90" i="15"/>
  <c r="P90" i="15"/>
  <c r="N90" i="15"/>
  <c r="D90" i="15"/>
  <c r="L90" i="15" s="1"/>
  <c r="B90" i="15"/>
  <c r="Z89" i="15"/>
  <c r="X89" i="15"/>
  <c r="P89" i="15"/>
  <c r="N89" i="15"/>
  <c r="D89" i="15"/>
  <c r="L89" i="15" s="1"/>
  <c r="B89" i="15"/>
  <c r="Z88" i="15"/>
  <c r="X88" i="15"/>
  <c r="P88" i="15"/>
  <c r="N88" i="15"/>
  <c r="D88" i="15"/>
  <c r="L88" i="15" s="1"/>
  <c r="B88" i="15"/>
  <c r="Z87" i="15"/>
  <c r="P87" i="15"/>
  <c r="X87" i="15" s="1"/>
  <c r="N87" i="15"/>
  <c r="L87" i="15"/>
  <c r="D87" i="15"/>
  <c r="B87" i="15"/>
  <c r="Z86" i="15"/>
  <c r="X86" i="15"/>
  <c r="P86" i="15"/>
  <c r="N86" i="15"/>
  <c r="L86" i="15"/>
  <c r="D86" i="15"/>
  <c r="B86" i="15"/>
  <c r="Z85" i="15"/>
  <c r="X85" i="15"/>
  <c r="P85" i="15"/>
  <c r="N85" i="15"/>
  <c r="L85" i="15"/>
  <c r="D85" i="15"/>
  <c r="B85" i="15"/>
  <c r="Z84" i="15"/>
  <c r="X84" i="15"/>
  <c r="P84" i="15"/>
  <c r="N84" i="15"/>
  <c r="D84" i="15"/>
  <c r="L84" i="15" s="1"/>
  <c r="B84" i="15"/>
  <c r="Z83" i="15"/>
  <c r="P83" i="15"/>
  <c r="X83" i="15" s="1"/>
  <c r="N83" i="15"/>
  <c r="L83" i="15"/>
  <c r="D83" i="15"/>
  <c r="B83" i="15"/>
  <c r="Z82" i="15"/>
  <c r="P82" i="15"/>
  <c r="X82" i="15" s="1"/>
  <c r="N82" i="15"/>
  <c r="L82" i="15"/>
  <c r="D82" i="15"/>
  <c r="B82" i="15"/>
  <c r="Z81" i="15"/>
  <c r="P81" i="15"/>
  <c r="X81" i="15" s="1"/>
  <c r="N81" i="15"/>
  <c r="L81" i="15"/>
  <c r="D81" i="15"/>
  <c r="B81" i="15"/>
  <c r="Z80" i="15"/>
  <c r="P80" i="15"/>
  <c r="X80" i="15" s="1"/>
  <c r="N80" i="15"/>
  <c r="D80" i="15"/>
  <c r="L80" i="15" s="1"/>
  <c r="B80" i="15"/>
  <c r="Z79" i="15"/>
  <c r="P79" i="15"/>
  <c r="X79" i="15" s="1"/>
  <c r="N79" i="15"/>
  <c r="D79" i="15"/>
  <c r="L79" i="15" s="1"/>
  <c r="B79" i="15"/>
  <c r="Z78" i="15"/>
  <c r="X78" i="15"/>
  <c r="P78" i="15"/>
  <c r="N78" i="15"/>
  <c r="D78" i="15"/>
  <c r="L78" i="15" s="1"/>
  <c r="B78" i="15"/>
  <c r="Z77" i="15"/>
  <c r="X77" i="15"/>
  <c r="P77" i="15"/>
  <c r="N77" i="15"/>
  <c r="D77" i="15"/>
  <c r="L77" i="15" s="1"/>
  <c r="B77" i="15"/>
  <c r="Z76" i="15"/>
  <c r="X76" i="15"/>
  <c r="P76" i="15"/>
  <c r="N76" i="15"/>
  <c r="D76" i="15"/>
  <c r="L76" i="15" s="1"/>
  <c r="B76" i="15"/>
  <c r="Z75" i="15"/>
  <c r="P75" i="15"/>
  <c r="X75" i="15" s="1"/>
  <c r="N75" i="15"/>
  <c r="L75" i="15"/>
  <c r="D75" i="15"/>
  <c r="B75" i="15"/>
  <c r="Z74" i="15"/>
  <c r="X74" i="15"/>
  <c r="P74" i="15"/>
  <c r="N74" i="15"/>
  <c r="L74" i="15"/>
  <c r="D74" i="15"/>
  <c r="B74" i="15"/>
  <c r="Z73" i="15"/>
  <c r="X73" i="15"/>
  <c r="P73" i="15"/>
  <c r="N73" i="15"/>
  <c r="L73" i="15"/>
  <c r="D73" i="15"/>
  <c r="B73" i="15"/>
  <c r="Z72" i="15"/>
  <c r="X72" i="15"/>
  <c r="P72" i="15"/>
  <c r="N72" i="15"/>
  <c r="L72" i="15"/>
  <c r="D72" i="15"/>
  <c r="B72" i="15"/>
  <c r="Z71" i="15"/>
  <c r="P71" i="15"/>
  <c r="X71" i="15" s="1"/>
  <c r="N71" i="15"/>
  <c r="L71" i="15"/>
  <c r="D71" i="15"/>
  <c r="B71" i="15"/>
  <c r="Z70" i="15"/>
  <c r="P70" i="15"/>
  <c r="X70" i="15" s="1"/>
  <c r="N70" i="15"/>
  <c r="L70" i="15"/>
  <c r="D70" i="15"/>
  <c r="B70" i="15"/>
  <c r="Z69" i="15"/>
  <c r="P69" i="15"/>
  <c r="X69" i="15" s="1"/>
  <c r="N69" i="15"/>
  <c r="L69" i="15"/>
  <c r="D69" i="15"/>
  <c r="B69" i="15"/>
  <c r="Z68" i="15"/>
  <c r="P68" i="15"/>
  <c r="X68" i="15" s="1"/>
  <c r="N68" i="15"/>
  <c r="D68" i="15"/>
  <c r="L68" i="15" s="1"/>
  <c r="B68" i="15"/>
  <c r="Z67" i="15"/>
  <c r="P67" i="15"/>
  <c r="X67" i="15" s="1"/>
  <c r="N67" i="15"/>
  <c r="D67" i="15"/>
  <c r="L67" i="15" s="1"/>
  <c r="B67" i="15"/>
  <c r="Z66" i="15"/>
  <c r="X66" i="15"/>
  <c r="P66" i="15"/>
  <c r="N66" i="15"/>
  <c r="D66" i="15"/>
  <c r="L66" i="15" s="1"/>
  <c r="B66" i="15"/>
  <c r="Z65" i="15"/>
  <c r="X65" i="15"/>
  <c r="P65" i="15"/>
  <c r="N65" i="15"/>
  <c r="D65" i="15"/>
  <c r="L65" i="15" s="1"/>
  <c r="B65" i="15"/>
  <c r="Z64" i="15"/>
  <c r="X64" i="15"/>
  <c r="P64" i="15"/>
  <c r="N64" i="15"/>
  <c r="D64" i="15"/>
  <c r="L64" i="15" s="1"/>
  <c r="B64" i="15"/>
  <c r="Z63" i="15"/>
  <c r="X63" i="15"/>
  <c r="P63" i="15"/>
  <c r="N63" i="15"/>
  <c r="L63" i="15"/>
  <c r="D63" i="15"/>
  <c r="B63" i="15"/>
  <c r="Z62" i="15"/>
  <c r="X62" i="15"/>
  <c r="P62" i="15"/>
  <c r="N62" i="15"/>
  <c r="L62" i="15"/>
  <c r="D62" i="15"/>
  <c r="B62" i="15"/>
  <c r="Z61" i="15"/>
  <c r="X61" i="15"/>
  <c r="P61" i="15"/>
  <c r="N61" i="15"/>
  <c r="L61" i="15"/>
  <c r="D61" i="15"/>
  <c r="B61" i="15"/>
  <c r="Z60" i="15"/>
  <c r="X60" i="15"/>
  <c r="P60" i="15"/>
  <c r="N60" i="15"/>
  <c r="L60" i="15"/>
  <c r="D60" i="15"/>
  <c r="B60" i="15"/>
  <c r="Z59" i="15"/>
  <c r="P59" i="15"/>
  <c r="X59" i="15" s="1"/>
  <c r="N59" i="15"/>
  <c r="L59" i="15"/>
  <c r="D59" i="15"/>
  <c r="B59" i="15"/>
  <c r="Z58" i="15"/>
  <c r="P58" i="15"/>
  <c r="X58" i="15" s="1"/>
  <c r="N58" i="15"/>
  <c r="L58" i="15"/>
  <c r="D58" i="15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D56" i="15"/>
  <c r="L56" i="15" s="1"/>
  <c r="B56" i="15"/>
  <c r="Z55" i="15"/>
  <c r="P55" i="15"/>
  <c r="X55" i="15" s="1"/>
  <c r="N55" i="15"/>
  <c r="D55" i="15"/>
  <c r="L55" i="15" s="1"/>
  <c r="B55" i="15"/>
  <c r="Z54" i="15"/>
  <c r="X54" i="15"/>
  <c r="P54" i="15"/>
  <c r="N54" i="15"/>
  <c r="D54" i="15"/>
  <c r="L54" i="15" s="1"/>
  <c r="B54" i="15"/>
  <c r="Z53" i="15"/>
  <c r="X53" i="15"/>
  <c r="P53" i="15"/>
  <c r="N53" i="15"/>
  <c r="D53" i="15"/>
  <c r="L53" i="15" s="1"/>
  <c r="B53" i="15"/>
  <c r="Z52" i="15"/>
  <c r="X52" i="15"/>
  <c r="P52" i="15"/>
  <c r="N52" i="15"/>
  <c r="D52" i="15"/>
  <c r="L52" i="15" s="1"/>
  <c r="B52" i="15"/>
  <c r="Z51" i="15"/>
  <c r="X51" i="15"/>
  <c r="P51" i="15"/>
  <c r="N51" i="15"/>
  <c r="L51" i="15"/>
  <c r="D51" i="15"/>
  <c r="B51" i="15"/>
  <c r="Z50" i="15"/>
  <c r="X50" i="15"/>
  <c r="P50" i="15"/>
  <c r="N50" i="15"/>
  <c r="L50" i="15"/>
  <c r="D50" i="15"/>
  <c r="B50" i="15"/>
  <c r="Z49" i="15"/>
  <c r="X49" i="15"/>
  <c r="P49" i="15"/>
  <c r="N49" i="15"/>
  <c r="L49" i="15"/>
  <c r="D49" i="15"/>
  <c r="B49" i="15"/>
  <c r="Z48" i="15"/>
  <c r="X48" i="15"/>
  <c r="P48" i="15"/>
  <c r="N48" i="15"/>
  <c r="L48" i="15"/>
  <c r="D48" i="15"/>
  <c r="B48" i="15"/>
  <c r="P47" i="15"/>
  <c r="X47" i="15" s="1"/>
  <c r="Z47" i="15" s="1"/>
  <c r="L47" i="15"/>
  <c r="N47" i="15" s="1"/>
  <c r="D47" i="15"/>
  <c r="B47" i="15"/>
  <c r="Z46" i="15"/>
  <c r="P46" i="15"/>
  <c r="X46" i="15" s="1"/>
  <c r="N46" i="15"/>
  <c r="L46" i="15"/>
  <c r="D46" i="15"/>
  <c r="B46" i="15"/>
  <c r="Z45" i="15"/>
  <c r="P45" i="15"/>
  <c r="X45" i="15" s="1"/>
  <c r="N45" i="15"/>
  <c r="L45" i="15"/>
  <c r="D45" i="15"/>
  <c r="B45" i="15"/>
  <c r="Z44" i="15"/>
  <c r="P44" i="15"/>
  <c r="X44" i="15" s="1"/>
  <c r="N44" i="15"/>
  <c r="D44" i="15"/>
  <c r="L44" i="15" s="1"/>
  <c r="B44" i="15"/>
  <c r="Z43" i="15"/>
  <c r="P43" i="15"/>
  <c r="X43" i="15" s="1"/>
  <c r="N43" i="15"/>
  <c r="D43" i="15"/>
  <c r="L43" i="15" s="1"/>
  <c r="B43" i="15"/>
  <c r="Z42" i="15"/>
  <c r="X42" i="15"/>
  <c r="P42" i="15"/>
  <c r="N42" i="15"/>
  <c r="D42" i="15"/>
  <c r="L42" i="15" s="1"/>
  <c r="B42" i="15"/>
  <c r="Z41" i="15"/>
  <c r="X41" i="15"/>
  <c r="P41" i="15"/>
  <c r="N41" i="15"/>
  <c r="D41" i="15"/>
  <c r="L41" i="15" s="1"/>
  <c r="B41" i="15"/>
  <c r="Z40" i="15"/>
  <c r="X40" i="15"/>
  <c r="P40" i="15"/>
  <c r="N40" i="15"/>
  <c r="D40" i="15"/>
  <c r="L40" i="15" s="1"/>
  <c r="B40" i="15"/>
  <c r="Z39" i="15"/>
  <c r="X39" i="15"/>
  <c r="P39" i="15"/>
  <c r="N39" i="15"/>
  <c r="L39" i="15"/>
  <c r="D39" i="15"/>
  <c r="B39" i="15"/>
  <c r="Z38" i="15"/>
  <c r="X38" i="15"/>
  <c r="P38" i="15"/>
  <c r="N38" i="15"/>
  <c r="L38" i="15"/>
  <c r="D38" i="15"/>
  <c r="B38" i="15"/>
  <c r="Z37" i="15"/>
  <c r="X37" i="15"/>
  <c r="P37" i="15"/>
  <c r="N37" i="15"/>
  <c r="L37" i="15"/>
  <c r="D37" i="15"/>
  <c r="B37" i="15"/>
  <c r="Z36" i="15"/>
  <c r="X36" i="15"/>
  <c r="P36" i="15"/>
  <c r="N36" i="15"/>
  <c r="L36" i="15"/>
  <c r="D36" i="15"/>
  <c r="B36" i="15"/>
  <c r="Z35" i="15"/>
  <c r="P35" i="15"/>
  <c r="X35" i="15" s="1"/>
  <c r="N35" i="15"/>
  <c r="L35" i="15"/>
  <c r="D35" i="15"/>
  <c r="B35" i="15"/>
  <c r="Z34" i="15"/>
  <c r="P34" i="15"/>
  <c r="X34" i="15" s="1"/>
  <c r="N34" i="15"/>
  <c r="L34" i="15"/>
  <c r="D34" i="15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D32" i="15"/>
  <c r="L32" i="15" s="1"/>
  <c r="B32" i="15"/>
  <c r="Z31" i="15"/>
  <c r="P31" i="15"/>
  <c r="X31" i="15" s="1"/>
  <c r="N31" i="15"/>
  <c r="D31" i="15"/>
  <c r="L31" i="15" s="1"/>
  <c r="B31" i="15"/>
  <c r="Z30" i="15"/>
  <c r="X30" i="15"/>
  <c r="P30" i="15"/>
  <c r="N30" i="15"/>
  <c r="D30" i="15"/>
  <c r="L30" i="15" s="1"/>
  <c r="B30" i="15"/>
  <c r="Z29" i="15"/>
  <c r="X29" i="15"/>
  <c r="P29" i="15"/>
  <c r="N29" i="15"/>
  <c r="D29" i="15"/>
  <c r="L29" i="15" s="1"/>
  <c r="B29" i="15"/>
  <c r="Z28" i="15"/>
  <c r="X28" i="15"/>
  <c r="P28" i="15"/>
  <c r="N28" i="15"/>
  <c r="D28" i="15"/>
  <c r="L28" i="15" s="1"/>
  <c r="B28" i="15"/>
  <c r="Z27" i="15"/>
  <c r="X27" i="15"/>
  <c r="P27" i="15"/>
  <c r="N27" i="15"/>
  <c r="L27" i="15"/>
  <c r="D27" i="15"/>
  <c r="B27" i="15"/>
  <c r="Z26" i="15"/>
  <c r="X26" i="15"/>
  <c r="P26" i="15"/>
  <c r="N26" i="15"/>
  <c r="L26" i="15"/>
  <c r="D26" i="15"/>
  <c r="B26" i="15"/>
  <c r="Z25" i="15"/>
  <c r="X25" i="15"/>
  <c r="P25" i="15"/>
  <c r="N25" i="15"/>
  <c r="L25" i="15"/>
  <c r="D25" i="15"/>
  <c r="B25" i="15"/>
  <c r="Z24" i="15"/>
  <c r="X24" i="15"/>
  <c r="P24" i="15"/>
  <c r="N24" i="15"/>
  <c r="L24" i="15"/>
  <c r="D24" i="15"/>
  <c r="B24" i="15"/>
  <c r="Z23" i="15"/>
  <c r="P23" i="15"/>
  <c r="X23" i="15" s="1"/>
  <c r="N23" i="15"/>
  <c r="L23" i="15"/>
  <c r="D23" i="15"/>
  <c r="B23" i="15"/>
  <c r="Z22" i="15"/>
  <c r="P22" i="15"/>
  <c r="X22" i="15" s="1"/>
  <c r="N22" i="15"/>
  <c r="L22" i="15"/>
  <c r="D22" i="15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D20" i="15"/>
  <c r="L20" i="15" s="1"/>
  <c r="B20" i="15"/>
  <c r="Z19" i="15"/>
  <c r="P19" i="15"/>
  <c r="X19" i="15" s="1"/>
  <c r="N19" i="15"/>
  <c r="D19" i="15"/>
  <c r="L19" i="15" s="1"/>
  <c r="B19" i="15"/>
  <c r="Z18" i="15"/>
  <c r="X18" i="15"/>
  <c r="P18" i="15"/>
  <c r="N18" i="15"/>
  <c r="D18" i="15"/>
  <c r="L18" i="15" s="1"/>
  <c r="B18" i="15"/>
  <c r="Z17" i="15"/>
  <c r="X17" i="15"/>
  <c r="P17" i="15"/>
  <c r="N17" i="15"/>
  <c r="D17" i="15"/>
  <c r="L17" i="15" s="1"/>
  <c r="B17" i="15"/>
  <c r="Z16" i="15"/>
  <c r="X16" i="15"/>
  <c r="P16" i="15"/>
  <c r="N16" i="15"/>
  <c r="D16" i="15"/>
  <c r="L16" i="15" s="1"/>
  <c r="B16" i="15"/>
  <c r="Z15" i="15"/>
  <c r="X15" i="15"/>
  <c r="P15" i="15"/>
  <c r="N15" i="15"/>
  <c r="L15" i="15"/>
  <c r="D15" i="15"/>
  <c r="B15" i="15"/>
  <c r="Z14" i="15"/>
  <c r="X14" i="15"/>
  <c r="P14" i="15"/>
  <c r="N14" i="15"/>
  <c r="L14" i="15"/>
  <c r="D14" i="15"/>
  <c r="B14" i="15"/>
  <c r="X13" i="15"/>
  <c r="Z13" i="15" s="1"/>
  <c r="P13" i="15"/>
  <c r="L13" i="15"/>
  <c r="N13" i="15" s="1"/>
  <c r="D13" i="15"/>
  <c r="B13" i="15"/>
  <c r="T12" i="15"/>
  <c r="V264" i="15" s="1"/>
  <c r="H12" i="15"/>
  <c r="D4" i="15"/>
  <c r="Z286" i="12"/>
  <c r="X286" i="12"/>
  <c r="L286" i="12"/>
  <c r="N286" i="12" s="1"/>
  <c r="Z282" i="12"/>
  <c r="P282" i="12"/>
  <c r="X282" i="12" s="1"/>
  <c r="N282" i="12"/>
  <c r="L282" i="12"/>
  <c r="D282" i="12"/>
  <c r="B282" i="12"/>
  <c r="Z281" i="12"/>
  <c r="X281" i="12"/>
  <c r="P281" i="12"/>
  <c r="N281" i="12"/>
  <c r="L281" i="12"/>
  <c r="D281" i="12"/>
  <c r="B281" i="12"/>
  <c r="Z280" i="12"/>
  <c r="P280" i="12"/>
  <c r="X280" i="12" s="1"/>
  <c r="N280" i="12"/>
  <c r="L280" i="12"/>
  <c r="D280" i="12"/>
  <c r="B280" i="12"/>
  <c r="Z279" i="12"/>
  <c r="X279" i="12"/>
  <c r="P279" i="12"/>
  <c r="N279" i="12"/>
  <c r="J279" i="12"/>
  <c r="D279" i="12"/>
  <c r="L279" i="12" s="1"/>
  <c r="B279" i="12"/>
  <c r="X278" i="12"/>
  <c r="Z278" i="12" s="1"/>
  <c r="P278" i="12"/>
  <c r="L278" i="12"/>
  <c r="N278" i="12" s="1"/>
  <c r="D278" i="12"/>
  <c r="B278" i="12"/>
  <c r="P277" i="12"/>
  <c r="X277" i="12" s="1"/>
  <c r="Z277" i="12" s="1"/>
  <c r="D277" i="12"/>
  <c r="L277" i="12" s="1"/>
  <c r="N277" i="12" s="1"/>
  <c r="B277" i="12"/>
  <c r="Z276" i="12"/>
  <c r="X276" i="12"/>
  <c r="P276" i="12"/>
  <c r="N276" i="12"/>
  <c r="L276" i="12"/>
  <c r="D276" i="12"/>
  <c r="B276" i="12"/>
  <c r="Z275" i="12"/>
  <c r="X275" i="12"/>
  <c r="P275" i="12"/>
  <c r="P273" i="12" s="1"/>
  <c r="X273" i="12" s="1"/>
  <c r="N275" i="12"/>
  <c r="D275" i="12"/>
  <c r="L275" i="12" s="1"/>
  <c r="B275" i="12"/>
  <c r="Z274" i="12"/>
  <c r="X274" i="12"/>
  <c r="P274" i="12"/>
  <c r="N274" i="12"/>
  <c r="L274" i="12"/>
  <c r="D274" i="12"/>
  <c r="B274" i="12"/>
  <c r="T273" i="12"/>
  <c r="J273" i="12"/>
  <c r="H273" i="12"/>
  <c r="D273" i="12"/>
  <c r="L273" i="12" s="1"/>
  <c r="N273" i="12" s="1"/>
  <c r="X271" i="12"/>
  <c r="Z271" i="12" s="1"/>
  <c r="N271" i="12"/>
  <c r="L271" i="12"/>
  <c r="B271" i="12"/>
  <c r="T270" i="12"/>
  <c r="P270" i="12"/>
  <c r="X270" i="12" s="1"/>
  <c r="Z270" i="12" s="1"/>
  <c r="H270" i="12"/>
  <c r="D270" i="12"/>
  <c r="L270" i="12" s="1"/>
  <c r="N270" i="12" s="1"/>
  <c r="B270" i="12"/>
  <c r="X269" i="12"/>
  <c r="Z269" i="12" s="1"/>
  <c r="L269" i="12"/>
  <c r="N269" i="12" s="1"/>
  <c r="B269" i="12"/>
  <c r="X268" i="12"/>
  <c r="Z268" i="12" s="1"/>
  <c r="N268" i="12"/>
  <c r="L268" i="12"/>
  <c r="J268" i="12"/>
  <c r="B268" i="12"/>
  <c r="Z267" i="12"/>
  <c r="X267" i="12"/>
  <c r="N267" i="12"/>
  <c r="L267" i="12"/>
  <c r="B267" i="12"/>
  <c r="Z266" i="12"/>
  <c r="X266" i="12"/>
  <c r="T266" i="12"/>
  <c r="P266" i="12"/>
  <c r="L266" i="12"/>
  <c r="N266" i="12" s="1"/>
  <c r="H266" i="12"/>
  <c r="D266" i="12"/>
  <c r="B266" i="12"/>
  <c r="X265" i="12"/>
  <c r="Z265" i="12" s="1"/>
  <c r="N265" i="12"/>
  <c r="L265" i="12"/>
  <c r="B265" i="12"/>
  <c r="Z264" i="12"/>
  <c r="T264" i="12"/>
  <c r="P264" i="12"/>
  <c r="X264" i="12" s="1"/>
  <c r="H264" i="12"/>
  <c r="D264" i="12"/>
  <c r="B264" i="12"/>
  <c r="X263" i="12"/>
  <c r="Z263" i="12" s="1"/>
  <c r="N263" i="12"/>
  <c r="L263" i="12"/>
  <c r="B263" i="12"/>
  <c r="Z262" i="12"/>
  <c r="X262" i="12"/>
  <c r="N262" i="12"/>
  <c r="L262" i="12"/>
  <c r="B262" i="12"/>
  <c r="T261" i="12"/>
  <c r="P261" i="12"/>
  <c r="X261" i="12" s="1"/>
  <c r="Z261" i="12" s="1"/>
  <c r="L261" i="12"/>
  <c r="H261" i="12"/>
  <c r="N261" i="12" s="1"/>
  <c r="D261" i="12"/>
  <c r="B261" i="12"/>
  <c r="X260" i="12"/>
  <c r="Z260" i="12" s="1"/>
  <c r="N260" i="12"/>
  <c r="L260" i="12"/>
  <c r="B260" i="12"/>
  <c r="Z259" i="12"/>
  <c r="X259" i="12"/>
  <c r="N259" i="12"/>
  <c r="L259" i="12"/>
  <c r="B259" i="12"/>
  <c r="Z258" i="12"/>
  <c r="X258" i="12"/>
  <c r="L258" i="12"/>
  <c r="N258" i="12" s="1"/>
  <c r="B258" i="12"/>
  <c r="X257" i="12"/>
  <c r="Z257" i="12" s="1"/>
  <c r="N257" i="12"/>
  <c r="L257" i="12"/>
  <c r="B257" i="12"/>
  <c r="X256" i="12"/>
  <c r="Z256" i="12" s="1"/>
  <c r="N256" i="12"/>
  <c r="L256" i="12"/>
  <c r="B256" i="12"/>
  <c r="Z255" i="12"/>
  <c r="X255" i="12"/>
  <c r="N255" i="12"/>
  <c r="L255" i="12"/>
  <c r="B255" i="12"/>
  <c r="Z254" i="12"/>
  <c r="X254" i="12"/>
  <c r="N254" i="12"/>
  <c r="L254" i="12"/>
  <c r="B254" i="12"/>
  <c r="X253" i="12"/>
  <c r="Z253" i="12" s="1"/>
  <c r="L253" i="12"/>
  <c r="N253" i="12" s="1"/>
  <c r="B253" i="12"/>
  <c r="X252" i="12"/>
  <c r="Z252" i="12" s="1"/>
  <c r="N252" i="12"/>
  <c r="L252" i="12"/>
  <c r="B252" i="12"/>
  <c r="T251" i="12"/>
  <c r="P251" i="12"/>
  <c r="X251" i="12" s="1"/>
  <c r="Z251" i="12" s="1"/>
  <c r="L251" i="12"/>
  <c r="H251" i="12"/>
  <c r="D251" i="12"/>
  <c r="B251" i="12"/>
  <c r="X250" i="12"/>
  <c r="Z250" i="12" s="1"/>
  <c r="N250" i="12"/>
  <c r="L250" i="12"/>
  <c r="B250" i="12"/>
  <c r="X249" i="12"/>
  <c r="Z249" i="12" s="1"/>
  <c r="N249" i="12"/>
  <c r="L249" i="12"/>
  <c r="B249" i="12"/>
  <c r="Z248" i="12"/>
  <c r="T248" i="12"/>
  <c r="P248" i="12"/>
  <c r="X248" i="12" s="1"/>
  <c r="H248" i="12"/>
  <c r="D248" i="12"/>
  <c r="B248" i="12"/>
  <c r="X247" i="12"/>
  <c r="Z247" i="12" s="1"/>
  <c r="N247" i="12"/>
  <c r="L247" i="12"/>
  <c r="B247" i="12"/>
  <c r="Z246" i="12"/>
  <c r="X246" i="12"/>
  <c r="N246" i="12"/>
  <c r="L246" i="12"/>
  <c r="B246" i="12"/>
  <c r="Z245" i="12"/>
  <c r="X245" i="12"/>
  <c r="L245" i="12"/>
  <c r="N245" i="12" s="1"/>
  <c r="B245" i="12"/>
  <c r="Z244" i="12"/>
  <c r="X244" i="12"/>
  <c r="L244" i="12"/>
  <c r="N244" i="12" s="1"/>
  <c r="B244" i="12"/>
  <c r="X243" i="12"/>
  <c r="Z243" i="12" s="1"/>
  <c r="N243" i="12"/>
  <c r="L243" i="12"/>
  <c r="B243" i="12"/>
  <c r="Z242" i="12"/>
  <c r="X242" i="12"/>
  <c r="N242" i="12"/>
  <c r="L242" i="12"/>
  <c r="B242" i="12"/>
  <c r="T241" i="12"/>
  <c r="P241" i="12"/>
  <c r="X241" i="12" s="1"/>
  <c r="Z241" i="12" s="1"/>
  <c r="L241" i="12"/>
  <c r="H241" i="12"/>
  <c r="D241" i="12"/>
  <c r="B241" i="12"/>
  <c r="X240" i="12"/>
  <c r="Z240" i="12" s="1"/>
  <c r="N240" i="12"/>
  <c r="L240" i="12"/>
  <c r="B240" i="12"/>
  <c r="Z239" i="12"/>
  <c r="X239" i="12"/>
  <c r="N239" i="12"/>
  <c r="L239" i="12"/>
  <c r="B239" i="12"/>
  <c r="Z238" i="12"/>
  <c r="X238" i="12"/>
  <c r="L238" i="12"/>
  <c r="N238" i="12" s="1"/>
  <c r="B238" i="12"/>
  <c r="X237" i="12"/>
  <c r="Z237" i="12" s="1"/>
  <c r="L237" i="12"/>
  <c r="N237" i="12" s="1"/>
  <c r="B237" i="12"/>
  <c r="X236" i="12"/>
  <c r="Z236" i="12" s="1"/>
  <c r="T236" i="12"/>
  <c r="P236" i="12"/>
  <c r="N236" i="12"/>
  <c r="L236" i="12"/>
  <c r="H236" i="12"/>
  <c r="D236" i="12"/>
  <c r="B236" i="12"/>
  <c r="Z235" i="12"/>
  <c r="X235" i="12"/>
  <c r="L235" i="12"/>
  <c r="N235" i="12" s="1"/>
  <c r="B235" i="12"/>
  <c r="X234" i="12"/>
  <c r="Z234" i="12" s="1"/>
  <c r="N234" i="12"/>
  <c r="L234" i="12"/>
  <c r="J234" i="12"/>
  <c r="B234" i="12"/>
  <c r="X233" i="12"/>
  <c r="Z233" i="12" s="1"/>
  <c r="N233" i="12"/>
  <c r="L233" i="12"/>
  <c r="B233" i="12"/>
  <c r="Z232" i="12"/>
  <c r="X232" i="12"/>
  <c r="N232" i="12"/>
  <c r="L232" i="12"/>
  <c r="B232" i="12"/>
  <c r="T231" i="12"/>
  <c r="P231" i="12"/>
  <c r="L231" i="12"/>
  <c r="N231" i="12" s="1"/>
  <c r="H231" i="12"/>
  <c r="D231" i="12"/>
  <c r="B231" i="12"/>
  <c r="Z230" i="12"/>
  <c r="X230" i="12"/>
  <c r="N230" i="12"/>
  <c r="L230" i="12"/>
  <c r="B230" i="12"/>
  <c r="T229" i="12"/>
  <c r="Z229" i="12" s="1"/>
  <c r="P229" i="12"/>
  <c r="X229" i="12" s="1"/>
  <c r="H229" i="12"/>
  <c r="D229" i="12"/>
  <c r="B229" i="12"/>
  <c r="Z228" i="12"/>
  <c r="X228" i="12"/>
  <c r="N228" i="12"/>
  <c r="L228" i="12"/>
  <c r="J228" i="12"/>
  <c r="B228" i="12"/>
  <c r="Z227" i="12"/>
  <c r="T227" i="12"/>
  <c r="P227" i="12"/>
  <c r="X227" i="12" s="1"/>
  <c r="H227" i="12"/>
  <c r="N227" i="12" s="1"/>
  <c r="D227" i="12"/>
  <c r="B227" i="12"/>
  <c r="X226" i="12"/>
  <c r="Z226" i="12" s="1"/>
  <c r="N226" i="12"/>
  <c r="L226" i="12"/>
  <c r="B226" i="12"/>
  <c r="X225" i="12"/>
  <c r="Z225" i="12" s="1"/>
  <c r="T225" i="12"/>
  <c r="P225" i="12"/>
  <c r="N225" i="12"/>
  <c r="H225" i="12"/>
  <c r="D225" i="12"/>
  <c r="L225" i="12" s="1"/>
  <c r="B225" i="12"/>
  <c r="Z224" i="12"/>
  <c r="X224" i="12"/>
  <c r="L224" i="12"/>
  <c r="N224" i="12" s="1"/>
  <c r="B224" i="12"/>
  <c r="X223" i="12"/>
  <c r="T223" i="12"/>
  <c r="P223" i="12"/>
  <c r="H223" i="12"/>
  <c r="D223" i="12"/>
  <c r="L223" i="12" s="1"/>
  <c r="N223" i="12" s="1"/>
  <c r="B223" i="12"/>
  <c r="Z222" i="12"/>
  <c r="X222" i="12"/>
  <c r="L222" i="12"/>
  <c r="N222" i="12" s="1"/>
  <c r="B222" i="12"/>
  <c r="T221" i="12"/>
  <c r="P221" i="12"/>
  <c r="X221" i="12" s="1"/>
  <c r="H221" i="12"/>
  <c r="D221" i="12"/>
  <c r="L221" i="12" s="1"/>
  <c r="N221" i="12" s="1"/>
  <c r="B221" i="12"/>
  <c r="Z220" i="12"/>
  <c r="X220" i="12"/>
  <c r="N220" i="12"/>
  <c r="L220" i="12"/>
  <c r="B220" i="12"/>
  <c r="T219" i="12"/>
  <c r="Z219" i="12" s="1"/>
  <c r="P219" i="12"/>
  <c r="X219" i="12" s="1"/>
  <c r="L219" i="12"/>
  <c r="N219" i="12" s="1"/>
  <c r="H219" i="12"/>
  <c r="D219" i="12"/>
  <c r="B219" i="12"/>
  <c r="Z218" i="12"/>
  <c r="X218" i="12"/>
  <c r="N218" i="12"/>
  <c r="L218" i="12"/>
  <c r="B218" i="12"/>
  <c r="T217" i="12"/>
  <c r="P217" i="12"/>
  <c r="X217" i="12" s="1"/>
  <c r="Z217" i="12" s="1"/>
  <c r="L217" i="12"/>
  <c r="H217" i="12"/>
  <c r="D217" i="12"/>
  <c r="B217" i="12"/>
  <c r="X216" i="12"/>
  <c r="Z216" i="12" s="1"/>
  <c r="N216" i="12"/>
  <c r="L216" i="12"/>
  <c r="B216" i="12"/>
  <c r="Z215" i="12"/>
  <c r="X215" i="12"/>
  <c r="N215" i="12"/>
  <c r="L215" i="12"/>
  <c r="B215" i="12"/>
  <c r="Z214" i="12"/>
  <c r="X214" i="12"/>
  <c r="T214" i="12"/>
  <c r="P214" i="12"/>
  <c r="L214" i="12"/>
  <c r="N214" i="12" s="1"/>
  <c r="H214" i="12"/>
  <c r="D214" i="12"/>
  <c r="B214" i="12"/>
  <c r="X213" i="12"/>
  <c r="Z213" i="12" s="1"/>
  <c r="N213" i="12"/>
  <c r="L213" i="12"/>
  <c r="B213" i="12"/>
  <c r="T212" i="12"/>
  <c r="P212" i="12"/>
  <c r="X212" i="12" s="1"/>
  <c r="Z212" i="12" s="1"/>
  <c r="H212" i="12"/>
  <c r="D212" i="12"/>
  <c r="B212" i="12"/>
  <c r="X211" i="12"/>
  <c r="Z211" i="12" s="1"/>
  <c r="N211" i="12"/>
  <c r="L211" i="12"/>
  <c r="B211" i="12"/>
  <c r="T210" i="12"/>
  <c r="P210" i="12"/>
  <c r="X210" i="12" s="1"/>
  <c r="Z210" i="12" s="1"/>
  <c r="N210" i="12"/>
  <c r="H210" i="12"/>
  <c r="D210" i="12"/>
  <c r="L210" i="12" s="1"/>
  <c r="B210" i="12"/>
  <c r="Z209" i="12"/>
  <c r="X209" i="12"/>
  <c r="N209" i="12"/>
  <c r="L209" i="12"/>
  <c r="B209" i="12"/>
  <c r="X208" i="12"/>
  <c r="Z208" i="12" s="1"/>
  <c r="N208" i="12"/>
  <c r="L208" i="12"/>
  <c r="J208" i="12"/>
  <c r="B208" i="12"/>
  <c r="T207" i="12"/>
  <c r="P207" i="12"/>
  <c r="X207" i="12" s="1"/>
  <c r="Z207" i="12" s="1"/>
  <c r="H207" i="12"/>
  <c r="D207" i="12"/>
  <c r="L207" i="12" s="1"/>
  <c r="B207" i="12"/>
  <c r="Z206" i="12"/>
  <c r="X206" i="12"/>
  <c r="N206" i="12"/>
  <c r="L206" i="12"/>
  <c r="J206" i="12"/>
  <c r="B206" i="12"/>
  <c r="X205" i="12"/>
  <c r="Z205" i="12" s="1"/>
  <c r="N205" i="12"/>
  <c r="L205" i="12"/>
  <c r="B205" i="12"/>
  <c r="Z204" i="12"/>
  <c r="T204" i="12"/>
  <c r="P204" i="12"/>
  <c r="X204" i="12" s="1"/>
  <c r="H204" i="12"/>
  <c r="D204" i="12"/>
  <c r="B204" i="12"/>
  <c r="X203" i="12"/>
  <c r="Z203" i="12" s="1"/>
  <c r="N203" i="12"/>
  <c r="L203" i="12"/>
  <c r="B203" i="12"/>
  <c r="Z202" i="12"/>
  <c r="X202" i="12"/>
  <c r="N202" i="12"/>
  <c r="L202" i="12"/>
  <c r="B202" i="12"/>
  <c r="Z201" i="12"/>
  <c r="X201" i="12"/>
  <c r="L201" i="12"/>
  <c r="N201" i="12" s="1"/>
  <c r="B201" i="12"/>
  <c r="Z200" i="12"/>
  <c r="X200" i="12"/>
  <c r="L200" i="12"/>
  <c r="N200" i="12" s="1"/>
  <c r="B200" i="12"/>
  <c r="T199" i="12"/>
  <c r="P199" i="12"/>
  <c r="H199" i="12"/>
  <c r="D199" i="12"/>
  <c r="L199" i="12" s="1"/>
  <c r="N199" i="12" s="1"/>
  <c r="B199" i="12"/>
  <c r="Z198" i="12"/>
  <c r="X198" i="12"/>
  <c r="L198" i="12"/>
  <c r="N198" i="12" s="1"/>
  <c r="B198" i="12"/>
  <c r="X197" i="12"/>
  <c r="T197" i="12"/>
  <c r="P197" i="12"/>
  <c r="H197" i="12"/>
  <c r="D197" i="12"/>
  <c r="L197" i="12" s="1"/>
  <c r="N197" i="12" s="1"/>
  <c r="B197" i="12"/>
  <c r="Z196" i="12"/>
  <c r="X196" i="12"/>
  <c r="N196" i="12"/>
  <c r="L196" i="12"/>
  <c r="B196" i="12"/>
  <c r="Z195" i="12"/>
  <c r="X195" i="12"/>
  <c r="L195" i="12"/>
  <c r="N195" i="12" s="1"/>
  <c r="B195" i="12"/>
  <c r="T194" i="12"/>
  <c r="P194" i="12"/>
  <c r="J194" i="12"/>
  <c r="H194" i="12"/>
  <c r="D194" i="12"/>
  <c r="L194" i="12" s="1"/>
  <c r="N194" i="12" s="1"/>
  <c r="B194" i="12"/>
  <c r="Z193" i="12"/>
  <c r="X193" i="12"/>
  <c r="L193" i="12"/>
  <c r="N193" i="12" s="1"/>
  <c r="B193" i="12"/>
  <c r="T192" i="12"/>
  <c r="P192" i="12"/>
  <c r="X192" i="12" s="1"/>
  <c r="Z192" i="12" s="1"/>
  <c r="H192" i="12"/>
  <c r="D192" i="12"/>
  <c r="L192" i="12" s="1"/>
  <c r="N192" i="12" s="1"/>
  <c r="B192" i="12"/>
  <c r="Z191" i="12"/>
  <c r="X191" i="12"/>
  <c r="N191" i="12"/>
  <c r="L191" i="12"/>
  <c r="B191" i="12"/>
  <c r="Z190" i="12"/>
  <c r="X190" i="12"/>
  <c r="N190" i="12"/>
  <c r="L190" i="12"/>
  <c r="B190" i="12"/>
  <c r="X189" i="12"/>
  <c r="Z189" i="12" s="1"/>
  <c r="N189" i="12"/>
  <c r="L189" i="12"/>
  <c r="B189" i="12"/>
  <c r="X188" i="12"/>
  <c r="Z188" i="12" s="1"/>
  <c r="N188" i="12"/>
  <c r="L188" i="12"/>
  <c r="B188" i="12"/>
  <c r="Z187" i="12"/>
  <c r="X187" i="12"/>
  <c r="N187" i="12"/>
  <c r="L187" i="12"/>
  <c r="B187" i="12"/>
  <c r="X186" i="12"/>
  <c r="Z186" i="12" s="1"/>
  <c r="L186" i="12"/>
  <c r="N186" i="12" s="1"/>
  <c r="B186" i="12"/>
  <c r="X185" i="12"/>
  <c r="Z185" i="12" s="1"/>
  <c r="L185" i="12"/>
  <c r="N185" i="12" s="1"/>
  <c r="B185" i="12"/>
  <c r="Z184" i="12"/>
  <c r="X184" i="12"/>
  <c r="N184" i="12"/>
  <c r="L184" i="12"/>
  <c r="B184" i="12"/>
  <c r="Z183" i="12"/>
  <c r="X183" i="12"/>
  <c r="N183" i="12"/>
  <c r="L183" i="12"/>
  <c r="B183" i="12"/>
  <c r="X182" i="12"/>
  <c r="Z182" i="12" s="1"/>
  <c r="L182" i="12"/>
  <c r="N182" i="12" s="1"/>
  <c r="B182" i="12"/>
  <c r="T181" i="12"/>
  <c r="P181" i="12"/>
  <c r="X181" i="12" s="1"/>
  <c r="H181" i="12"/>
  <c r="D181" i="12"/>
  <c r="L181" i="12" s="1"/>
  <c r="N181" i="12" s="1"/>
  <c r="B181" i="12"/>
  <c r="Z180" i="12"/>
  <c r="X180" i="12"/>
  <c r="N180" i="12"/>
  <c r="L180" i="12"/>
  <c r="B180" i="12"/>
  <c r="Z179" i="12"/>
  <c r="X179" i="12"/>
  <c r="L179" i="12"/>
  <c r="N179" i="12" s="1"/>
  <c r="B179" i="12"/>
  <c r="X178" i="12"/>
  <c r="Z178" i="12" s="1"/>
  <c r="N178" i="12"/>
  <c r="L178" i="12"/>
  <c r="B178" i="12"/>
  <c r="Z177" i="12"/>
  <c r="X177" i="12"/>
  <c r="N177" i="12"/>
  <c r="L177" i="12"/>
  <c r="B177" i="12"/>
  <c r="Z176" i="12"/>
  <c r="X176" i="12"/>
  <c r="N176" i="12"/>
  <c r="L176" i="12"/>
  <c r="B176" i="12"/>
  <c r="Z175" i="12"/>
  <c r="X175" i="12"/>
  <c r="L175" i="12"/>
  <c r="N175" i="12" s="1"/>
  <c r="B175" i="12"/>
  <c r="X174" i="12"/>
  <c r="Z174" i="12" s="1"/>
  <c r="N174" i="12"/>
  <c r="L174" i="12"/>
  <c r="B174" i="12"/>
  <c r="X173" i="12"/>
  <c r="Z173" i="12" s="1"/>
  <c r="N173" i="12"/>
  <c r="L173" i="12"/>
  <c r="B173" i="12"/>
  <c r="Z172" i="12"/>
  <c r="X172" i="12"/>
  <c r="N172" i="12"/>
  <c r="L172" i="12"/>
  <c r="B172" i="12"/>
  <c r="Z171" i="12"/>
  <c r="X171" i="12"/>
  <c r="L171" i="12"/>
  <c r="N171" i="12" s="1"/>
  <c r="J171" i="12"/>
  <c r="B171" i="12"/>
  <c r="X170" i="12"/>
  <c r="T170" i="12"/>
  <c r="P170" i="12"/>
  <c r="H170" i="12"/>
  <c r="N170" i="12" s="1"/>
  <c r="D170" i="12"/>
  <c r="L170" i="12" s="1"/>
  <c r="B170" i="12"/>
  <c r="T169" i="12"/>
  <c r="P169" i="12"/>
  <c r="X169" i="12" s="1"/>
  <c r="Z169" i="12" s="1"/>
  <c r="H169" i="12"/>
  <c r="L169" i="12" s="1"/>
  <c r="D169" i="12"/>
  <c r="H167" i="12"/>
  <c r="Z165" i="12"/>
  <c r="X165" i="12"/>
  <c r="N165" i="12"/>
  <c r="L165" i="12"/>
  <c r="B165" i="12"/>
  <c r="Z164" i="12"/>
  <c r="X164" i="12"/>
  <c r="N164" i="12"/>
  <c r="L164" i="12"/>
  <c r="B164" i="12"/>
  <c r="Z163" i="12"/>
  <c r="X163" i="12"/>
  <c r="N163" i="12"/>
  <c r="L163" i="12"/>
  <c r="B163" i="12"/>
  <c r="Z162" i="12"/>
  <c r="X162" i="12"/>
  <c r="N162" i="12"/>
  <c r="L162" i="12"/>
  <c r="B162" i="12"/>
  <c r="Z161" i="12"/>
  <c r="X161" i="12"/>
  <c r="N161" i="12"/>
  <c r="L161" i="12"/>
  <c r="B161" i="12"/>
  <c r="Z160" i="12"/>
  <c r="X160" i="12"/>
  <c r="N160" i="12"/>
  <c r="L160" i="12"/>
  <c r="B160" i="12"/>
  <c r="Z159" i="12"/>
  <c r="X159" i="12"/>
  <c r="N159" i="12"/>
  <c r="L159" i="12"/>
  <c r="B159" i="12"/>
  <c r="Z158" i="12"/>
  <c r="X158" i="12"/>
  <c r="N158" i="12"/>
  <c r="L158" i="12"/>
  <c r="B158" i="12"/>
  <c r="Z157" i="12"/>
  <c r="X157" i="12"/>
  <c r="N157" i="12"/>
  <c r="L157" i="12"/>
  <c r="B157" i="12"/>
  <c r="Z156" i="12"/>
  <c r="X156" i="12"/>
  <c r="N156" i="12"/>
  <c r="L156" i="12"/>
  <c r="B156" i="12"/>
  <c r="Z155" i="12"/>
  <c r="X155" i="12"/>
  <c r="N155" i="12"/>
  <c r="L155" i="12"/>
  <c r="B155" i="12"/>
  <c r="Z154" i="12"/>
  <c r="X154" i="12"/>
  <c r="N154" i="12"/>
  <c r="L154" i="12"/>
  <c r="J154" i="12"/>
  <c r="B154" i="12"/>
  <c r="Z153" i="12"/>
  <c r="X153" i="12"/>
  <c r="N153" i="12"/>
  <c r="L153" i="12"/>
  <c r="B153" i="12"/>
  <c r="Z152" i="12"/>
  <c r="X152" i="12"/>
  <c r="N152" i="12"/>
  <c r="L152" i="12"/>
  <c r="J152" i="12"/>
  <c r="B152" i="12"/>
  <c r="Z151" i="12"/>
  <c r="X151" i="12"/>
  <c r="N151" i="12"/>
  <c r="L151" i="12"/>
  <c r="J151" i="12"/>
  <c r="B151" i="12"/>
  <c r="Z150" i="12"/>
  <c r="X150" i="12"/>
  <c r="N150" i="12"/>
  <c r="L150" i="12"/>
  <c r="B150" i="12"/>
  <c r="Z149" i="12"/>
  <c r="X149" i="12"/>
  <c r="N149" i="12"/>
  <c r="L149" i="12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N146" i="12"/>
  <c r="L146" i="12"/>
  <c r="B146" i="12"/>
  <c r="Z145" i="12"/>
  <c r="X145" i="12"/>
  <c r="N145" i="12"/>
  <c r="L145" i="12"/>
  <c r="B145" i="12"/>
  <c r="Z144" i="12"/>
  <c r="X144" i="12"/>
  <c r="N144" i="12"/>
  <c r="L144" i="12"/>
  <c r="J144" i="12"/>
  <c r="B144" i="12"/>
  <c r="Z143" i="12"/>
  <c r="X143" i="12"/>
  <c r="N143" i="12"/>
  <c r="L143" i="12"/>
  <c r="B143" i="12"/>
  <c r="Z142" i="12"/>
  <c r="X142" i="12"/>
  <c r="N142" i="12"/>
  <c r="L142" i="12"/>
  <c r="B142" i="12"/>
  <c r="Z141" i="12"/>
  <c r="X141" i="12"/>
  <c r="N141" i="12"/>
  <c r="L141" i="12"/>
  <c r="B141" i="12"/>
  <c r="Z140" i="12"/>
  <c r="X140" i="12"/>
  <c r="N140" i="12"/>
  <c r="L140" i="12"/>
  <c r="J140" i="12"/>
  <c r="B140" i="12"/>
  <c r="Z139" i="12"/>
  <c r="X139" i="12"/>
  <c r="N139" i="12"/>
  <c r="L139" i="12"/>
  <c r="B139" i="12"/>
  <c r="Z138" i="12"/>
  <c r="X138" i="12"/>
  <c r="N138" i="12"/>
  <c r="L138" i="12"/>
  <c r="J138" i="12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N135" i="12"/>
  <c r="L135" i="12"/>
  <c r="J135" i="12"/>
  <c r="B135" i="12"/>
  <c r="Z134" i="12"/>
  <c r="X134" i="12"/>
  <c r="N134" i="12"/>
  <c r="L134" i="12"/>
  <c r="B134" i="12"/>
  <c r="Z133" i="12"/>
  <c r="X133" i="12"/>
  <c r="N133" i="12"/>
  <c r="L133" i="12"/>
  <c r="B133" i="12"/>
  <c r="Z132" i="12"/>
  <c r="X132" i="12"/>
  <c r="N132" i="12"/>
  <c r="L132" i="12"/>
  <c r="B132" i="12"/>
  <c r="Z131" i="12"/>
  <c r="X131" i="12"/>
  <c r="N131" i="12"/>
  <c r="L131" i="12"/>
  <c r="B131" i="12"/>
  <c r="Z130" i="12"/>
  <c r="X130" i="12"/>
  <c r="N130" i="12"/>
  <c r="L130" i="12"/>
  <c r="J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N127" i="12"/>
  <c r="L127" i="12"/>
  <c r="J127" i="12"/>
  <c r="B127" i="12"/>
  <c r="Z126" i="12"/>
  <c r="X126" i="12"/>
  <c r="N126" i="12"/>
  <c r="L126" i="12"/>
  <c r="J126" i="12"/>
  <c r="B126" i="12"/>
  <c r="Z125" i="12"/>
  <c r="X125" i="12"/>
  <c r="V125" i="12"/>
  <c r="N125" i="12"/>
  <c r="L125" i="12"/>
  <c r="B125" i="12"/>
  <c r="Z124" i="12"/>
  <c r="X124" i="12"/>
  <c r="N124" i="12"/>
  <c r="L124" i="12"/>
  <c r="B124" i="12"/>
  <c r="Z123" i="12"/>
  <c r="X123" i="12"/>
  <c r="N123" i="12"/>
  <c r="L123" i="12"/>
  <c r="J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J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L113" i="12"/>
  <c r="N113" i="12" s="1"/>
  <c r="B113" i="12"/>
  <c r="T112" i="12"/>
  <c r="P112" i="12"/>
  <c r="X112" i="12" s="1"/>
  <c r="Z112" i="12" s="1"/>
  <c r="J112" i="12"/>
  <c r="H112" i="12"/>
  <c r="D112" i="12"/>
  <c r="L112" i="12" s="1"/>
  <c r="N112" i="12" s="1"/>
  <c r="Z110" i="12"/>
  <c r="X110" i="12"/>
  <c r="P110" i="12"/>
  <c r="N110" i="12"/>
  <c r="D110" i="12"/>
  <c r="L110" i="12" s="1"/>
  <c r="B110" i="12"/>
  <c r="Z109" i="12"/>
  <c r="X109" i="12"/>
  <c r="P109" i="12"/>
  <c r="N109" i="12"/>
  <c r="D109" i="12"/>
  <c r="L109" i="12" s="1"/>
  <c r="B109" i="12"/>
  <c r="Z108" i="12"/>
  <c r="X108" i="12"/>
  <c r="P108" i="12"/>
  <c r="N108" i="12"/>
  <c r="L108" i="12"/>
  <c r="D108" i="12"/>
  <c r="B108" i="12"/>
  <c r="Z107" i="12"/>
  <c r="P107" i="12"/>
  <c r="X107" i="12" s="1"/>
  <c r="N107" i="12"/>
  <c r="L107" i="12"/>
  <c r="D107" i="12"/>
  <c r="B107" i="12"/>
  <c r="Z106" i="12"/>
  <c r="X106" i="12"/>
  <c r="P106" i="12"/>
  <c r="N106" i="12"/>
  <c r="L106" i="12"/>
  <c r="D106" i="12"/>
  <c r="B106" i="12"/>
  <c r="Z105" i="12"/>
  <c r="X105" i="12"/>
  <c r="P105" i="12"/>
  <c r="N105" i="12"/>
  <c r="L105" i="12"/>
  <c r="D105" i="12"/>
  <c r="B105" i="12"/>
  <c r="Z104" i="12"/>
  <c r="P104" i="12"/>
  <c r="X104" i="12" s="1"/>
  <c r="N104" i="12"/>
  <c r="L104" i="12"/>
  <c r="D104" i="12"/>
  <c r="B104" i="12"/>
  <c r="Z103" i="12"/>
  <c r="P103" i="12"/>
  <c r="X103" i="12" s="1"/>
  <c r="N103" i="12"/>
  <c r="L103" i="12"/>
  <c r="D103" i="12"/>
  <c r="B103" i="12"/>
  <c r="Z102" i="12"/>
  <c r="P102" i="12"/>
  <c r="X102" i="12" s="1"/>
  <c r="N102" i="12"/>
  <c r="L102" i="12"/>
  <c r="D102" i="12"/>
  <c r="B102" i="12"/>
  <c r="Z101" i="12"/>
  <c r="P101" i="12"/>
  <c r="X101" i="12" s="1"/>
  <c r="N101" i="12"/>
  <c r="D101" i="12"/>
  <c r="L101" i="12" s="1"/>
  <c r="B101" i="12"/>
  <c r="Z100" i="12"/>
  <c r="P100" i="12"/>
  <c r="X100" i="12" s="1"/>
  <c r="N100" i="12"/>
  <c r="D100" i="12"/>
  <c r="L100" i="12" s="1"/>
  <c r="B100" i="12"/>
  <c r="Z99" i="12"/>
  <c r="X99" i="12"/>
  <c r="P99" i="12"/>
  <c r="N99" i="12"/>
  <c r="D99" i="12"/>
  <c r="L99" i="12" s="1"/>
  <c r="B99" i="12"/>
  <c r="Z98" i="12"/>
  <c r="X98" i="12"/>
  <c r="P98" i="12"/>
  <c r="N98" i="12"/>
  <c r="D98" i="12"/>
  <c r="L98" i="12" s="1"/>
  <c r="B98" i="12"/>
  <c r="Z97" i="12"/>
  <c r="X97" i="12"/>
  <c r="P97" i="12"/>
  <c r="N97" i="12"/>
  <c r="L97" i="12"/>
  <c r="D97" i="12"/>
  <c r="B97" i="12"/>
  <c r="Z96" i="12"/>
  <c r="X96" i="12"/>
  <c r="P96" i="12"/>
  <c r="N96" i="12"/>
  <c r="L96" i="12"/>
  <c r="D96" i="12"/>
  <c r="B96" i="12"/>
  <c r="Z95" i="12"/>
  <c r="X95" i="12"/>
  <c r="P95" i="12"/>
  <c r="N95" i="12"/>
  <c r="L95" i="12"/>
  <c r="D95" i="12"/>
  <c r="B95" i="12"/>
  <c r="Z94" i="12"/>
  <c r="P94" i="12"/>
  <c r="X94" i="12" s="1"/>
  <c r="N94" i="12"/>
  <c r="L94" i="12"/>
  <c r="D94" i="12"/>
  <c r="B94" i="12"/>
  <c r="Z93" i="12"/>
  <c r="P93" i="12"/>
  <c r="X93" i="12" s="1"/>
  <c r="N93" i="12"/>
  <c r="L93" i="12"/>
  <c r="D93" i="12"/>
  <c r="B93" i="12"/>
  <c r="Z92" i="12"/>
  <c r="P92" i="12"/>
  <c r="X92" i="12" s="1"/>
  <c r="N92" i="12"/>
  <c r="L92" i="12"/>
  <c r="D92" i="12"/>
  <c r="B92" i="12"/>
  <c r="Z91" i="12"/>
  <c r="P91" i="12"/>
  <c r="X91" i="12" s="1"/>
  <c r="N91" i="12"/>
  <c r="L91" i="12"/>
  <c r="D91" i="12"/>
  <c r="B91" i="12"/>
  <c r="Z90" i="12"/>
  <c r="P90" i="12"/>
  <c r="X90" i="12" s="1"/>
  <c r="N90" i="12"/>
  <c r="L90" i="12"/>
  <c r="D90" i="12"/>
  <c r="B90" i="12"/>
  <c r="Z89" i="12"/>
  <c r="P89" i="12"/>
  <c r="X89" i="12" s="1"/>
  <c r="N89" i="12"/>
  <c r="D89" i="12"/>
  <c r="L89" i="12" s="1"/>
  <c r="B89" i="12"/>
  <c r="Z88" i="12"/>
  <c r="P88" i="12"/>
  <c r="X88" i="12" s="1"/>
  <c r="N88" i="12"/>
  <c r="D88" i="12"/>
  <c r="L88" i="12" s="1"/>
  <c r="B88" i="12"/>
  <c r="Z87" i="12"/>
  <c r="X87" i="12"/>
  <c r="P87" i="12"/>
  <c r="N87" i="12"/>
  <c r="D87" i="12"/>
  <c r="L87" i="12" s="1"/>
  <c r="B87" i="12"/>
  <c r="Z86" i="12"/>
  <c r="X86" i="12"/>
  <c r="P86" i="12"/>
  <c r="N86" i="12"/>
  <c r="L86" i="12"/>
  <c r="D86" i="12"/>
  <c r="B86" i="12"/>
  <c r="Z85" i="12"/>
  <c r="X85" i="12"/>
  <c r="P85" i="12"/>
  <c r="N85" i="12"/>
  <c r="D85" i="12"/>
  <c r="L85" i="12" s="1"/>
  <c r="B85" i="12"/>
  <c r="Z84" i="12"/>
  <c r="X84" i="12"/>
  <c r="P84" i="12"/>
  <c r="N84" i="12"/>
  <c r="L84" i="12"/>
  <c r="D84" i="12"/>
  <c r="B84" i="12"/>
  <c r="Z83" i="12"/>
  <c r="P83" i="12"/>
  <c r="X83" i="12" s="1"/>
  <c r="N83" i="12"/>
  <c r="L83" i="12"/>
  <c r="D83" i="12"/>
  <c r="B83" i="12"/>
  <c r="Z82" i="12"/>
  <c r="X82" i="12"/>
  <c r="P82" i="12"/>
  <c r="N82" i="12"/>
  <c r="L82" i="12"/>
  <c r="D82" i="12"/>
  <c r="B82" i="12"/>
  <c r="Z81" i="12"/>
  <c r="X81" i="12"/>
  <c r="P81" i="12"/>
  <c r="N81" i="12"/>
  <c r="L81" i="12"/>
  <c r="D81" i="12"/>
  <c r="B81" i="12"/>
  <c r="Z80" i="12"/>
  <c r="P80" i="12"/>
  <c r="X80" i="12" s="1"/>
  <c r="N80" i="12"/>
  <c r="L80" i="12"/>
  <c r="D80" i="12"/>
  <c r="B80" i="12"/>
  <c r="Z79" i="12"/>
  <c r="P79" i="12"/>
  <c r="X79" i="12" s="1"/>
  <c r="N79" i="12"/>
  <c r="L79" i="12"/>
  <c r="D79" i="12"/>
  <c r="B79" i="12"/>
  <c r="Z78" i="12"/>
  <c r="P78" i="12"/>
  <c r="X78" i="12" s="1"/>
  <c r="N78" i="12"/>
  <c r="D78" i="12"/>
  <c r="L78" i="12" s="1"/>
  <c r="B78" i="12"/>
  <c r="Z77" i="12"/>
  <c r="X77" i="12"/>
  <c r="P77" i="12"/>
  <c r="N77" i="12"/>
  <c r="L77" i="12"/>
  <c r="D77" i="12"/>
  <c r="B77" i="12"/>
  <c r="Z76" i="12"/>
  <c r="X76" i="12"/>
  <c r="P76" i="12"/>
  <c r="N76" i="12"/>
  <c r="L76" i="12"/>
  <c r="D76" i="12"/>
  <c r="B76" i="12"/>
  <c r="Z75" i="12"/>
  <c r="X75" i="12"/>
  <c r="P75" i="12"/>
  <c r="N75" i="12"/>
  <c r="D75" i="12"/>
  <c r="L75" i="12" s="1"/>
  <c r="B75" i="12"/>
  <c r="Z74" i="12"/>
  <c r="P74" i="12"/>
  <c r="X74" i="12" s="1"/>
  <c r="N74" i="12"/>
  <c r="D74" i="12"/>
  <c r="L74" i="12" s="1"/>
  <c r="B74" i="12"/>
  <c r="Z73" i="12"/>
  <c r="X73" i="12"/>
  <c r="P73" i="12"/>
  <c r="N73" i="12"/>
  <c r="D73" i="12"/>
  <c r="L73" i="12" s="1"/>
  <c r="B73" i="12"/>
  <c r="Z72" i="12"/>
  <c r="X72" i="12"/>
  <c r="P72" i="12"/>
  <c r="N72" i="12"/>
  <c r="L72" i="12"/>
  <c r="D72" i="12"/>
  <c r="B72" i="12"/>
  <c r="Z71" i="12"/>
  <c r="P71" i="12"/>
  <c r="X71" i="12" s="1"/>
  <c r="N71" i="12"/>
  <c r="D71" i="12"/>
  <c r="L71" i="12" s="1"/>
  <c r="B71" i="12"/>
  <c r="Z70" i="12"/>
  <c r="X70" i="12"/>
  <c r="P70" i="12"/>
  <c r="N70" i="12"/>
  <c r="L70" i="12"/>
  <c r="D70" i="12"/>
  <c r="B70" i="12"/>
  <c r="Z69" i="12"/>
  <c r="X69" i="12"/>
  <c r="P69" i="12"/>
  <c r="N69" i="12"/>
  <c r="L69" i="12"/>
  <c r="D69" i="12"/>
  <c r="B69" i="12"/>
  <c r="Z68" i="12"/>
  <c r="X68" i="12"/>
  <c r="P68" i="12"/>
  <c r="N68" i="12"/>
  <c r="D68" i="12"/>
  <c r="L68" i="12" s="1"/>
  <c r="B68" i="12"/>
  <c r="Z67" i="12"/>
  <c r="P67" i="12"/>
  <c r="X67" i="12" s="1"/>
  <c r="N67" i="12"/>
  <c r="L67" i="12"/>
  <c r="D67" i="12"/>
  <c r="B67" i="12"/>
  <c r="Z66" i="12"/>
  <c r="P66" i="12"/>
  <c r="X66" i="12" s="1"/>
  <c r="N66" i="12"/>
  <c r="D66" i="12"/>
  <c r="L66" i="12" s="1"/>
  <c r="B66" i="12"/>
  <c r="Z65" i="12"/>
  <c r="X65" i="12"/>
  <c r="P65" i="12"/>
  <c r="N65" i="12"/>
  <c r="L65" i="12"/>
  <c r="D65" i="12"/>
  <c r="B65" i="12"/>
  <c r="Z64" i="12"/>
  <c r="P64" i="12"/>
  <c r="X64" i="12" s="1"/>
  <c r="N64" i="12"/>
  <c r="D64" i="12"/>
  <c r="L64" i="12" s="1"/>
  <c r="B64" i="12"/>
  <c r="Z63" i="12"/>
  <c r="X63" i="12"/>
  <c r="P63" i="12"/>
  <c r="N63" i="12"/>
  <c r="L63" i="12"/>
  <c r="D63" i="12"/>
  <c r="B63" i="12"/>
  <c r="Z62" i="12"/>
  <c r="X62" i="12"/>
  <c r="P62" i="12"/>
  <c r="N62" i="12"/>
  <c r="L62" i="12"/>
  <c r="D62" i="12"/>
  <c r="B62" i="12"/>
  <c r="Z61" i="12"/>
  <c r="X61" i="12"/>
  <c r="P61" i="12"/>
  <c r="N61" i="12"/>
  <c r="D61" i="12"/>
  <c r="L61" i="12" s="1"/>
  <c r="B61" i="12"/>
  <c r="Z60" i="12"/>
  <c r="P60" i="12"/>
  <c r="X60" i="12" s="1"/>
  <c r="N60" i="12"/>
  <c r="L60" i="12"/>
  <c r="D60" i="12"/>
  <c r="B60" i="12"/>
  <c r="Z59" i="12"/>
  <c r="P59" i="12"/>
  <c r="X59" i="12" s="1"/>
  <c r="N59" i="12"/>
  <c r="L59" i="12"/>
  <c r="D59" i="12"/>
  <c r="B59" i="12"/>
  <c r="Z58" i="12"/>
  <c r="P58" i="12"/>
  <c r="X58" i="12" s="1"/>
  <c r="N58" i="12"/>
  <c r="L58" i="12"/>
  <c r="D58" i="12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D56" i="12"/>
  <c r="L56" i="12" s="1"/>
  <c r="B56" i="12"/>
  <c r="Z55" i="12"/>
  <c r="P55" i="12"/>
  <c r="X55" i="12" s="1"/>
  <c r="N55" i="12"/>
  <c r="D55" i="12"/>
  <c r="L55" i="12" s="1"/>
  <c r="B55" i="12"/>
  <c r="Z54" i="12"/>
  <c r="X54" i="12"/>
  <c r="P54" i="12"/>
  <c r="N54" i="12"/>
  <c r="D54" i="12"/>
  <c r="L54" i="12" s="1"/>
  <c r="B54" i="12"/>
  <c r="Z53" i="12"/>
  <c r="X53" i="12"/>
  <c r="P53" i="12"/>
  <c r="N53" i="12"/>
  <c r="L53" i="12"/>
  <c r="D53" i="12"/>
  <c r="B53" i="12"/>
  <c r="Z52" i="12"/>
  <c r="P52" i="12"/>
  <c r="X52" i="12" s="1"/>
  <c r="N52" i="12"/>
  <c r="D52" i="12"/>
  <c r="L52" i="12" s="1"/>
  <c r="B52" i="12"/>
  <c r="Z51" i="12"/>
  <c r="X51" i="12"/>
  <c r="P51" i="12"/>
  <c r="N51" i="12"/>
  <c r="L51" i="12"/>
  <c r="D51" i="12"/>
  <c r="B51" i="12"/>
  <c r="Z50" i="12"/>
  <c r="X50" i="12"/>
  <c r="P50" i="12"/>
  <c r="N50" i="12"/>
  <c r="L50" i="12"/>
  <c r="D50" i="12"/>
  <c r="B50" i="12"/>
  <c r="Z49" i="12"/>
  <c r="X49" i="12"/>
  <c r="P49" i="12"/>
  <c r="N49" i="12"/>
  <c r="D49" i="12"/>
  <c r="L49" i="12" s="1"/>
  <c r="B49" i="12"/>
  <c r="P48" i="12"/>
  <c r="X48" i="12" s="1"/>
  <c r="Z48" i="12" s="1"/>
  <c r="L48" i="12"/>
  <c r="N48" i="12" s="1"/>
  <c r="D48" i="12"/>
  <c r="B48" i="12"/>
  <c r="Z47" i="12"/>
  <c r="P47" i="12"/>
  <c r="X47" i="12" s="1"/>
  <c r="N47" i="12"/>
  <c r="L47" i="12"/>
  <c r="D47" i="12"/>
  <c r="B47" i="12"/>
  <c r="Z46" i="12"/>
  <c r="P46" i="12"/>
  <c r="X46" i="12" s="1"/>
  <c r="N46" i="12"/>
  <c r="L46" i="12"/>
  <c r="D46" i="12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D44" i="12"/>
  <c r="L44" i="12" s="1"/>
  <c r="B44" i="12"/>
  <c r="Z43" i="12"/>
  <c r="P43" i="12"/>
  <c r="X43" i="12" s="1"/>
  <c r="N43" i="12"/>
  <c r="D43" i="12"/>
  <c r="L43" i="12" s="1"/>
  <c r="B43" i="12"/>
  <c r="Z42" i="12"/>
  <c r="X42" i="12"/>
  <c r="P42" i="12"/>
  <c r="N42" i="12"/>
  <c r="D42" i="12"/>
  <c r="L42" i="12" s="1"/>
  <c r="B42" i="12"/>
  <c r="Z41" i="12"/>
  <c r="X41" i="12"/>
  <c r="P41" i="12"/>
  <c r="N41" i="12"/>
  <c r="L41" i="12"/>
  <c r="D41" i="12"/>
  <c r="B41" i="12"/>
  <c r="Z40" i="12"/>
  <c r="P40" i="12"/>
  <c r="X40" i="12" s="1"/>
  <c r="N40" i="12"/>
  <c r="D40" i="12"/>
  <c r="L40" i="12" s="1"/>
  <c r="B40" i="12"/>
  <c r="Z39" i="12"/>
  <c r="X39" i="12"/>
  <c r="P39" i="12"/>
  <c r="N39" i="12"/>
  <c r="L39" i="12"/>
  <c r="D39" i="12"/>
  <c r="B39" i="12"/>
  <c r="Z38" i="12"/>
  <c r="X38" i="12"/>
  <c r="P38" i="12"/>
  <c r="N38" i="12"/>
  <c r="L38" i="12"/>
  <c r="D38" i="12"/>
  <c r="B38" i="12"/>
  <c r="Z37" i="12"/>
  <c r="X37" i="12"/>
  <c r="P37" i="12"/>
  <c r="N37" i="12"/>
  <c r="D37" i="12"/>
  <c r="L37" i="12" s="1"/>
  <c r="B37" i="12"/>
  <c r="Z36" i="12"/>
  <c r="P36" i="12"/>
  <c r="X36" i="12" s="1"/>
  <c r="N36" i="12"/>
  <c r="L36" i="12"/>
  <c r="D36" i="12"/>
  <c r="B36" i="12"/>
  <c r="Z35" i="12"/>
  <c r="P35" i="12"/>
  <c r="X35" i="12" s="1"/>
  <c r="N35" i="12"/>
  <c r="L35" i="12"/>
  <c r="D35" i="12"/>
  <c r="B35" i="12"/>
  <c r="Z34" i="12"/>
  <c r="P34" i="12"/>
  <c r="X34" i="12" s="1"/>
  <c r="N34" i="12"/>
  <c r="L34" i="12"/>
  <c r="D34" i="12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D32" i="12"/>
  <c r="L32" i="12" s="1"/>
  <c r="B32" i="12"/>
  <c r="Z31" i="12"/>
  <c r="P31" i="12"/>
  <c r="X31" i="12" s="1"/>
  <c r="N31" i="12"/>
  <c r="D31" i="12"/>
  <c r="L31" i="12" s="1"/>
  <c r="B31" i="12"/>
  <c r="Z30" i="12"/>
  <c r="X30" i="12"/>
  <c r="P30" i="12"/>
  <c r="N30" i="12"/>
  <c r="D30" i="12"/>
  <c r="L30" i="12" s="1"/>
  <c r="B30" i="12"/>
  <c r="Z29" i="12"/>
  <c r="X29" i="12"/>
  <c r="P29" i="12"/>
  <c r="N29" i="12"/>
  <c r="L29" i="12"/>
  <c r="D29" i="12"/>
  <c r="B29" i="12"/>
  <c r="Z28" i="12"/>
  <c r="P28" i="12"/>
  <c r="X28" i="12" s="1"/>
  <c r="N28" i="12"/>
  <c r="D28" i="12"/>
  <c r="L28" i="12" s="1"/>
  <c r="B28" i="12"/>
  <c r="Z27" i="12"/>
  <c r="X27" i="12"/>
  <c r="P27" i="12"/>
  <c r="N27" i="12"/>
  <c r="L27" i="12"/>
  <c r="D27" i="12"/>
  <c r="B27" i="12"/>
  <c r="Z26" i="12"/>
  <c r="X26" i="12"/>
  <c r="P26" i="12"/>
  <c r="N26" i="12"/>
  <c r="L26" i="12"/>
  <c r="D26" i="12"/>
  <c r="B26" i="12"/>
  <c r="Z25" i="12"/>
  <c r="X25" i="12"/>
  <c r="P25" i="12"/>
  <c r="N25" i="12"/>
  <c r="D25" i="12"/>
  <c r="L25" i="12" s="1"/>
  <c r="B25" i="12"/>
  <c r="Z24" i="12"/>
  <c r="P24" i="12"/>
  <c r="X24" i="12" s="1"/>
  <c r="N24" i="12"/>
  <c r="L24" i="12"/>
  <c r="D24" i="12"/>
  <c r="B24" i="12"/>
  <c r="Z23" i="12"/>
  <c r="P23" i="12"/>
  <c r="X23" i="12" s="1"/>
  <c r="N23" i="12"/>
  <c r="L23" i="12"/>
  <c r="D23" i="12"/>
  <c r="B23" i="12"/>
  <c r="Z22" i="12"/>
  <c r="P22" i="12"/>
  <c r="X22" i="12" s="1"/>
  <c r="N22" i="12"/>
  <c r="L22" i="12"/>
  <c r="D22" i="12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D20" i="12"/>
  <c r="L20" i="12" s="1"/>
  <c r="B20" i="12"/>
  <c r="Z19" i="12"/>
  <c r="P19" i="12"/>
  <c r="X19" i="12" s="1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P16" i="12"/>
  <c r="X16" i="12" s="1"/>
  <c r="N16" i="12"/>
  <c r="D16" i="12"/>
  <c r="L16" i="12" s="1"/>
  <c r="B16" i="12"/>
  <c r="Z15" i="12"/>
  <c r="X15" i="12"/>
  <c r="P15" i="12"/>
  <c r="N15" i="12"/>
  <c r="L15" i="12"/>
  <c r="D15" i="12"/>
  <c r="B15" i="12"/>
  <c r="Z14" i="12"/>
  <c r="X14" i="12"/>
  <c r="P14" i="12"/>
  <c r="N14" i="12"/>
  <c r="L14" i="12"/>
  <c r="D14" i="12"/>
  <c r="B14" i="12"/>
  <c r="P13" i="12"/>
  <c r="X13" i="12" s="1"/>
  <c r="Z13" i="12" s="1"/>
  <c r="D13" i="12"/>
  <c r="B13" i="12"/>
  <c r="T12" i="12"/>
  <c r="V119" i="12" s="1"/>
  <c r="H12" i="12"/>
  <c r="J265" i="12" s="1"/>
  <c r="D4" i="12"/>
  <c r="Z104" i="9"/>
  <c r="X104" i="9"/>
  <c r="R104" i="9"/>
  <c r="N104" i="9"/>
  <c r="L104" i="9"/>
  <c r="R102" i="9"/>
  <c r="T100" i="9"/>
  <c r="Z100" i="9" s="1"/>
  <c r="R100" i="9"/>
  <c r="P100" i="9"/>
  <c r="X100" i="9" s="1"/>
  <c r="L100" i="9"/>
  <c r="H100" i="9"/>
  <c r="N100" i="9" s="1"/>
  <c r="D100" i="9"/>
  <c r="Z98" i="9"/>
  <c r="X98" i="9"/>
  <c r="R98" i="9"/>
  <c r="N98" i="9"/>
  <c r="L98" i="9"/>
  <c r="F98" i="9"/>
  <c r="B98" i="9"/>
  <c r="Z97" i="9"/>
  <c r="X97" i="9"/>
  <c r="L97" i="9"/>
  <c r="N97" i="9" s="1"/>
  <c r="B97" i="9"/>
  <c r="T96" i="9"/>
  <c r="P96" i="9"/>
  <c r="H96" i="9"/>
  <c r="D96" i="9"/>
  <c r="L96" i="9" s="1"/>
  <c r="B96" i="9"/>
  <c r="Z95" i="9"/>
  <c r="X95" i="9"/>
  <c r="V95" i="9"/>
  <c r="N95" i="9"/>
  <c r="L95" i="9"/>
  <c r="B95" i="9"/>
  <c r="T94" i="9"/>
  <c r="P94" i="9"/>
  <c r="X94" i="9" s="1"/>
  <c r="H94" i="9"/>
  <c r="D94" i="9"/>
  <c r="L94" i="9" s="1"/>
  <c r="N94" i="9" s="1"/>
  <c r="B94" i="9"/>
  <c r="Z93" i="9"/>
  <c r="X93" i="9"/>
  <c r="V93" i="9"/>
  <c r="N93" i="9"/>
  <c r="L93" i="9"/>
  <c r="B93" i="9"/>
  <c r="X92" i="9"/>
  <c r="Z92" i="9" s="1"/>
  <c r="V92" i="9"/>
  <c r="L92" i="9"/>
  <c r="N92" i="9" s="1"/>
  <c r="F92" i="9"/>
  <c r="B92" i="9"/>
  <c r="T91" i="9"/>
  <c r="Z91" i="9" s="1"/>
  <c r="R91" i="9"/>
  <c r="P91" i="9"/>
  <c r="X91" i="9" s="1"/>
  <c r="J91" i="9"/>
  <c r="H91" i="9"/>
  <c r="F91" i="9"/>
  <c r="D91" i="9"/>
  <c r="L91" i="9" s="1"/>
  <c r="N91" i="9" s="1"/>
  <c r="B91" i="9"/>
  <c r="Z90" i="9"/>
  <c r="X90" i="9"/>
  <c r="R90" i="9"/>
  <c r="N90" i="9"/>
  <c r="L90" i="9"/>
  <c r="F90" i="9"/>
  <c r="B90" i="9"/>
  <c r="Z89" i="9"/>
  <c r="X89" i="9"/>
  <c r="N89" i="9"/>
  <c r="L89" i="9"/>
  <c r="B89" i="9"/>
  <c r="X88" i="9"/>
  <c r="Z88" i="9" s="1"/>
  <c r="R88" i="9"/>
  <c r="N88" i="9"/>
  <c r="L88" i="9"/>
  <c r="B88" i="9"/>
  <c r="X87" i="9"/>
  <c r="Z87" i="9" s="1"/>
  <c r="N87" i="9"/>
  <c r="L87" i="9"/>
  <c r="J87" i="9"/>
  <c r="B87" i="9"/>
  <c r="Z86" i="9"/>
  <c r="X86" i="9"/>
  <c r="R86" i="9"/>
  <c r="N86" i="9"/>
  <c r="L86" i="9"/>
  <c r="B86" i="9"/>
  <c r="T85" i="9"/>
  <c r="P85" i="9"/>
  <c r="X85" i="9" s="1"/>
  <c r="Z85" i="9" s="1"/>
  <c r="L85" i="9"/>
  <c r="N85" i="9" s="1"/>
  <c r="H85" i="9"/>
  <c r="F85" i="9"/>
  <c r="D85" i="9"/>
  <c r="B85" i="9"/>
  <c r="Z84" i="9"/>
  <c r="X84" i="9"/>
  <c r="L84" i="9"/>
  <c r="N84" i="9" s="1"/>
  <c r="B84" i="9"/>
  <c r="Z83" i="9"/>
  <c r="X83" i="9"/>
  <c r="V83" i="9"/>
  <c r="N83" i="9"/>
  <c r="L83" i="9"/>
  <c r="B83" i="9"/>
  <c r="T82" i="9"/>
  <c r="P82" i="9"/>
  <c r="H82" i="9"/>
  <c r="D82" i="9"/>
  <c r="L82" i="9" s="1"/>
  <c r="N82" i="9" s="1"/>
  <c r="B82" i="9"/>
  <c r="Z81" i="9"/>
  <c r="X81" i="9"/>
  <c r="V81" i="9"/>
  <c r="N81" i="9"/>
  <c r="L81" i="9"/>
  <c r="B81" i="9"/>
  <c r="X80" i="9"/>
  <c r="Z80" i="9" s="1"/>
  <c r="V80" i="9"/>
  <c r="L80" i="9"/>
  <c r="N80" i="9" s="1"/>
  <c r="F80" i="9"/>
  <c r="B80" i="9"/>
  <c r="T79" i="9"/>
  <c r="R79" i="9"/>
  <c r="P79" i="9"/>
  <c r="X79" i="9" s="1"/>
  <c r="J79" i="9"/>
  <c r="H79" i="9"/>
  <c r="D79" i="9"/>
  <c r="L79" i="9" s="1"/>
  <c r="N79" i="9" s="1"/>
  <c r="B79" i="9"/>
  <c r="Z78" i="9"/>
  <c r="X78" i="9"/>
  <c r="R78" i="9"/>
  <c r="N78" i="9"/>
  <c r="L78" i="9"/>
  <c r="F78" i="9"/>
  <c r="B78" i="9"/>
  <c r="Z77" i="9"/>
  <c r="X77" i="9"/>
  <c r="L77" i="9"/>
  <c r="N77" i="9" s="1"/>
  <c r="B77" i="9"/>
  <c r="X76" i="9"/>
  <c r="Z76" i="9" s="1"/>
  <c r="R76" i="9"/>
  <c r="N76" i="9"/>
  <c r="L76" i="9"/>
  <c r="B76" i="9"/>
  <c r="X75" i="9"/>
  <c r="Z75" i="9" s="1"/>
  <c r="N75" i="9"/>
  <c r="L75" i="9"/>
  <c r="J75" i="9"/>
  <c r="B75" i="9"/>
  <c r="T74" i="9"/>
  <c r="R74" i="9"/>
  <c r="P74" i="9"/>
  <c r="X74" i="9" s="1"/>
  <c r="L74" i="9"/>
  <c r="H74" i="9"/>
  <c r="D74" i="9"/>
  <c r="B74" i="9"/>
  <c r="X73" i="9"/>
  <c r="Z73" i="9" s="1"/>
  <c r="V73" i="9"/>
  <c r="R73" i="9"/>
  <c r="N73" i="9"/>
  <c r="L73" i="9"/>
  <c r="J73" i="9"/>
  <c r="B73" i="9"/>
  <c r="Z72" i="9"/>
  <c r="X72" i="9"/>
  <c r="L72" i="9"/>
  <c r="N72" i="9" s="1"/>
  <c r="B72" i="9"/>
  <c r="Z71" i="9"/>
  <c r="X71" i="9"/>
  <c r="V71" i="9"/>
  <c r="N71" i="9"/>
  <c r="L71" i="9"/>
  <c r="B71" i="9"/>
  <c r="Z70" i="9"/>
  <c r="X70" i="9"/>
  <c r="R70" i="9"/>
  <c r="L70" i="9"/>
  <c r="N70" i="9" s="1"/>
  <c r="B70" i="9"/>
  <c r="T69" i="9"/>
  <c r="P69" i="9"/>
  <c r="J69" i="9"/>
  <c r="H69" i="9"/>
  <c r="D69" i="9"/>
  <c r="L69" i="9" s="1"/>
  <c r="N69" i="9" s="1"/>
  <c r="B69" i="9"/>
  <c r="Z68" i="9"/>
  <c r="X68" i="9"/>
  <c r="V68" i="9"/>
  <c r="N68" i="9"/>
  <c r="L68" i="9"/>
  <c r="F68" i="9"/>
  <c r="B68" i="9"/>
  <c r="Z67" i="9"/>
  <c r="X67" i="9"/>
  <c r="N67" i="9"/>
  <c r="L67" i="9"/>
  <c r="B67" i="9"/>
  <c r="Z66" i="9"/>
  <c r="X66" i="9"/>
  <c r="N66" i="9"/>
  <c r="L66" i="9"/>
  <c r="B66" i="9"/>
  <c r="Z65" i="9"/>
  <c r="V65" i="9"/>
  <c r="T65" i="9"/>
  <c r="R65" i="9"/>
  <c r="P65" i="9"/>
  <c r="X65" i="9" s="1"/>
  <c r="H65" i="9"/>
  <c r="N65" i="9" s="1"/>
  <c r="D65" i="9"/>
  <c r="L65" i="9" s="1"/>
  <c r="B65" i="9"/>
  <c r="X64" i="9"/>
  <c r="Z64" i="9" s="1"/>
  <c r="R64" i="9"/>
  <c r="N64" i="9"/>
  <c r="L64" i="9"/>
  <c r="B64" i="9"/>
  <c r="X63" i="9"/>
  <c r="Z63" i="9" s="1"/>
  <c r="T63" i="9"/>
  <c r="R63" i="9"/>
  <c r="P63" i="9"/>
  <c r="N63" i="9"/>
  <c r="H63" i="9"/>
  <c r="D63" i="9"/>
  <c r="L63" i="9" s="1"/>
  <c r="B63" i="9"/>
  <c r="Z62" i="9"/>
  <c r="X62" i="9"/>
  <c r="R62" i="9"/>
  <c r="L62" i="9"/>
  <c r="N62" i="9" s="1"/>
  <c r="B62" i="9"/>
  <c r="T61" i="9"/>
  <c r="P61" i="9"/>
  <c r="N61" i="9"/>
  <c r="J61" i="9"/>
  <c r="H61" i="9"/>
  <c r="D61" i="9"/>
  <c r="L61" i="9" s="1"/>
  <c r="B61" i="9"/>
  <c r="X60" i="9"/>
  <c r="Z60" i="9" s="1"/>
  <c r="V60" i="9"/>
  <c r="L60" i="9"/>
  <c r="N60" i="9" s="1"/>
  <c r="F60" i="9"/>
  <c r="B60" i="9"/>
  <c r="T59" i="9"/>
  <c r="R59" i="9"/>
  <c r="P59" i="9"/>
  <c r="X59" i="9" s="1"/>
  <c r="J59" i="9"/>
  <c r="H59" i="9"/>
  <c r="D59" i="9"/>
  <c r="L59" i="9" s="1"/>
  <c r="N59" i="9" s="1"/>
  <c r="B59" i="9"/>
  <c r="Z58" i="9"/>
  <c r="X58" i="9"/>
  <c r="R58" i="9"/>
  <c r="N58" i="9"/>
  <c r="L58" i="9"/>
  <c r="F58" i="9"/>
  <c r="B58" i="9"/>
  <c r="Z57" i="9"/>
  <c r="X57" i="9"/>
  <c r="T57" i="9"/>
  <c r="P57" i="9"/>
  <c r="L57" i="9"/>
  <c r="N57" i="9" s="1"/>
  <c r="H57" i="9"/>
  <c r="F57" i="9"/>
  <c r="D57" i="9"/>
  <c r="B57" i="9"/>
  <c r="Z56" i="9"/>
  <c r="X56" i="9"/>
  <c r="L56" i="9"/>
  <c r="N56" i="9" s="1"/>
  <c r="B56" i="9"/>
  <c r="V55" i="9"/>
  <c r="T55" i="9"/>
  <c r="P55" i="9"/>
  <c r="X55" i="9" s="1"/>
  <c r="Z55" i="9" s="1"/>
  <c r="H55" i="9"/>
  <c r="D55" i="9"/>
  <c r="B55" i="9"/>
  <c r="X54" i="9"/>
  <c r="Z54" i="9" s="1"/>
  <c r="N54" i="9"/>
  <c r="L54" i="9"/>
  <c r="B54" i="9"/>
  <c r="X53" i="9"/>
  <c r="Z53" i="9" s="1"/>
  <c r="V53" i="9"/>
  <c r="N53" i="9"/>
  <c r="L53" i="9"/>
  <c r="B53" i="9"/>
  <c r="V52" i="9"/>
  <c r="T52" i="9"/>
  <c r="P52" i="9"/>
  <c r="X52" i="9" s="1"/>
  <c r="Z52" i="9" s="1"/>
  <c r="L52" i="9"/>
  <c r="H52" i="9"/>
  <c r="D52" i="9"/>
  <c r="B52" i="9"/>
  <c r="X51" i="9"/>
  <c r="Z51" i="9" s="1"/>
  <c r="N51" i="9"/>
  <c r="L51" i="9"/>
  <c r="J51" i="9"/>
  <c r="B51" i="9"/>
  <c r="Z50" i="9"/>
  <c r="X50" i="9"/>
  <c r="R50" i="9"/>
  <c r="N50" i="9"/>
  <c r="L50" i="9"/>
  <c r="F50" i="9"/>
  <c r="B50" i="9"/>
  <c r="Z49" i="9"/>
  <c r="X49" i="9"/>
  <c r="T49" i="9"/>
  <c r="P49" i="9"/>
  <c r="L49" i="9"/>
  <c r="N49" i="9" s="1"/>
  <c r="H49" i="9"/>
  <c r="F49" i="9"/>
  <c r="D49" i="9"/>
  <c r="B49" i="9"/>
  <c r="Z48" i="9"/>
  <c r="X48" i="9"/>
  <c r="L48" i="9"/>
  <c r="N48" i="9" s="1"/>
  <c r="B48" i="9"/>
  <c r="V47" i="9"/>
  <c r="T47" i="9"/>
  <c r="P47" i="9"/>
  <c r="X47" i="9" s="1"/>
  <c r="Z47" i="9" s="1"/>
  <c r="H47" i="9"/>
  <c r="D47" i="9"/>
  <c r="B47" i="9"/>
  <c r="X46" i="9"/>
  <c r="Z46" i="9" s="1"/>
  <c r="N46" i="9"/>
  <c r="L46" i="9"/>
  <c r="B46" i="9"/>
  <c r="V45" i="9"/>
  <c r="T45" i="9"/>
  <c r="R45" i="9"/>
  <c r="P45" i="9"/>
  <c r="X45" i="9" s="1"/>
  <c r="Z45" i="9" s="1"/>
  <c r="H45" i="9"/>
  <c r="N45" i="9" s="1"/>
  <c r="D45" i="9"/>
  <c r="L45" i="9" s="1"/>
  <c r="B45" i="9"/>
  <c r="X44" i="9"/>
  <c r="Z44" i="9" s="1"/>
  <c r="R44" i="9"/>
  <c r="N44" i="9"/>
  <c r="L44" i="9"/>
  <c r="B44" i="9"/>
  <c r="X43" i="9"/>
  <c r="Z43" i="9" s="1"/>
  <c r="T43" i="9"/>
  <c r="R43" i="9"/>
  <c r="P43" i="9"/>
  <c r="N43" i="9"/>
  <c r="L43" i="9"/>
  <c r="H43" i="9"/>
  <c r="D43" i="9"/>
  <c r="B43" i="9"/>
  <c r="Z42" i="9"/>
  <c r="X42" i="9"/>
  <c r="R42" i="9"/>
  <c r="N42" i="9"/>
  <c r="L42" i="9"/>
  <c r="B42" i="9"/>
  <c r="Z41" i="9"/>
  <c r="X41" i="9"/>
  <c r="V41" i="9"/>
  <c r="R41" i="9"/>
  <c r="N41" i="9"/>
  <c r="L41" i="9"/>
  <c r="J41" i="9"/>
  <c r="B41" i="9"/>
  <c r="Z40" i="9"/>
  <c r="X40" i="9"/>
  <c r="L40" i="9"/>
  <c r="N40" i="9" s="1"/>
  <c r="B40" i="9"/>
  <c r="Z39" i="9"/>
  <c r="X39" i="9"/>
  <c r="V39" i="9"/>
  <c r="R39" i="9"/>
  <c r="L39" i="9"/>
  <c r="N39" i="9" s="1"/>
  <c r="B39" i="9"/>
  <c r="Z38" i="9"/>
  <c r="X38" i="9"/>
  <c r="R38" i="9"/>
  <c r="N38" i="9"/>
  <c r="L38" i="9"/>
  <c r="B38" i="9"/>
  <c r="X37" i="9"/>
  <c r="Z37" i="9" s="1"/>
  <c r="V37" i="9"/>
  <c r="R37" i="9"/>
  <c r="L37" i="9"/>
  <c r="N37" i="9" s="1"/>
  <c r="J37" i="9"/>
  <c r="B37" i="9"/>
  <c r="Z36" i="9"/>
  <c r="X36" i="9"/>
  <c r="L36" i="9"/>
  <c r="N36" i="9" s="1"/>
  <c r="B36" i="9"/>
  <c r="Z35" i="9"/>
  <c r="X35" i="9"/>
  <c r="V35" i="9"/>
  <c r="R35" i="9"/>
  <c r="N35" i="9"/>
  <c r="L35" i="9"/>
  <c r="B35" i="9"/>
  <c r="Z34" i="9"/>
  <c r="X34" i="9"/>
  <c r="R34" i="9"/>
  <c r="L34" i="9"/>
  <c r="N34" i="9" s="1"/>
  <c r="B34" i="9"/>
  <c r="X33" i="9"/>
  <c r="Z33" i="9" s="1"/>
  <c r="V33" i="9"/>
  <c r="R33" i="9"/>
  <c r="L33" i="9"/>
  <c r="N33" i="9" s="1"/>
  <c r="J33" i="9"/>
  <c r="B33" i="9"/>
  <c r="T32" i="9"/>
  <c r="R32" i="9"/>
  <c r="P32" i="9"/>
  <c r="X32" i="9" s="1"/>
  <c r="Z32" i="9" s="1"/>
  <c r="H32" i="9"/>
  <c r="D32" i="9"/>
  <c r="B32" i="9"/>
  <c r="X31" i="9"/>
  <c r="Z31" i="9" s="1"/>
  <c r="R31" i="9"/>
  <c r="L31" i="9"/>
  <c r="N31" i="9" s="1"/>
  <c r="B31" i="9"/>
  <c r="X30" i="9"/>
  <c r="Z30" i="9" s="1"/>
  <c r="N30" i="9"/>
  <c r="L30" i="9"/>
  <c r="B30" i="9"/>
  <c r="X29" i="9"/>
  <c r="Z29" i="9" s="1"/>
  <c r="V29" i="9"/>
  <c r="N29" i="9"/>
  <c r="L29" i="9"/>
  <c r="B29" i="9"/>
  <c r="X28" i="9"/>
  <c r="Z28" i="9" s="1"/>
  <c r="V28" i="9"/>
  <c r="L28" i="9"/>
  <c r="N28" i="9" s="1"/>
  <c r="F28" i="9"/>
  <c r="B28" i="9"/>
  <c r="Z27" i="9"/>
  <c r="X27" i="9"/>
  <c r="R27" i="9"/>
  <c r="N27" i="9"/>
  <c r="L27" i="9"/>
  <c r="B27" i="9"/>
  <c r="X26" i="9"/>
  <c r="Z26" i="9" s="1"/>
  <c r="N26" i="9"/>
  <c r="L26" i="9"/>
  <c r="B26" i="9"/>
  <c r="X25" i="9"/>
  <c r="Z25" i="9" s="1"/>
  <c r="V25" i="9"/>
  <c r="N25" i="9"/>
  <c r="L25" i="9"/>
  <c r="B25" i="9"/>
  <c r="X24" i="9"/>
  <c r="Z24" i="9" s="1"/>
  <c r="V24" i="9"/>
  <c r="L24" i="9"/>
  <c r="N24" i="9" s="1"/>
  <c r="F24" i="9"/>
  <c r="B24" i="9"/>
  <c r="X23" i="9"/>
  <c r="Z23" i="9" s="1"/>
  <c r="R23" i="9"/>
  <c r="L23" i="9"/>
  <c r="N23" i="9" s="1"/>
  <c r="B23" i="9"/>
  <c r="X22" i="9"/>
  <c r="Z22" i="9" s="1"/>
  <c r="N22" i="9"/>
  <c r="L22" i="9"/>
  <c r="B22" i="9"/>
  <c r="X21" i="9"/>
  <c r="Z21" i="9" s="1"/>
  <c r="V21" i="9"/>
  <c r="N21" i="9"/>
  <c r="L21" i="9"/>
  <c r="B21" i="9"/>
  <c r="V20" i="9"/>
  <c r="T20" i="9"/>
  <c r="R20" i="9"/>
  <c r="P20" i="9"/>
  <c r="X20" i="9" s="1"/>
  <c r="Z20" i="9" s="1"/>
  <c r="L20" i="9"/>
  <c r="H20" i="9"/>
  <c r="D20" i="9"/>
  <c r="B20" i="9"/>
  <c r="T19" i="9"/>
  <c r="R19" i="9"/>
  <c r="P19" i="9"/>
  <c r="X19" i="9" s="1"/>
  <c r="Z19" i="9" s="1"/>
  <c r="H19" i="9"/>
  <c r="D19" i="9"/>
  <c r="R17" i="9"/>
  <c r="Z15" i="9"/>
  <c r="X15" i="9"/>
  <c r="T15" i="9"/>
  <c r="R15" i="9"/>
  <c r="P15" i="9"/>
  <c r="P17" i="9" s="1"/>
  <c r="N15" i="9"/>
  <c r="H15" i="9"/>
  <c r="D15" i="9"/>
  <c r="L15" i="9" s="1"/>
  <c r="X13" i="9"/>
  <c r="Z13" i="9" s="1"/>
  <c r="P13" i="9"/>
  <c r="N13" i="9"/>
  <c r="L13" i="9"/>
  <c r="D13" i="9"/>
  <c r="D12" i="9" s="1"/>
  <c r="B13" i="9"/>
  <c r="T12" i="9"/>
  <c r="V66" i="9" s="1"/>
  <c r="P12" i="9"/>
  <c r="R96" i="9" s="1"/>
  <c r="H12" i="9"/>
  <c r="J104" i="9" s="1"/>
  <c r="D4" i="9"/>
  <c r="F31" i="6"/>
  <c r="Z29" i="6"/>
  <c r="T29" i="6"/>
  <c r="P29" i="6"/>
  <c r="X29" i="6" s="1"/>
  <c r="L29" i="6"/>
  <c r="N29" i="6" s="1"/>
  <c r="H29" i="6"/>
  <c r="F29" i="6"/>
  <c r="D29" i="6"/>
  <c r="Z28" i="6"/>
  <c r="T28" i="6"/>
  <c r="P28" i="6"/>
  <c r="X28" i="6" s="1"/>
  <c r="L28" i="6"/>
  <c r="N28" i="6" s="1"/>
  <c r="H28" i="6"/>
  <c r="F28" i="6"/>
  <c r="D28" i="6"/>
  <c r="F26" i="6"/>
  <c r="Z24" i="6"/>
  <c r="X24" i="6"/>
  <c r="N24" i="6"/>
  <c r="L24" i="6"/>
  <c r="J24" i="6"/>
  <c r="F24" i="6"/>
  <c r="V22" i="6"/>
  <c r="R22" i="6"/>
  <c r="F22" i="6"/>
  <c r="X20" i="6"/>
  <c r="T20" i="6"/>
  <c r="Z20" i="6" s="1"/>
  <c r="R20" i="6"/>
  <c r="P20" i="6"/>
  <c r="H20" i="6"/>
  <c r="N20" i="6" s="1"/>
  <c r="F20" i="6"/>
  <c r="D20" i="6"/>
  <c r="L20" i="6" s="1"/>
  <c r="X18" i="6"/>
  <c r="V18" i="6"/>
  <c r="T18" i="6"/>
  <c r="Z18" i="6" s="1"/>
  <c r="R18" i="6"/>
  <c r="P18" i="6"/>
  <c r="H18" i="6"/>
  <c r="N18" i="6" s="1"/>
  <c r="F18" i="6"/>
  <c r="D18" i="6"/>
  <c r="L18" i="6" s="1"/>
  <c r="R16" i="6"/>
  <c r="F16" i="6"/>
  <c r="X14" i="6"/>
  <c r="V14" i="6"/>
  <c r="T14" i="6"/>
  <c r="Z14" i="6" s="1"/>
  <c r="R14" i="6"/>
  <c r="P14" i="6"/>
  <c r="J14" i="6"/>
  <c r="H14" i="6"/>
  <c r="N14" i="6" s="1"/>
  <c r="F14" i="6"/>
  <c r="D14" i="6"/>
  <c r="L14" i="6" s="1"/>
  <c r="T12" i="6"/>
  <c r="P12" i="6"/>
  <c r="P16" i="6" s="1"/>
  <c r="N12" i="6"/>
  <c r="H12" i="6"/>
  <c r="J22" i="6" s="1"/>
  <c r="D12" i="6"/>
  <c r="L12" i="6" s="1"/>
  <c r="D4" i="6"/>
  <c r="T330" i="3"/>
  <c r="P330" i="3"/>
  <c r="H330" i="3"/>
  <c r="N330" i="3" s="1"/>
  <c r="D330" i="3"/>
  <c r="L330" i="3" s="1"/>
  <c r="T329" i="3"/>
  <c r="P329" i="3"/>
  <c r="H329" i="3"/>
  <c r="D329" i="3"/>
  <c r="L329" i="3" s="1"/>
  <c r="Z325" i="3"/>
  <c r="X325" i="3"/>
  <c r="L325" i="3"/>
  <c r="N325" i="3" s="1"/>
  <c r="Z321" i="3"/>
  <c r="P321" i="3"/>
  <c r="X321" i="3" s="1"/>
  <c r="N321" i="3"/>
  <c r="D321" i="3"/>
  <c r="L321" i="3" s="1"/>
  <c r="B321" i="3"/>
  <c r="Z320" i="3"/>
  <c r="P320" i="3"/>
  <c r="X320" i="3" s="1"/>
  <c r="N320" i="3"/>
  <c r="D320" i="3"/>
  <c r="L320" i="3" s="1"/>
  <c r="B320" i="3"/>
  <c r="P319" i="3"/>
  <c r="X319" i="3" s="1"/>
  <c r="Z319" i="3" s="1"/>
  <c r="L319" i="3"/>
  <c r="N319" i="3" s="1"/>
  <c r="D319" i="3"/>
  <c r="B319" i="3"/>
  <c r="Z318" i="3"/>
  <c r="X318" i="3"/>
  <c r="P318" i="3"/>
  <c r="N318" i="3"/>
  <c r="L318" i="3"/>
  <c r="D318" i="3"/>
  <c r="B318" i="3"/>
  <c r="Z317" i="3"/>
  <c r="X317" i="3"/>
  <c r="P317" i="3"/>
  <c r="N317" i="3"/>
  <c r="L317" i="3"/>
  <c r="D317" i="3"/>
  <c r="B317" i="3"/>
  <c r="Z316" i="3"/>
  <c r="X316" i="3"/>
  <c r="P316" i="3"/>
  <c r="D316" i="3"/>
  <c r="L316" i="3" s="1"/>
  <c r="N316" i="3" s="1"/>
  <c r="B316" i="3"/>
  <c r="X315" i="3"/>
  <c r="Z315" i="3" s="1"/>
  <c r="P315" i="3"/>
  <c r="D315" i="3"/>
  <c r="L315" i="3" s="1"/>
  <c r="N315" i="3" s="1"/>
  <c r="B315" i="3"/>
  <c r="Z314" i="3"/>
  <c r="P314" i="3"/>
  <c r="X314" i="3" s="1"/>
  <c r="N314" i="3"/>
  <c r="D314" i="3"/>
  <c r="L314" i="3" s="1"/>
  <c r="B314" i="3"/>
  <c r="Z313" i="3"/>
  <c r="X313" i="3"/>
  <c r="P313" i="3"/>
  <c r="N313" i="3"/>
  <c r="D313" i="3"/>
  <c r="L313" i="3" s="1"/>
  <c r="B313" i="3"/>
  <c r="Z312" i="3"/>
  <c r="P312" i="3"/>
  <c r="X312" i="3" s="1"/>
  <c r="N312" i="3"/>
  <c r="L312" i="3"/>
  <c r="D312" i="3"/>
  <c r="B312" i="3"/>
  <c r="Z311" i="3"/>
  <c r="X311" i="3"/>
  <c r="V311" i="3"/>
  <c r="P311" i="3"/>
  <c r="N311" i="3"/>
  <c r="L311" i="3"/>
  <c r="D311" i="3"/>
  <c r="B311" i="3"/>
  <c r="Z310" i="3"/>
  <c r="P310" i="3"/>
  <c r="X310" i="3" s="1"/>
  <c r="N310" i="3"/>
  <c r="L310" i="3"/>
  <c r="D310" i="3"/>
  <c r="B310" i="3"/>
  <c r="Z309" i="3"/>
  <c r="P309" i="3"/>
  <c r="X309" i="3" s="1"/>
  <c r="N309" i="3"/>
  <c r="D309" i="3"/>
  <c r="B309" i="3"/>
  <c r="T308" i="3"/>
  <c r="H308" i="3"/>
  <c r="X306" i="3"/>
  <c r="Z306" i="3" s="1"/>
  <c r="L306" i="3"/>
  <c r="N306" i="3" s="1"/>
  <c r="B306" i="3"/>
  <c r="X305" i="3"/>
  <c r="Z305" i="3" s="1"/>
  <c r="T305" i="3"/>
  <c r="P305" i="3"/>
  <c r="H305" i="3"/>
  <c r="N305" i="3" s="1"/>
  <c r="D305" i="3"/>
  <c r="L305" i="3" s="1"/>
  <c r="B305" i="3"/>
  <c r="Z304" i="3"/>
  <c r="X304" i="3"/>
  <c r="N304" i="3"/>
  <c r="L304" i="3"/>
  <c r="B304" i="3"/>
  <c r="X303" i="3"/>
  <c r="Z303" i="3" s="1"/>
  <c r="N303" i="3"/>
  <c r="L303" i="3"/>
  <c r="B303" i="3"/>
  <c r="X302" i="3"/>
  <c r="Z302" i="3" s="1"/>
  <c r="N302" i="3"/>
  <c r="L302" i="3"/>
  <c r="B302" i="3"/>
  <c r="T301" i="3"/>
  <c r="P301" i="3"/>
  <c r="H301" i="3"/>
  <c r="D301" i="3"/>
  <c r="B301" i="3"/>
  <c r="Z300" i="3"/>
  <c r="X300" i="3"/>
  <c r="N300" i="3"/>
  <c r="L300" i="3"/>
  <c r="B300" i="3"/>
  <c r="T299" i="3"/>
  <c r="P299" i="3"/>
  <c r="X299" i="3" s="1"/>
  <c r="H299" i="3"/>
  <c r="D299" i="3"/>
  <c r="B299" i="3"/>
  <c r="Z298" i="3"/>
  <c r="X298" i="3"/>
  <c r="L298" i="3"/>
  <c r="N298" i="3" s="1"/>
  <c r="B298" i="3"/>
  <c r="X297" i="3"/>
  <c r="Z297" i="3" s="1"/>
  <c r="L297" i="3"/>
  <c r="N297" i="3" s="1"/>
  <c r="B297" i="3"/>
  <c r="T296" i="3"/>
  <c r="P296" i="3"/>
  <c r="X296" i="3" s="1"/>
  <c r="Z296" i="3" s="1"/>
  <c r="H296" i="3"/>
  <c r="D296" i="3"/>
  <c r="L296" i="3" s="1"/>
  <c r="B296" i="3"/>
  <c r="X295" i="3"/>
  <c r="Z295" i="3" s="1"/>
  <c r="N295" i="3"/>
  <c r="L295" i="3"/>
  <c r="B295" i="3"/>
  <c r="X294" i="3"/>
  <c r="Z294" i="3" s="1"/>
  <c r="N294" i="3"/>
  <c r="L294" i="3"/>
  <c r="B294" i="3"/>
  <c r="X293" i="3"/>
  <c r="Z293" i="3" s="1"/>
  <c r="N293" i="3"/>
  <c r="L293" i="3"/>
  <c r="B293" i="3"/>
  <c r="Z292" i="3"/>
  <c r="X292" i="3"/>
  <c r="N292" i="3"/>
  <c r="L292" i="3"/>
  <c r="B292" i="3"/>
  <c r="X291" i="3"/>
  <c r="Z291" i="3" s="1"/>
  <c r="N291" i="3"/>
  <c r="L291" i="3"/>
  <c r="B291" i="3"/>
  <c r="X290" i="3"/>
  <c r="Z290" i="3" s="1"/>
  <c r="N290" i="3"/>
  <c r="L290" i="3"/>
  <c r="B290" i="3"/>
  <c r="X289" i="3"/>
  <c r="Z289" i="3" s="1"/>
  <c r="N289" i="3"/>
  <c r="L289" i="3"/>
  <c r="B289" i="3"/>
  <c r="Z288" i="3"/>
  <c r="X288" i="3"/>
  <c r="N288" i="3"/>
  <c r="L288" i="3"/>
  <c r="B288" i="3"/>
  <c r="X287" i="3"/>
  <c r="Z287" i="3" s="1"/>
  <c r="L287" i="3"/>
  <c r="N287" i="3" s="1"/>
  <c r="B287" i="3"/>
  <c r="X286" i="3"/>
  <c r="Z286" i="3" s="1"/>
  <c r="N286" i="3"/>
  <c r="L286" i="3"/>
  <c r="B286" i="3"/>
  <c r="T285" i="3"/>
  <c r="P285" i="3"/>
  <c r="H285" i="3"/>
  <c r="D285" i="3"/>
  <c r="B285" i="3"/>
  <c r="Z284" i="3"/>
  <c r="X284" i="3"/>
  <c r="N284" i="3"/>
  <c r="L284" i="3"/>
  <c r="B284" i="3"/>
  <c r="X283" i="3"/>
  <c r="Z283" i="3" s="1"/>
  <c r="L283" i="3"/>
  <c r="N283" i="3" s="1"/>
  <c r="B283" i="3"/>
  <c r="Z282" i="3"/>
  <c r="X282" i="3"/>
  <c r="T282" i="3"/>
  <c r="P282" i="3"/>
  <c r="H282" i="3"/>
  <c r="D282" i="3"/>
  <c r="B282" i="3"/>
  <c r="X281" i="3"/>
  <c r="Z281" i="3" s="1"/>
  <c r="L281" i="3"/>
  <c r="N281" i="3" s="1"/>
  <c r="B281" i="3"/>
  <c r="Z280" i="3"/>
  <c r="X280" i="3"/>
  <c r="V280" i="3"/>
  <c r="N280" i="3"/>
  <c r="L280" i="3"/>
  <c r="B280" i="3"/>
  <c r="X279" i="3"/>
  <c r="Z279" i="3" s="1"/>
  <c r="L279" i="3"/>
  <c r="N279" i="3" s="1"/>
  <c r="B279" i="3"/>
  <c r="Z278" i="3"/>
  <c r="X278" i="3"/>
  <c r="L278" i="3"/>
  <c r="N278" i="3" s="1"/>
  <c r="B278" i="3"/>
  <c r="X277" i="3"/>
  <c r="Z277" i="3" s="1"/>
  <c r="L277" i="3"/>
  <c r="N277" i="3" s="1"/>
  <c r="B277" i="3"/>
  <c r="Z276" i="3"/>
  <c r="X276" i="3"/>
  <c r="N276" i="3"/>
  <c r="L276" i="3"/>
  <c r="B276" i="3"/>
  <c r="T275" i="3"/>
  <c r="P275" i="3"/>
  <c r="X275" i="3" s="1"/>
  <c r="L275" i="3"/>
  <c r="N275" i="3" s="1"/>
  <c r="H275" i="3"/>
  <c r="D275" i="3"/>
  <c r="B275" i="3"/>
  <c r="X274" i="3"/>
  <c r="Z274" i="3" s="1"/>
  <c r="N274" i="3"/>
  <c r="L274" i="3"/>
  <c r="B274" i="3"/>
  <c r="X273" i="3"/>
  <c r="Z273" i="3" s="1"/>
  <c r="N273" i="3"/>
  <c r="L273" i="3"/>
  <c r="B273" i="3"/>
  <c r="Z272" i="3"/>
  <c r="X272" i="3"/>
  <c r="N272" i="3"/>
  <c r="L272" i="3"/>
  <c r="B272" i="3"/>
  <c r="X271" i="3"/>
  <c r="Z271" i="3" s="1"/>
  <c r="L271" i="3"/>
  <c r="N271" i="3" s="1"/>
  <c r="B271" i="3"/>
  <c r="X270" i="3"/>
  <c r="Z270" i="3" s="1"/>
  <c r="T270" i="3"/>
  <c r="P270" i="3"/>
  <c r="N270" i="3"/>
  <c r="H270" i="3"/>
  <c r="D270" i="3"/>
  <c r="L270" i="3" s="1"/>
  <c r="B270" i="3"/>
  <c r="Z269" i="3"/>
  <c r="X269" i="3"/>
  <c r="L269" i="3"/>
  <c r="N269" i="3" s="1"/>
  <c r="B269" i="3"/>
  <c r="Z268" i="3"/>
  <c r="X268" i="3"/>
  <c r="N268" i="3"/>
  <c r="L268" i="3"/>
  <c r="B268" i="3"/>
  <c r="X267" i="3"/>
  <c r="Z267" i="3" s="1"/>
  <c r="L267" i="3"/>
  <c r="N267" i="3" s="1"/>
  <c r="B267" i="3"/>
  <c r="Z266" i="3"/>
  <c r="X266" i="3"/>
  <c r="N266" i="3"/>
  <c r="L266" i="3"/>
  <c r="B266" i="3"/>
  <c r="T265" i="3"/>
  <c r="Z265" i="3" s="1"/>
  <c r="P265" i="3"/>
  <c r="X265" i="3" s="1"/>
  <c r="H265" i="3"/>
  <c r="D265" i="3"/>
  <c r="L265" i="3" s="1"/>
  <c r="B265" i="3"/>
  <c r="Z264" i="3"/>
  <c r="X264" i="3"/>
  <c r="N264" i="3"/>
  <c r="L264" i="3"/>
  <c r="B264" i="3"/>
  <c r="T263" i="3"/>
  <c r="P263" i="3"/>
  <c r="X263" i="3" s="1"/>
  <c r="L263" i="3"/>
  <c r="N263" i="3" s="1"/>
  <c r="H263" i="3"/>
  <c r="D263" i="3"/>
  <c r="B263" i="3"/>
  <c r="X262" i="3"/>
  <c r="Z262" i="3" s="1"/>
  <c r="N262" i="3"/>
  <c r="L262" i="3"/>
  <c r="B262" i="3"/>
  <c r="T261" i="3"/>
  <c r="P261" i="3"/>
  <c r="H261" i="3"/>
  <c r="D261" i="3"/>
  <c r="B261" i="3"/>
  <c r="Z260" i="3"/>
  <c r="X260" i="3"/>
  <c r="N260" i="3"/>
  <c r="L260" i="3"/>
  <c r="B260" i="3"/>
  <c r="T259" i="3"/>
  <c r="Z259" i="3" s="1"/>
  <c r="P259" i="3"/>
  <c r="X259" i="3" s="1"/>
  <c r="H259" i="3"/>
  <c r="D259" i="3"/>
  <c r="B259" i="3"/>
  <c r="Z258" i="3"/>
  <c r="X258" i="3"/>
  <c r="L258" i="3"/>
  <c r="N258" i="3" s="1"/>
  <c r="B258" i="3"/>
  <c r="X257" i="3"/>
  <c r="Z257" i="3" s="1"/>
  <c r="T257" i="3"/>
  <c r="P257" i="3"/>
  <c r="H257" i="3"/>
  <c r="D257" i="3"/>
  <c r="L257" i="3" s="1"/>
  <c r="B257" i="3"/>
  <c r="Z256" i="3"/>
  <c r="X256" i="3"/>
  <c r="N256" i="3"/>
  <c r="L256" i="3"/>
  <c r="B256" i="3"/>
  <c r="T255" i="3"/>
  <c r="P255" i="3"/>
  <c r="H255" i="3"/>
  <c r="D255" i="3"/>
  <c r="B255" i="3"/>
  <c r="Z254" i="3"/>
  <c r="X254" i="3"/>
  <c r="N254" i="3"/>
  <c r="L254" i="3"/>
  <c r="B254" i="3"/>
  <c r="Z253" i="3"/>
  <c r="T253" i="3"/>
  <c r="P253" i="3"/>
  <c r="X253" i="3" s="1"/>
  <c r="H253" i="3"/>
  <c r="N253" i="3" s="1"/>
  <c r="D253" i="3"/>
  <c r="L253" i="3" s="1"/>
  <c r="B253" i="3"/>
  <c r="Z252" i="3"/>
  <c r="X252" i="3"/>
  <c r="N252" i="3"/>
  <c r="L252" i="3"/>
  <c r="B252" i="3"/>
  <c r="X251" i="3"/>
  <c r="Z251" i="3" s="1"/>
  <c r="L251" i="3"/>
  <c r="N251" i="3" s="1"/>
  <c r="B251" i="3"/>
  <c r="T250" i="3"/>
  <c r="P250" i="3"/>
  <c r="X250" i="3" s="1"/>
  <c r="Z250" i="3" s="1"/>
  <c r="H250" i="3"/>
  <c r="N250" i="3" s="1"/>
  <c r="D250" i="3"/>
  <c r="L250" i="3" s="1"/>
  <c r="B250" i="3"/>
  <c r="X249" i="3"/>
  <c r="Z249" i="3" s="1"/>
  <c r="N249" i="3"/>
  <c r="L249" i="3"/>
  <c r="B249" i="3"/>
  <c r="Z248" i="3"/>
  <c r="X248" i="3"/>
  <c r="N248" i="3"/>
  <c r="L248" i="3"/>
  <c r="B248" i="3"/>
  <c r="T247" i="3"/>
  <c r="P247" i="3"/>
  <c r="H247" i="3"/>
  <c r="D247" i="3"/>
  <c r="B247" i="3"/>
  <c r="Z246" i="3"/>
  <c r="X246" i="3"/>
  <c r="N246" i="3"/>
  <c r="L246" i="3"/>
  <c r="B246" i="3"/>
  <c r="Z245" i="3"/>
  <c r="T245" i="3"/>
  <c r="P245" i="3"/>
  <c r="X245" i="3" s="1"/>
  <c r="H245" i="3"/>
  <c r="N245" i="3" s="1"/>
  <c r="D245" i="3"/>
  <c r="L245" i="3" s="1"/>
  <c r="B245" i="3"/>
  <c r="Z244" i="3"/>
  <c r="X244" i="3"/>
  <c r="N244" i="3"/>
  <c r="L244" i="3"/>
  <c r="B244" i="3"/>
  <c r="V243" i="3"/>
  <c r="T243" i="3"/>
  <c r="P243" i="3"/>
  <c r="X243" i="3" s="1"/>
  <c r="L243" i="3"/>
  <c r="H243" i="3"/>
  <c r="D243" i="3"/>
  <c r="B243" i="3"/>
  <c r="X242" i="3"/>
  <c r="Z242" i="3" s="1"/>
  <c r="N242" i="3"/>
  <c r="L242" i="3"/>
  <c r="B242" i="3"/>
  <c r="X241" i="3"/>
  <c r="Z241" i="3" s="1"/>
  <c r="N241" i="3"/>
  <c r="L241" i="3"/>
  <c r="B241" i="3"/>
  <c r="Z240" i="3"/>
  <c r="X240" i="3"/>
  <c r="N240" i="3"/>
  <c r="L240" i="3"/>
  <c r="B240" i="3"/>
  <c r="T239" i="3"/>
  <c r="P239" i="3"/>
  <c r="H239" i="3"/>
  <c r="D239" i="3"/>
  <c r="B239" i="3"/>
  <c r="Z238" i="3"/>
  <c r="X238" i="3"/>
  <c r="N238" i="3"/>
  <c r="L238" i="3"/>
  <c r="B238" i="3"/>
  <c r="Z237" i="3"/>
  <c r="X237" i="3"/>
  <c r="L237" i="3"/>
  <c r="N237" i="3" s="1"/>
  <c r="B237" i="3"/>
  <c r="T236" i="3"/>
  <c r="P236" i="3"/>
  <c r="N236" i="3"/>
  <c r="L236" i="3"/>
  <c r="H236" i="3"/>
  <c r="D236" i="3"/>
  <c r="B236" i="3"/>
  <c r="X235" i="3"/>
  <c r="Z235" i="3" s="1"/>
  <c r="L235" i="3"/>
  <c r="N235" i="3" s="1"/>
  <c r="B235" i="3"/>
  <c r="Z234" i="3"/>
  <c r="X234" i="3"/>
  <c r="L234" i="3"/>
  <c r="N234" i="3" s="1"/>
  <c r="B234" i="3"/>
  <c r="X233" i="3"/>
  <c r="Z233" i="3" s="1"/>
  <c r="L233" i="3"/>
  <c r="N233" i="3" s="1"/>
  <c r="B233" i="3"/>
  <c r="Z232" i="3"/>
  <c r="X232" i="3"/>
  <c r="V232" i="3"/>
  <c r="N232" i="3"/>
  <c r="L232" i="3"/>
  <c r="B232" i="3"/>
  <c r="T231" i="3"/>
  <c r="Z231" i="3" s="1"/>
  <c r="P231" i="3"/>
  <c r="X231" i="3" s="1"/>
  <c r="L231" i="3"/>
  <c r="H231" i="3"/>
  <c r="N231" i="3" s="1"/>
  <c r="D231" i="3"/>
  <c r="B231" i="3"/>
  <c r="X230" i="3"/>
  <c r="Z230" i="3" s="1"/>
  <c r="N230" i="3"/>
  <c r="L230" i="3"/>
  <c r="B230" i="3"/>
  <c r="T229" i="3"/>
  <c r="P229" i="3"/>
  <c r="H229" i="3"/>
  <c r="D229" i="3"/>
  <c r="B229" i="3"/>
  <c r="Z228" i="3"/>
  <c r="X228" i="3"/>
  <c r="N228" i="3"/>
  <c r="L228" i="3"/>
  <c r="B228" i="3"/>
  <c r="X227" i="3"/>
  <c r="Z227" i="3" s="1"/>
  <c r="L227" i="3"/>
  <c r="N227" i="3" s="1"/>
  <c r="B227" i="3"/>
  <c r="Z226" i="3"/>
  <c r="X226" i="3"/>
  <c r="V226" i="3"/>
  <c r="T226" i="3"/>
  <c r="P226" i="3"/>
  <c r="H226" i="3"/>
  <c r="D226" i="3"/>
  <c r="B226" i="3"/>
  <c r="X225" i="3"/>
  <c r="Z225" i="3" s="1"/>
  <c r="L225" i="3"/>
  <c r="N225" i="3" s="1"/>
  <c r="B225" i="3"/>
  <c r="V224" i="3"/>
  <c r="T224" i="3"/>
  <c r="P224" i="3"/>
  <c r="X224" i="3" s="1"/>
  <c r="H224" i="3"/>
  <c r="D224" i="3"/>
  <c r="L224" i="3" s="1"/>
  <c r="N224" i="3" s="1"/>
  <c r="B224" i="3"/>
  <c r="Z223" i="3"/>
  <c r="X223" i="3"/>
  <c r="N223" i="3"/>
  <c r="L223" i="3"/>
  <c r="B223" i="3"/>
  <c r="Z222" i="3"/>
  <c r="X222" i="3"/>
  <c r="N222" i="3"/>
  <c r="L222" i="3"/>
  <c r="B222" i="3"/>
  <c r="X221" i="3"/>
  <c r="Z221" i="3" s="1"/>
  <c r="N221" i="3"/>
  <c r="L221" i="3"/>
  <c r="B221" i="3"/>
  <c r="Z220" i="3"/>
  <c r="X220" i="3"/>
  <c r="N220" i="3"/>
  <c r="L220" i="3"/>
  <c r="B220" i="3"/>
  <c r="Z219" i="3"/>
  <c r="X219" i="3"/>
  <c r="N219" i="3"/>
  <c r="L219" i="3"/>
  <c r="B219" i="3"/>
  <c r="X218" i="3"/>
  <c r="Z218" i="3" s="1"/>
  <c r="N218" i="3"/>
  <c r="L218" i="3"/>
  <c r="B218" i="3"/>
  <c r="X217" i="3"/>
  <c r="Z217" i="3" s="1"/>
  <c r="N217" i="3"/>
  <c r="L217" i="3"/>
  <c r="B217" i="3"/>
  <c r="Z216" i="3"/>
  <c r="X216" i="3"/>
  <c r="N216" i="3"/>
  <c r="L216" i="3"/>
  <c r="B216" i="3"/>
  <c r="X215" i="3"/>
  <c r="Z215" i="3" s="1"/>
  <c r="L215" i="3"/>
  <c r="N215" i="3" s="1"/>
  <c r="B215" i="3"/>
  <c r="X214" i="3"/>
  <c r="Z214" i="3" s="1"/>
  <c r="N214" i="3"/>
  <c r="L214" i="3"/>
  <c r="B214" i="3"/>
  <c r="T213" i="3"/>
  <c r="P213" i="3"/>
  <c r="H213" i="3"/>
  <c r="D213" i="3"/>
  <c r="B213" i="3"/>
  <c r="Z212" i="3"/>
  <c r="X212" i="3"/>
  <c r="N212" i="3"/>
  <c r="L212" i="3"/>
  <c r="B212" i="3"/>
  <c r="X211" i="3"/>
  <c r="Z211" i="3" s="1"/>
  <c r="L211" i="3"/>
  <c r="N211" i="3" s="1"/>
  <c r="B211" i="3"/>
  <c r="Z210" i="3"/>
  <c r="X210" i="3"/>
  <c r="N210" i="3"/>
  <c r="L210" i="3"/>
  <c r="B210" i="3"/>
  <c r="Z209" i="3"/>
  <c r="X209" i="3"/>
  <c r="N209" i="3"/>
  <c r="L209" i="3"/>
  <c r="B209" i="3"/>
  <c r="Z208" i="3"/>
  <c r="X208" i="3"/>
  <c r="N208" i="3"/>
  <c r="L208" i="3"/>
  <c r="B208" i="3"/>
  <c r="X207" i="3"/>
  <c r="Z207" i="3" s="1"/>
  <c r="L207" i="3"/>
  <c r="N207" i="3" s="1"/>
  <c r="B207" i="3"/>
  <c r="Z206" i="3"/>
  <c r="X206" i="3"/>
  <c r="N206" i="3"/>
  <c r="L206" i="3"/>
  <c r="B206" i="3"/>
  <c r="Z205" i="3"/>
  <c r="X205" i="3"/>
  <c r="L205" i="3"/>
  <c r="N205" i="3" s="1"/>
  <c r="B205" i="3"/>
  <c r="Z204" i="3"/>
  <c r="X204" i="3"/>
  <c r="N204" i="3"/>
  <c r="L204" i="3"/>
  <c r="B204" i="3"/>
  <c r="X203" i="3"/>
  <c r="Z203" i="3" s="1"/>
  <c r="L203" i="3"/>
  <c r="N203" i="3" s="1"/>
  <c r="B203" i="3"/>
  <c r="Z202" i="3"/>
  <c r="X202" i="3"/>
  <c r="T202" i="3"/>
  <c r="P202" i="3"/>
  <c r="H202" i="3"/>
  <c r="D202" i="3"/>
  <c r="B202" i="3"/>
  <c r="T201" i="3"/>
  <c r="P201" i="3"/>
  <c r="X201" i="3" s="1"/>
  <c r="H201" i="3"/>
  <c r="D201" i="3"/>
  <c r="L201" i="3" s="1"/>
  <c r="Z197" i="3"/>
  <c r="X197" i="3"/>
  <c r="N197" i="3"/>
  <c r="L197" i="3"/>
  <c r="B197" i="3"/>
  <c r="Z196" i="3"/>
  <c r="X196" i="3"/>
  <c r="V196" i="3"/>
  <c r="N196" i="3"/>
  <c r="L196" i="3"/>
  <c r="B196" i="3"/>
  <c r="Z195" i="3"/>
  <c r="X195" i="3"/>
  <c r="V195" i="3"/>
  <c r="N195" i="3"/>
  <c r="L195" i="3"/>
  <c r="B195" i="3"/>
  <c r="Z194" i="3"/>
  <c r="X194" i="3"/>
  <c r="N194" i="3"/>
  <c r="L194" i="3"/>
  <c r="B194" i="3"/>
  <c r="Z193" i="3"/>
  <c r="X193" i="3"/>
  <c r="N193" i="3"/>
  <c r="L193" i="3"/>
  <c r="B193" i="3"/>
  <c r="Z192" i="3"/>
  <c r="X192" i="3"/>
  <c r="V192" i="3"/>
  <c r="N192" i="3"/>
  <c r="L192" i="3"/>
  <c r="B192" i="3"/>
  <c r="Z191" i="3"/>
  <c r="X191" i="3"/>
  <c r="V191" i="3"/>
  <c r="N191" i="3"/>
  <c r="L191" i="3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V188" i="3"/>
  <c r="N188" i="3"/>
  <c r="L188" i="3"/>
  <c r="B188" i="3"/>
  <c r="Z187" i="3"/>
  <c r="X187" i="3"/>
  <c r="V187" i="3"/>
  <c r="N187" i="3"/>
  <c r="L187" i="3"/>
  <c r="B187" i="3"/>
  <c r="Z186" i="3"/>
  <c r="X186" i="3"/>
  <c r="N186" i="3"/>
  <c r="L186" i="3"/>
  <c r="B186" i="3"/>
  <c r="Z185" i="3"/>
  <c r="X185" i="3"/>
  <c r="N185" i="3"/>
  <c r="L185" i="3"/>
  <c r="B185" i="3"/>
  <c r="Z184" i="3"/>
  <c r="X184" i="3"/>
  <c r="V184" i="3"/>
  <c r="N184" i="3"/>
  <c r="L184" i="3"/>
  <c r="B184" i="3"/>
  <c r="Z183" i="3"/>
  <c r="X183" i="3"/>
  <c r="V183" i="3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V180" i="3"/>
  <c r="N180" i="3"/>
  <c r="L180" i="3"/>
  <c r="B180" i="3"/>
  <c r="Z179" i="3"/>
  <c r="X179" i="3"/>
  <c r="V179" i="3"/>
  <c r="N179" i="3"/>
  <c r="L179" i="3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V176" i="3"/>
  <c r="N176" i="3"/>
  <c r="L176" i="3"/>
  <c r="B176" i="3"/>
  <c r="Z175" i="3"/>
  <c r="X175" i="3"/>
  <c r="V175" i="3"/>
  <c r="N175" i="3"/>
  <c r="L175" i="3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V172" i="3"/>
  <c r="N172" i="3"/>
  <c r="L172" i="3"/>
  <c r="B172" i="3"/>
  <c r="Z171" i="3"/>
  <c r="X171" i="3"/>
  <c r="V171" i="3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V168" i="3"/>
  <c r="N168" i="3"/>
  <c r="L168" i="3"/>
  <c r="B168" i="3"/>
  <c r="Z167" i="3"/>
  <c r="X167" i="3"/>
  <c r="V167" i="3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Z164" i="3"/>
  <c r="X164" i="3"/>
  <c r="V164" i="3"/>
  <c r="N164" i="3"/>
  <c r="L164" i="3"/>
  <c r="B164" i="3"/>
  <c r="Z163" i="3"/>
  <c r="X163" i="3"/>
  <c r="V163" i="3"/>
  <c r="N163" i="3"/>
  <c r="L163" i="3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V160" i="3"/>
  <c r="N160" i="3"/>
  <c r="L160" i="3"/>
  <c r="B160" i="3"/>
  <c r="Z159" i="3"/>
  <c r="X159" i="3"/>
  <c r="V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V156" i="3"/>
  <c r="N156" i="3"/>
  <c r="L156" i="3"/>
  <c r="B156" i="3"/>
  <c r="Z155" i="3"/>
  <c r="X155" i="3"/>
  <c r="V155" i="3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V152" i="3"/>
  <c r="N152" i="3"/>
  <c r="L152" i="3"/>
  <c r="B152" i="3"/>
  <c r="Z151" i="3"/>
  <c r="X151" i="3"/>
  <c r="V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V148" i="3"/>
  <c r="N148" i="3"/>
  <c r="L148" i="3"/>
  <c r="B148" i="3"/>
  <c r="Z147" i="3"/>
  <c r="X147" i="3"/>
  <c r="V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V144" i="3"/>
  <c r="N144" i="3"/>
  <c r="L144" i="3"/>
  <c r="B144" i="3"/>
  <c r="Z143" i="3"/>
  <c r="X143" i="3"/>
  <c r="V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Z140" i="3"/>
  <c r="X140" i="3"/>
  <c r="V140" i="3"/>
  <c r="N140" i="3"/>
  <c r="L140" i="3"/>
  <c r="B140" i="3"/>
  <c r="Z139" i="3"/>
  <c r="X139" i="3"/>
  <c r="V139" i="3"/>
  <c r="N139" i="3"/>
  <c r="L139" i="3"/>
  <c r="B139" i="3"/>
  <c r="Z138" i="3"/>
  <c r="X138" i="3"/>
  <c r="N138" i="3"/>
  <c r="L138" i="3"/>
  <c r="B138" i="3"/>
  <c r="X137" i="3"/>
  <c r="T137" i="3"/>
  <c r="P137" i="3"/>
  <c r="L137" i="3"/>
  <c r="H137" i="3"/>
  <c r="N137" i="3" s="1"/>
  <c r="D137" i="3"/>
  <c r="Z135" i="3"/>
  <c r="X135" i="3"/>
  <c r="P135" i="3"/>
  <c r="N135" i="3"/>
  <c r="D135" i="3"/>
  <c r="L135" i="3" s="1"/>
  <c r="B135" i="3"/>
  <c r="Z134" i="3"/>
  <c r="X134" i="3"/>
  <c r="P134" i="3"/>
  <c r="N134" i="3"/>
  <c r="L134" i="3"/>
  <c r="D134" i="3"/>
  <c r="B134" i="3"/>
  <c r="Z133" i="3"/>
  <c r="X133" i="3"/>
  <c r="P133" i="3"/>
  <c r="N133" i="3"/>
  <c r="D133" i="3"/>
  <c r="L133" i="3" s="1"/>
  <c r="B133" i="3"/>
  <c r="Z132" i="3"/>
  <c r="P132" i="3"/>
  <c r="X132" i="3" s="1"/>
  <c r="N132" i="3"/>
  <c r="L132" i="3"/>
  <c r="D132" i="3"/>
  <c r="B132" i="3"/>
  <c r="Z131" i="3"/>
  <c r="X131" i="3"/>
  <c r="P131" i="3"/>
  <c r="N131" i="3"/>
  <c r="L131" i="3"/>
  <c r="D131" i="3"/>
  <c r="B131" i="3"/>
  <c r="Z130" i="3"/>
  <c r="P130" i="3"/>
  <c r="X130" i="3" s="1"/>
  <c r="N130" i="3"/>
  <c r="L130" i="3"/>
  <c r="D130" i="3"/>
  <c r="B130" i="3"/>
  <c r="Z129" i="3"/>
  <c r="P129" i="3"/>
  <c r="X129" i="3" s="1"/>
  <c r="N129" i="3"/>
  <c r="D129" i="3"/>
  <c r="L129" i="3" s="1"/>
  <c r="B129" i="3"/>
  <c r="Z128" i="3"/>
  <c r="P128" i="3"/>
  <c r="X128" i="3" s="1"/>
  <c r="N128" i="3"/>
  <c r="L128" i="3"/>
  <c r="D128" i="3"/>
  <c r="B128" i="3"/>
  <c r="Z127" i="3"/>
  <c r="X127" i="3"/>
  <c r="P127" i="3"/>
  <c r="N127" i="3"/>
  <c r="D127" i="3"/>
  <c r="L127" i="3" s="1"/>
  <c r="B127" i="3"/>
  <c r="Z126" i="3"/>
  <c r="P126" i="3"/>
  <c r="X126" i="3" s="1"/>
  <c r="N126" i="3"/>
  <c r="D126" i="3"/>
  <c r="L126" i="3" s="1"/>
  <c r="B126" i="3"/>
  <c r="Z125" i="3"/>
  <c r="X125" i="3"/>
  <c r="P125" i="3"/>
  <c r="N125" i="3"/>
  <c r="D125" i="3"/>
  <c r="L125" i="3" s="1"/>
  <c r="B125" i="3"/>
  <c r="Z124" i="3"/>
  <c r="P124" i="3"/>
  <c r="X124" i="3" s="1"/>
  <c r="N124" i="3"/>
  <c r="L124" i="3"/>
  <c r="D124" i="3"/>
  <c r="B124" i="3"/>
  <c r="Z123" i="3"/>
  <c r="X123" i="3"/>
  <c r="P123" i="3"/>
  <c r="N123" i="3"/>
  <c r="D123" i="3"/>
  <c r="L123" i="3" s="1"/>
  <c r="B123" i="3"/>
  <c r="Z122" i="3"/>
  <c r="X122" i="3"/>
  <c r="P122" i="3"/>
  <c r="N122" i="3"/>
  <c r="L122" i="3"/>
  <c r="D122" i="3"/>
  <c r="B122" i="3"/>
  <c r="Z121" i="3"/>
  <c r="X121" i="3"/>
  <c r="P121" i="3"/>
  <c r="N121" i="3"/>
  <c r="D121" i="3"/>
  <c r="L121" i="3" s="1"/>
  <c r="B121" i="3"/>
  <c r="Z120" i="3"/>
  <c r="P120" i="3"/>
  <c r="X120" i="3" s="1"/>
  <c r="N120" i="3"/>
  <c r="L120" i="3"/>
  <c r="D120" i="3"/>
  <c r="B120" i="3"/>
  <c r="Z119" i="3"/>
  <c r="X119" i="3"/>
  <c r="P119" i="3"/>
  <c r="N119" i="3"/>
  <c r="L119" i="3"/>
  <c r="D119" i="3"/>
  <c r="B119" i="3"/>
  <c r="Z118" i="3"/>
  <c r="P118" i="3"/>
  <c r="X118" i="3" s="1"/>
  <c r="N118" i="3"/>
  <c r="L118" i="3"/>
  <c r="D118" i="3"/>
  <c r="B118" i="3"/>
  <c r="Z117" i="3"/>
  <c r="X117" i="3"/>
  <c r="P117" i="3"/>
  <c r="N117" i="3"/>
  <c r="D117" i="3"/>
  <c r="L117" i="3" s="1"/>
  <c r="B117" i="3"/>
  <c r="Z116" i="3"/>
  <c r="P116" i="3"/>
  <c r="X116" i="3" s="1"/>
  <c r="N116" i="3"/>
  <c r="L116" i="3"/>
  <c r="D116" i="3"/>
  <c r="B116" i="3"/>
  <c r="Z115" i="3"/>
  <c r="X115" i="3"/>
  <c r="P115" i="3"/>
  <c r="N115" i="3"/>
  <c r="D115" i="3"/>
  <c r="L115" i="3" s="1"/>
  <c r="B115" i="3"/>
  <c r="Z114" i="3"/>
  <c r="P114" i="3"/>
  <c r="X114" i="3" s="1"/>
  <c r="N114" i="3"/>
  <c r="D114" i="3"/>
  <c r="L114" i="3" s="1"/>
  <c r="B114" i="3"/>
  <c r="Z113" i="3"/>
  <c r="X113" i="3"/>
  <c r="P113" i="3"/>
  <c r="N113" i="3"/>
  <c r="D113" i="3"/>
  <c r="L113" i="3" s="1"/>
  <c r="B113" i="3"/>
  <c r="Z112" i="3"/>
  <c r="P112" i="3"/>
  <c r="X112" i="3" s="1"/>
  <c r="N112" i="3"/>
  <c r="L112" i="3"/>
  <c r="D112" i="3"/>
  <c r="B112" i="3"/>
  <c r="Z111" i="3"/>
  <c r="X111" i="3"/>
  <c r="P111" i="3"/>
  <c r="N111" i="3"/>
  <c r="D111" i="3"/>
  <c r="L111" i="3" s="1"/>
  <c r="B111" i="3"/>
  <c r="Z110" i="3"/>
  <c r="X110" i="3"/>
  <c r="P110" i="3"/>
  <c r="N110" i="3"/>
  <c r="L110" i="3"/>
  <c r="D110" i="3"/>
  <c r="B110" i="3"/>
  <c r="Z109" i="3"/>
  <c r="X109" i="3"/>
  <c r="P109" i="3"/>
  <c r="N109" i="3"/>
  <c r="D109" i="3"/>
  <c r="L109" i="3" s="1"/>
  <c r="B109" i="3"/>
  <c r="Z108" i="3"/>
  <c r="P108" i="3"/>
  <c r="X108" i="3" s="1"/>
  <c r="N108" i="3"/>
  <c r="L108" i="3"/>
  <c r="D108" i="3"/>
  <c r="B108" i="3"/>
  <c r="Z107" i="3"/>
  <c r="X107" i="3"/>
  <c r="P107" i="3"/>
  <c r="N107" i="3"/>
  <c r="L107" i="3"/>
  <c r="D107" i="3"/>
  <c r="B107" i="3"/>
  <c r="Z106" i="3"/>
  <c r="P106" i="3"/>
  <c r="X106" i="3" s="1"/>
  <c r="N106" i="3"/>
  <c r="L106" i="3"/>
  <c r="D106" i="3"/>
  <c r="B106" i="3"/>
  <c r="Z105" i="3"/>
  <c r="X105" i="3"/>
  <c r="P105" i="3"/>
  <c r="N105" i="3"/>
  <c r="D105" i="3"/>
  <c r="L105" i="3" s="1"/>
  <c r="B105" i="3"/>
  <c r="Z104" i="3"/>
  <c r="P104" i="3"/>
  <c r="X104" i="3" s="1"/>
  <c r="N104" i="3"/>
  <c r="L104" i="3"/>
  <c r="D104" i="3"/>
  <c r="B104" i="3"/>
  <c r="Z103" i="3"/>
  <c r="X103" i="3"/>
  <c r="P103" i="3"/>
  <c r="N103" i="3"/>
  <c r="D103" i="3"/>
  <c r="L103" i="3" s="1"/>
  <c r="B103" i="3"/>
  <c r="Z102" i="3"/>
  <c r="P102" i="3"/>
  <c r="X102" i="3" s="1"/>
  <c r="N102" i="3"/>
  <c r="D102" i="3"/>
  <c r="L102" i="3" s="1"/>
  <c r="B102" i="3"/>
  <c r="Z101" i="3"/>
  <c r="X101" i="3"/>
  <c r="P101" i="3"/>
  <c r="N101" i="3"/>
  <c r="D101" i="3"/>
  <c r="L101" i="3" s="1"/>
  <c r="B101" i="3"/>
  <c r="Z100" i="3"/>
  <c r="P100" i="3"/>
  <c r="X100" i="3" s="1"/>
  <c r="N100" i="3"/>
  <c r="L100" i="3"/>
  <c r="D100" i="3"/>
  <c r="B100" i="3"/>
  <c r="Z99" i="3"/>
  <c r="X99" i="3"/>
  <c r="P99" i="3"/>
  <c r="N99" i="3"/>
  <c r="D99" i="3"/>
  <c r="L99" i="3" s="1"/>
  <c r="B99" i="3"/>
  <c r="Z98" i="3"/>
  <c r="X98" i="3"/>
  <c r="P98" i="3"/>
  <c r="N98" i="3"/>
  <c r="L98" i="3"/>
  <c r="D98" i="3"/>
  <c r="B98" i="3"/>
  <c r="Z97" i="3"/>
  <c r="X97" i="3"/>
  <c r="P97" i="3"/>
  <c r="N97" i="3"/>
  <c r="D97" i="3"/>
  <c r="L97" i="3" s="1"/>
  <c r="B97" i="3"/>
  <c r="Z96" i="3"/>
  <c r="P96" i="3"/>
  <c r="X96" i="3" s="1"/>
  <c r="N96" i="3"/>
  <c r="L96" i="3"/>
  <c r="D96" i="3"/>
  <c r="B96" i="3"/>
  <c r="Z95" i="3"/>
  <c r="X95" i="3"/>
  <c r="P95" i="3"/>
  <c r="N95" i="3"/>
  <c r="L95" i="3"/>
  <c r="D95" i="3"/>
  <c r="B95" i="3"/>
  <c r="Z94" i="3"/>
  <c r="P94" i="3"/>
  <c r="X94" i="3" s="1"/>
  <c r="N94" i="3"/>
  <c r="L94" i="3"/>
  <c r="D94" i="3"/>
  <c r="B94" i="3"/>
  <c r="Z93" i="3"/>
  <c r="P93" i="3"/>
  <c r="X93" i="3" s="1"/>
  <c r="N93" i="3"/>
  <c r="D93" i="3"/>
  <c r="L93" i="3" s="1"/>
  <c r="B93" i="3"/>
  <c r="Z92" i="3"/>
  <c r="P92" i="3"/>
  <c r="X92" i="3" s="1"/>
  <c r="N92" i="3"/>
  <c r="L92" i="3"/>
  <c r="D92" i="3"/>
  <c r="B92" i="3"/>
  <c r="Z91" i="3"/>
  <c r="X91" i="3"/>
  <c r="P91" i="3"/>
  <c r="N91" i="3"/>
  <c r="D91" i="3"/>
  <c r="L91" i="3" s="1"/>
  <c r="B91" i="3"/>
  <c r="Z90" i="3"/>
  <c r="P90" i="3"/>
  <c r="X90" i="3" s="1"/>
  <c r="N90" i="3"/>
  <c r="L90" i="3"/>
  <c r="D90" i="3"/>
  <c r="B90" i="3"/>
  <c r="Z89" i="3"/>
  <c r="X89" i="3"/>
  <c r="P89" i="3"/>
  <c r="N89" i="3"/>
  <c r="D89" i="3"/>
  <c r="L89" i="3" s="1"/>
  <c r="B89" i="3"/>
  <c r="Z88" i="3"/>
  <c r="P88" i="3"/>
  <c r="X88" i="3" s="1"/>
  <c r="N88" i="3"/>
  <c r="L88" i="3"/>
  <c r="D88" i="3"/>
  <c r="B88" i="3"/>
  <c r="Z87" i="3"/>
  <c r="X87" i="3"/>
  <c r="P87" i="3"/>
  <c r="N87" i="3"/>
  <c r="D87" i="3"/>
  <c r="L87" i="3" s="1"/>
  <c r="B87" i="3"/>
  <c r="Z86" i="3"/>
  <c r="X86" i="3"/>
  <c r="P86" i="3"/>
  <c r="N86" i="3"/>
  <c r="L86" i="3"/>
  <c r="D86" i="3"/>
  <c r="B86" i="3"/>
  <c r="Z85" i="3"/>
  <c r="X85" i="3"/>
  <c r="P85" i="3"/>
  <c r="N85" i="3"/>
  <c r="D85" i="3"/>
  <c r="L85" i="3" s="1"/>
  <c r="B85" i="3"/>
  <c r="Z84" i="3"/>
  <c r="P84" i="3"/>
  <c r="X84" i="3" s="1"/>
  <c r="N84" i="3"/>
  <c r="L84" i="3"/>
  <c r="D84" i="3"/>
  <c r="B84" i="3"/>
  <c r="Z83" i="3"/>
  <c r="X83" i="3"/>
  <c r="P83" i="3"/>
  <c r="N83" i="3"/>
  <c r="L83" i="3"/>
  <c r="D83" i="3"/>
  <c r="B83" i="3"/>
  <c r="Z82" i="3"/>
  <c r="P82" i="3"/>
  <c r="X82" i="3" s="1"/>
  <c r="N82" i="3"/>
  <c r="L82" i="3"/>
  <c r="D82" i="3"/>
  <c r="B82" i="3"/>
  <c r="Z81" i="3"/>
  <c r="P81" i="3"/>
  <c r="X81" i="3" s="1"/>
  <c r="N81" i="3"/>
  <c r="D81" i="3"/>
  <c r="L81" i="3" s="1"/>
  <c r="B81" i="3"/>
  <c r="Z80" i="3"/>
  <c r="P80" i="3"/>
  <c r="X80" i="3" s="1"/>
  <c r="N80" i="3"/>
  <c r="L80" i="3"/>
  <c r="D80" i="3"/>
  <c r="B80" i="3"/>
  <c r="Z79" i="3"/>
  <c r="X79" i="3"/>
  <c r="P79" i="3"/>
  <c r="N79" i="3"/>
  <c r="D79" i="3"/>
  <c r="L79" i="3" s="1"/>
  <c r="B79" i="3"/>
  <c r="Z78" i="3"/>
  <c r="P78" i="3"/>
  <c r="X78" i="3" s="1"/>
  <c r="N78" i="3"/>
  <c r="L78" i="3"/>
  <c r="D78" i="3"/>
  <c r="B78" i="3"/>
  <c r="Z77" i="3"/>
  <c r="X77" i="3"/>
  <c r="P77" i="3"/>
  <c r="N77" i="3"/>
  <c r="D77" i="3"/>
  <c r="L77" i="3" s="1"/>
  <c r="B77" i="3"/>
  <c r="Z76" i="3"/>
  <c r="P76" i="3"/>
  <c r="X76" i="3" s="1"/>
  <c r="N76" i="3"/>
  <c r="L76" i="3"/>
  <c r="D76" i="3"/>
  <c r="B76" i="3"/>
  <c r="Z75" i="3"/>
  <c r="X75" i="3"/>
  <c r="P75" i="3"/>
  <c r="N75" i="3"/>
  <c r="D75" i="3"/>
  <c r="L75" i="3" s="1"/>
  <c r="B75" i="3"/>
  <c r="Z74" i="3"/>
  <c r="X74" i="3"/>
  <c r="P74" i="3"/>
  <c r="N74" i="3"/>
  <c r="L74" i="3"/>
  <c r="D74" i="3"/>
  <c r="B74" i="3"/>
  <c r="Z73" i="3"/>
  <c r="X73" i="3"/>
  <c r="P73" i="3"/>
  <c r="N73" i="3"/>
  <c r="D73" i="3"/>
  <c r="L73" i="3" s="1"/>
  <c r="B73" i="3"/>
  <c r="Z72" i="3"/>
  <c r="P72" i="3"/>
  <c r="X72" i="3" s="1"/>
  <c r="N72" i="3"/>
  <c r="L72" i="3"/>
  <c r="D72" i="3"/>
  <c r="B72" i="3"/>
  <c r="Z71" i="3"/>
  <c r="X71" i="3"/>
  <c r="P71" i="3"/>
  <c r="N71" i="3"/>
  <c r="L71" i="3"/>
  <c r="D71" i="3"/>
  <c r="B71" i="3"/>
  <c r="Z70" i="3"/>
  <c r="P70" i="3"/>
  <c r="X70" i="3" s="1"/>
  <c r="N70" i="3"/>
  <c r="L70" i="3"/>
  <c r="D70" i="3"/>
  <c r="B70" i="3"/>
  <c r="Z69" i="3"/>
  <c r="P69" i="3"/>
  <c r="X69" i="3" s="1"/>
  <c r="N69" i="3"/>
  <c r="D69" i="3"/>
  <c r="L69" i="3" s="1"/>
  <c r="B69" i="3"/>
  <c r="Z68" i="3"/>
  <c r="P68" i="3"/>
  <c r="X68" i="3" s="1"/>
  <c r="N68" i="3"/>
  <c r="L68" i="3"/>
  <c r="D68" i="3"/>
  <c r="B68" i="3"/>
  <c r="Z67" i="3"/>
  <c r="X67" i="3"/>
  <c r="P67" i="3"/>
  <c r="N67" i="3"/>
  <c r="D67" i="3"/>
  <c r="L67" i="3" s="1"/>
  <c r="B67" i="3"/>
  <c r="Z66" i="3"/>
  <c r="P66" i="3"/>
  <c r="X66" i="3" s="1"/>
  <c r="N66" i="3"/>
  <c r="D66" i="3"/>
  <c r="L66" i="3" s="1"/>
  <c r="B66" i="3"/>
  <c r="Z65" i="3"/>
  <c r="X65" i="3"/>
  <c r="P65" i="3"/>
  <c r="N65" i="3"/>
  <c r="D65" i="3"/>
  <c r="L65" i="3" s="1"/>
  <c r="B65" i="3"/>
  <c r="Z64" i="3"/>
  <c r="P64" i="3"/>
  <c r="X64" i="3" s="1"/>
  <c r="N64" i="3"/>
  <c r="L64" i="3"/>
  <c r="D64" i="3"/>
  <c r="B64" i="3"/>
  <c r="Z63" i="3"/>
  <c r="X63" i="3"/>
  <c r="P63" i="3"/>
  <c r="N63" i="3"/>
  <c r="D63" i="3"/>
  <c r="L63" i="3" s="1"/>
  <c r="B63" i="3"/>
  <c r="Z62" i="3"/>
  <c r="X62" i="3"/>
  <c r="P62" i="3"/>
  <c r="N62" i="3"/>
  <c r="L62" i="3"/>
  <c r="D62" i="3"/>
  <c r="B62" i="3"/>
  <c r="Z61" i="3"/>
  <c r="X61" i="3"/>
  <c r="P61" i="3"/>
  <c r="N61" i="3"/>
  <c r="D61" i="3"/>
  <c r="L61" i="3" s="1"/>
  <c r="B61" i="3"/>
  <c r="Z60" i="3"/>
  <c r="P60" i="3"/>
  <c r="X60" i="3" s="1"/>
  <c r="N60" i="3"/>
  <c r="L60" i="3"/>
  <c r="D60" i="3"/>
  <c r="B60" i="3"/>
  <c r="Z59" i="3"/>
  <c r="X59" i="3"/>
  <c r="P59" i="3"/>
  <c r="N59" i="3"/>
  <c r="L59" i="3"/>
  <c r="D59" i="3"/>
  <c r="B59" i="3"/>
  <c r="Z58" i="3"/>
  <c r="P58" i="3"/>
  <c r="X58" i="3" s="1"/>
  <c r="N58" i="3"/>
  <c r="L58" i="3"/>
  <c r="D58" i="3"/>
  <c r="B58" i="3"/>
  <c r="Z57" i="3"/>
  <c r="P57" i="3"/>
  <c r="X57" i="3" s="1"/>
  <c r="N57" i="3"/>
  <c r="D57" i="3"/>
  <c r="L57" i="3" s="1"/>
  <c r="B57" i="3"/>
  <c r="Z56" i="3"/>
  <c r="P56" i="3"/>
  <c r="X56" i="3" s="1"/>
  <c r="N56" i="3"/>
  <c r="L56" i="3"/>
  <c r="D56" i="3"/>
  <c r="B56" i="3"/>
  <c r="Z55" i="3"/>
  <c r="X55" i="3"/>
  <c r="P55" i="3"/>
  <c r="N55" i="3"/>
  <c r="D55" i="3"/>
  <c r="L55" i="3" s="1"/>
  <c r="B55" i="3"/>
  <c r="Z54" i="3"/>
  <c r="P54" i="3"/>
  <c r="X54" i="3" s="1"/>
  <c r="N54" i="3"/>
  <c r="D54" i="3"/>
  <c r="L54" i="3" s="1"/>
  <c r="B54" i="3"/>
  <c r="Z53" i="3"/>
  <c r="X53" i="3"/>
  <c r="P53" i="3"/>
  <c r="N53" i="3"/>
  <c r="D53" i="3"/>
  <c r="L53" i="3" s="1"/>
  <c r="B53" i="3"/>
  <c r="Z52" i="3"/>
  <c r="P52" i="3"/>
  <c r="X52" i="3" s="1"/>
  <c r="N52" i="3"/>
  <c r="L52" i="3"/>
  <c r="D52" i="3"/>
  <c r="B52" i="3"/>
  <c r="Z51" i="3"/>
  <c r="X51" i="3"/>
  <c r="P51" i="3"/>
  <c r="N51" i="3"/>
  <c r="D51" i="3"/>
  <c r="L51" i="3" s="1"/>
  <c r="B51" i="3"/>
  <c r="Z50" i="3"/>
  <c r="X50" i="3"/>
  <c r="P50" i="3"/>
  <c r="N50" i="3"/>
  <c r="L50" i="3"/>
  <c r="D50" i="3"/>
  <c r="B50" i="3"/>
  <c r="Z49" i="3"/>
  <c r="X49" i="3"/>
  <c r="P49" i="3"/>
  <c r="N49" i="3"/>
  <c r="D49" i="3"/>
  <c r="L49" i="3" s="1"/>
  <c r="B49" i="3"/>
  <c r="Z48" i="3"/>
  <c r="P48" i="3"/>
  <c r="X48" i="3" s="1"/>
  <c r="N48" i="3"/>
  <c r="L48" i="3"/>
  <c r="D48" i="3"/>
  <c r="B48" i="3"/>
  <c r="Z47" i="3"/>
  <c r="X47" i="3"/>
  <c r="P47" i="3"/>
  <c r="N47" i="3"/>
  <c r="L47" i="3"/>
  <c r="D47" i="3"/>
  <c r="B47" i="3"/>
  <c r="Z46" i="3"/>
  <c r="P46" i="3"/>
  <c r="X46" i="3" s="1"/>
  <c r="N46" i="3"/>
  <c r="L46" i="3"/>
  <c r="D46" i="3"/>
  <c r="B46" i="3"/>
  <c r="Z45" i="3"/>
  <c r="X45" i="3"/>
  <c r="P45" i="3"/>
  <c r="N45" i="3"/>
  <c r="D45" i="3"/>
  <c r="L45" i="3" s="1"/>
  <c r="B45" i="3"/>
  <c r="Z44" i="3"/>
  <c r="P44" i="3"/>
  <c r="X44" i="3" s="1"/>
  <c r="N44" i="3"/>
  <c r="L44" i="3"/>
  <c r="D44" i="3"/>
  <c r="B44" i="3"/>
  <c r="Z43" i="3"/>
  <c r="X43" i="3"/>
  <c r="P43" i="3"/>
  <c r="N43" i="3"/>
  <c r="D43" i="3"/>
  <c r="L43" i="3" s="1"/>
  <c r="B43" i="3"/>
  <c r="Z42" i="3"/>
  <c r="P42" i="3"/>
  <c r="X42" i="3" s="1"/>
  <c r="N42" i="3"/>
  <c r="D42" i="3"/>
  <c r="L42" i="3" s="1"/>
  <c r="B42" i="3"/>
  <c r="Z41" i="3"/>
  <c r="X41" i="3"/>
  <c r="P41" i="3"/>
  <c r="N41" i="3"/>
  <c r="D41" i="3"/>
  <c r="L41" i="3" s="1"/>
  <c r="B41" i="3"/>
  <c r="Z40" i="3"/>
  <c r="P40" i="3"/>
  <c r="X40" i="3" s="1"/>
  <c r="N40" i="3"/>
  <c r="L40" i="3"/>
  <c r="D40" i="3"/>
  <c r="B40" i="3"/>
  <c r="Z39" i="3"/>
  <c r="X39" i="3"/>
  <c r="P39" i="3"/>
  <c r="N39" i="3"/>
  <c r="D39" i="3"/>
  <c r="L39" i="3" s="1"/>
  <c r="B39" i="3"/>
  <c r="Z38" i="3"/>
  <c r="P38" i="3"/>
  <c r="X38" i="3" s="1"/>
  <c r="N38" i="3"/>
  <c r="L38" i="3"/>
  <c r="D38" i="3"/>
  <c r="B38" i="3"/>
  <c r="Z37" i="3"/>
  <c r="X37" i="3"/>
  <c r="P37" i="3"/>
  <c r="N37" i="3"/>
  <c r="D37" i="3"/>
  <c r="L37" i="3" s="1"/>
  <c r="B37" i="3"/>
  <c r="Z36" i="3"/>
  <c r="P36" i="3"/>
  <c r="X36" i="3" s="1"/>
  <c r="N36" i="3"/>
  <c r="L36" i="3"/>
  <c r="D36" i="3"/>
  <c r="B36" i="3"/>
  <c r="Z35" i="3"/>
  <c r="X35" i="3"/>
  <c r="P35" i="3"/>
  <c r="N35" i="3"/>
  <c r="D35" i="3"/>
  <c r="L35" i="3" s="1"/>
  <c r="B35" i="3"/>
  <c r="Z34" i="3"/>
  <c r="P34" i="3"/>
  <c r="X34" i="3" s="1"/>
  <c r="N34" i="3"/>
  <c r="L34" i="3"/>
  <c r="D34" i="3"/>
  <c r="B34" i="3"/>
  <c r="Z33" i="3"/>
  <c r="X33" i="3"/>
  <c r="P33" i="3"/>
  <c r="N33" i="3"/>
  <c r="D33" i="3"/>
  <c r="L33" i="3" s="1"/>
  <c r="B33" i="3"/>
  <c r="Z32" i="3"/>
  <c r="P32" i="3"/>
  <c r="X32" i="3" s="1"/>
  <c r="N32" i="3"/>
  <c r="L32" i="3"/>
  <c r="D32" i="3"/>
  <c r="B32" i="3"/>
  <c r="Z31" i="3"/>
  <c r="X31" i="3"/>
  <c r="P31" i="3"/>
  <c r="N31" i="3"/>
  <c r="D31" i="3"/>
  <c r="L31" i="3" s="1"/>
  <c r="B31" i="3"/>
  <c r="Z30" i="3"/>
  <c r="P30" i="3"/>
  <c r="X30" i="3" s="1"/>
  <c r="N30" i="3"/>
  <c r="D30" i="3"/>
  <c r="L30" i="3" s="1"/>
  <c r="B30" i="3"/>
  <c r="Z29" i="3"/>
  <c r="X29" i="3"/>
  <c r="P29" i="3"/>
  <c r="N29" i="3"/>
  <c r="D29" i="3"/>
  <c r="L29" i="3" s="1"/>
  <c r="B29" i="3"/>
  <c r="Z28" i="3"/>
  <c r="P28" i="3"/>
  <c r="X28" i="3" s="1"/>
  <c r="N28" i="3"/>
  <c r="L28" i="3"/>
  <c r="D28" i="3"/>
  <c r="B28" i="3"/>
  <c r="Z27" i="3"/>
  <c r="X27" i="3"/>
  <c r="P27" i="3"/>
  <c r="N27" i="3"/>
  <c r="D27" i="3"/>
  <c r="L27" i="3" s="1"/>
  <c r="B27" i="3"/>
  <c r="Z26" i="3"/>
  <c r="P26" i="3"/>
  <c r="X26" i="3" s="1"/>
  <c r="N26" i="3"/>
  <c r="L26" i="3"/>
  <c r="D26" i="3"/>
  <c r="B26" i="3"/>
  <c r="Z25" i="3"/>
  <c r="X25" i="3"/>
  <c r="P25" i="3"/>
  <c r="N25" i="3"/>
  <c r="D25" i="3"/>
  <c r="L25" i="3" s="1"/>
  <c r="B25" i="3"/>
  <c r="Z24" i="3"/>
  <c r="P24" i="3"/>
  <c r="X24" i="3" s="1"/>
  <c r="N24" i="3"/>
  <c r="L24" i="3"/>
  <c r="D24" i="3"/>
  <c r="B24" i="3"/>
  <c r="Z23" i="3"/>
  <c r="X23" i="3"/>
  <c r="P23" i="3"/>
  <c r="N23" i="3"/>
  <c r="D23" i="3"/>
  <c r="L23" i="3" s="1"/>
  <c r="B23" i="3"/>
  <c r="Z22" i="3"/>
  <c r="P22" i="3"/>
  <c r="X22" i="3" s="1"/>
  <c r="N22" i="3"/>
  <c r="L22" i="3"/>
  <c r="D22" i="3"/>
  <c r="B22" i="3"/>
  <c r="Z21" i="3"/>
  <c r="P21" i="3"/>
  <c r="X21" i="3" s="1"/>
  <c r="N21" i="3"/>
  <c r="D21" i="3"/>
  <c r="L21" i="3" s="1"/>
  <c r="B21" i="3"/>
  <c r="Z20" i="3"/>
  <c r="P20" i="3"/>
  <c r="X20" i="3" s="1"/>
  <c r="N20" i="3"/>
  <c r="L20" i="3"/>
  <c r="D20" i="3"/>
  <c r="B20" i="3"/>
  <c r="Z19" i="3"/>
  <c r="X19" i="3"/>
  <c r="P19" i="3"/>
  <c r="N19" i="3"/>
  <c r="D19" i="3"/>
  <c r="L19" i="3" s="1"/>
  <c r="B19" i="3"/>
  <c r="Z18" i="3"/>
  <c r="P18" i="3"/>
  <c r="X18" i="3" s="1"/>
  <c r="N18" i="3"/>
  <c r="D18" i="3"/>
  <c r="L18" i="3" s="1"/>
  <c r="B18" i="3"/>
  <c r="Z17" i="3"/>
  <c r="X17" i="3"/>
  <c r="P17" i="3"/>
  <c r="N17" i="3"/>
  <c r="D17" i="3"/>
  <c r="L17" i="3" s="1"/>
  <c r="B17" i="3"/>
  <c r="Z16" i="3"/>
  <c r="P16" i="3"/>
  <c r="X16" i="3" s="1"/>
  <c r="N16" i="3"/>
  <c r="L16" i="3"/>
  <c r="D16" i="3"/>
  <c r="B16" i="3"/>
  <c r="Z15" i="3"/>
  <c r="X15" i="3"/>
  <c r="P15" i="3"/>
  <c r="N15" i="3"/>
  <c r="D15" i="3"/>
  <c r="L15" i="3" s="1"/>
  <c r="B15" i="3"/>
  <c r="Z14" i="3"/>
  <c r="P14" i="3"/>
  <c r="X14" i="3" s="1"/>
  <c r="N14" i="3"/>
  <c r="L14" i="3"/>
  <c r="D14" i="3"/>
  <c r="B14" i="3"/>
  <c r="X13" i="3"/>
  <c r="Z13" i="3" s="1"/>
  <c r="P13" i="3"/>
  <c r="D13" i="3"/>
  <c r="B13" i="3"/>
  <c r="T12" i="3"/>
  <c r="V235" i="3" s="1"/>
  <c r="H12" i="3"/>
  <c r="J309" i="3" s="1"/>
  <c r="D4" i="3"/>
  <c r="H29" i="112"/>
  <c r="H16" i="113"/>
  <c r="H15" i="113"/>
  <c r="H25" i="111"/>
  <c r="B39" i="111"/>
  <c r="B22" i="112"/>
  <c r="T22" i="113"/>
  <c r="P33" i="113"/>
  <c r="D21" i="111"/>
  <c r="D16" i="111"/>
  <c r="T29" i="111"/>
  <c r="T13" i="112"/>
  <c r="P13" i="112"/>
  <c r="P16" i="112"/>
  <c r="H25" i="53"/>
  <c r="D21" i="49"/>
  <c r="D25" i="52"/>
  <c r="D16" i="49"/>
  <c r="B13" i="52"/>
  <c r="D22" i="53"/>
  <c r="T24" i="49"/>
  <c r="T12" i="46"/>
  <c r="T20" i="50"/>
  <c r="T33" i="53"/>
  <c r="P13" i="50"/>
  <c r="P16" i="50"/>
  <c r="T16" i="53"/>
  <c r="P24" i="52"/>
  <c r="H29" i="49"/>
  <c r="T15" i="52"/>
  <c r="H22" i="49"/>
  <c r="P15" i="46"/>
  <c r="B16" i="44"/>
  <c r="P21" i="47"/>
  <c r="D15" i="43"/>
  <c r="B25" i="47"/>
  <c r="H20" i="49"/>
  <c r="T16" i="44"/>
  <c r="T12" i="47"/>
  <c r="H12" i="46"/>
  <c r="D21" i="47"/>
  <c r="H20" i="46"/>
  <c r="P16" i="52"/>
  <c r="B38" i="44"/>
  <c r="H34" i="50"/>
  <c r="B25" i="43"/>
  <c r="H15" i="43"/>
  <c r="H29" i="40"/>
  <c r="B38" i="41"/>
  <c r="P15" i="52"/>
  <c r="D34" i="40"/>
  <c r="H33" i="37"/>
  <c r="D24" i="40"/>
  <c r="T13" i="47"/>
  <c r="H15" i="40"/>
  <c r="D15" i="41"/>
  <c r="P12" i="43"/>
  <c r="P29" i="44"/>
  <c r="B38" i="47"/>
  <c r="P34" i="40"/>
  <c r="B16" i="37"/>
  <c r="H12" i="38"/>
  <c r="H24" i="34"/>
  <c r="D12" i="38"/>
  <c r="D29" i="34"/>
  <c r="H15" i="37"/>
  <c r="P15" i="43"/>
  <c r="B22" i="34"/>
  <c r="T15" i="38"/>
  <c r="D20" i="34"/>
  <c r="H12" i="37"/>
  <c r="P21" i="40"/>
  <c r="D12" i="41"/>
  <c r="T16" i="35"/>
  <c r="H21" i="37"/>
  <c r="H29" i="35"/>
  <c r="D5" i="34"/>
  <c r="H15" i="29"/>
  <c r="D5" i="26"/>
  <c r="B22" i="31"/>
  <c r="H13" i="26"/>
  <c r="T33" i="32"/>
  <c r="T25" i="29"/>
  <c r="H21" i="26"/>
  <c r="P12" i="32"/>
  <c r="T33" i="28"/>
  <c r="B38" i="25"/>
  <c r="H15" i="22"/>
  <c r="T24" i="31"/>
  <c r="D21" i="26"/>
  <c r="H24" i="35"/>
  <c r="P24" i="29"/>
  <c r="D16" i="26"/>
  <c r="P13" i="32"/>
  <c r="P22" i="28"/>
  <c r="T15" i="31"/>
  <c r="P12" i="26"/>
  <c r="H22" i="35"/>
  <c r="H34" i="29"/>
  <c r="P25" i="26"/>
  <c r="H21" i="32"/>
  <c r="H21" i="29"/>
  <c r="P22" i="25"/>
  <c r="D12" i="22"/>
  <c r="T33" i="23"/>
  <c r="D20" i="20"/>
  <c r="H25" i="112"/>
  <c r="B13" i="113"/>
  <c r="B38" i="112"/>
  <c r="P15" i="111"/>
  <c r="H24" i="111"/>
  <c r="D21" i="112"/>
  <c r="P12" i="113"/>
  <c r="P29" i="113"/>
  <c r="H15" i="111"/>
  <c r="P21" i="113"/>
  <c r="T25" i="111"/>
  <c r="T24" i="111"/>
  <c r="H12" i="112"/>
  <c r="P22" i="111"/>
  <c r="D33" i="53"/>
  <c r="H15" i="49"/>
  <c r="H21" i="52"/>
  <c r="B21" i="47"/>
  <c r="T24" i="50"/>
  <c r="D21" i="53"/>
  <c r="T22" i="49"/>
  <c r="D25" i="53"/>
  <c r="T16" i="50"/>
  <c r="B25" i="53"/>
  <c r="H12" i="50"/>
  <c r="D12" i="50"/>
  <c r="T13" i="53"/>
  <c r="P22" i="52"/>
  <c r="H25" i="49"/>
  <c r="P13" i="52"/>
  <c r="H13" i="49"/>
  <c r="D5" i="46"/>
  <c r="D15" i="44"/>
  <c r="T15" i="47"/>
  <c r="T12" i="43"/>
  <c r="H20" i="47"/>
  <c r="B13" i="49"/>
  <c r="T13" i="44"/>
  <c r="T22" i="46"/>
  <c r="P20" i="44"/>
  <c r="H15" i="47"/>
  <c r="P13" i="46"/>
  <c r="D22" i="50"/>
  <c r="D34" i="44"/>
  <c r="P15" i="50"/>
  <c r="D24" i="43"/>
  <c r="D20" i="46"/>
  <c r="H25" i="40"/>
  <c r="D34" i="41"/>
  <c r="D29" i="47"/>
  <c r="D33" i="40"/>
  <c r="H29" i="37"/>
  <c r="D22" i="40"/>
  <c r="P25" i="46"/>
  <c r="H21" i="49"/>
  <c r="T12" i="41"/>
  <c r="T24" i="41"/>
  <c r="H25" i="44"/>
  <c r="B22" i="47"/>
  <c r="P33" i="40"/>
  <c r="D15" i="37"/>
  <c r="D34" i="37"/>
  <c r="H22" i="34"/>
  <c r="P29" i="37"/>
  <c r="D25" i="34"/>
  <c r="P12" i="37"/>
  <c r="P13" i="41"/>
  <c r="D21" i="34"/>
  <c r="B38" i="37"/>
  <c r="D16" i="34"/>
  <c r="T24" i="35"/>
  <c r="H12" i="40"/>
  <c r="P16" i="40"/>
  <c r="T13" i="35"/>
  <c r="P21" i="35"/>
  <c r="H25" i="35"/>
  <c r="B22" i="32"/>
  <c r="B25" i="28"/>
  <c r="P20" i="25"/>
  <c r="D21" i="31"/>
  <c r="D4" i="26"/>
  <c r="T29" i="32"/>
  <c r="B16" i="29"/>
  <c r="D13" i="26"/>
  <c r="T34" i="31"/>
  <c r="T29" i="28"/>
  <c r="D34" i="25"/>
  <c r="H24" i="37"/>
  <c r="T22" i="31"/>
  <c r="H15" i="26"/>
  <c r="T22" i="34"/>
  <c r="P22" i="29"/>
  <c r="B22" i="25"/>
  <c r="H12" i="32"/>
  <c r="T20" i="28"/>
  <c r="P13" i="31"/>
  <c r="T34" i="25"/>
  <c r="D4" i="35"/>
  <c r="H33" i="29"/>
  <c r="T21" i="26"/>
  <c r="D13" i="32"/>
  <c r="D13" i="29"/>
  <c r="T20" i="25"/>
  <c r="P12" i="34"/>
  <c r="B25" i="23"/>
  <c r="D16" i="20"/>
  <c r="B38" i="23"/>
  <c r="B38" i="113"/>
  <c r="P15" i="112"/>
  <c r="B39" i="112"/>
  <c r="D34" i="112"/>
  <c r="D6" i="111"/>
  <c r="H22" i="111"/>
  <c r="H15" i="112"/>
  <c r="B21" i="112"/>
  <c r="P25" i="113"/>
  <c r="P24" i="113"/>
  <c r="T15" i="113"/>
  <c r="B16" i="111"/>
  <c r="T22" i="111"/>
  <c r="P34" i="111"/>
  <c r="T20" i="111"/>
  <c r="D13" i="53"/>
  <c r="T29" i="53"/>
  <c r="D13" i="52"/>
  <c r="D20" i="47"/>
  <c r="T22" i="50"/>
  <c r="D20" i="53"/>
  <c r="P12" i="49"/>
  <c r="D24" i="53"/>
  <c r="T13" i="50"/>
  <c r="P12" i="53"/>
  <c r="P24" i="49"/>
  <c r="P21" i="49"/>
  <c r="P34" i="52"/>
  <c r="T20" i="52"/>
  <c r="P15" i="49"/>
  <c r="H12" i="52"/>
  <c r="D4" i="49"/>
  <c r="D21" i="50"/>
  <c r="T12" i="44"/>
  <c r="D13" i="47"/>
  <c r="P24" i="53"/>
  <c r="B13" i="47"/>
  <c r="P22" i="47"/>
  <c r="P34" i="43"/>
  <c r="P20" i="46"/>
  <c r="P16" i="44"/>
  <c r="T24" i="46"/>
  <c r="D4" i="46"/>
  <c r="H16" i="50"/>
  <c r="D33" i="44"/>
  <c r="H34" i="47"/>
  <c r="D22" i="43"/>
  <c r="B21" i="44"/>
  <c r="P15" i="40"/>
  <c r="D33" i="41"/>
  <c r="H16" i="44"/>
  <c r="D29" i="40"/>
  <c r="H25" i="37"/>
  <c r="H20" i="40"/>
  <c r="T15" i="46"/>
  <c r="P25" i="44"/>
  <c r="B21" i="40"/>
  <c r="T22" i="41"/>
  <c r="P24" i="43"/>
  <c r="H22" i="46"/>
  <c r="P29" i="40"/>
  <c r="T12" i="37"/>
  <c r="B22" i="37"/>
  <c r="H13" i="34"/>
  <c r="D24" i="37"/>
  <c r="H21" i="34"/>
  <c r="B22" i="35"/>
  <c r="H34" i="38"/>
  <c r="H15" i="34"/>
  <c r="T22" i="37"/>
  <c r="H34" i="52"/>
  <c r="T22" i="35"/>
  <c r="P21" i="38"/>
  <c r="D12" i="40"/>
  <c r="P34" i="34"/>
  <c r="P16" i="41"/>
  <c r="P15" i="35"/>
  <c r="D21" i="32"/>
  <c r="D24" i="28"/>
  <c r="P16" i="25"/>
  <c r="H15" i="31"/>
  <c r="H34" i="25"/>
  <c r="T25" i="32"/>
  <c r="D15" i="29"/>
  <c r="B39" i="25"/>
  <c r="T33" i="31"/>
  <c r="T25" i="28"/>
  <c r="D33" i="25"/>
  <c r="B13" i="37"/>
  <c r="P12" i="31"/>
  <c r="B25" i="25"/>
  <c r="P24" i="32"/>
  <c r="T20" i="29"/>
  <c r="D21" i="25"/>
  <c r="P24" i="31"/>
  <c r="T16" i="28"/>
  <c r="H12" i="31"/>
  <c r="T33" i="25"/>
  <c r="H33" i="34"/>
  <c r="H29" i="29"/>
  <c r="T24" i="25"/>
  <c r="B39" i="31"/>
  <c r="B39" i="28"/>
  <c r="T16" i="25"/>
  <c r="H34" i="31"/>
  <c r="T21" i="23"/>
  <c r="B22" i="19"/>
  <c r="D34" i="113"/>
  <c r="D6" i="112"/>
  <c r="H24" i="112"/>
  <c r="D33" i="112"/>
  <c r="B21" i="113"/>
  <c r="H13" i="111"/>
  <c r="B38" i="111"/>
  <c r="D20" i="112"/>
  <c r="T21" i="113"/>
  <c r="P22" i="113"/>
  <c r="P13" i="113"/>
  <c r="D15" i="111"/>
  <c r="P12" i="111"/>
  <c r="P33" i="111"/>
  <c r="H24" i="113"/>
  <c r="B39" i="52"/>
  <c r="H22" i="53"/>
  <c r="T34" i="50"/>
  <c r="D16" i="47"/>
  <c r="P12" i="50"/>
  <c r="D16" i="53"/>
  <c r="T24" i="47"/>
  <c r="B22" i="53"/>
  <c r="P34" i="49"/>
  <c r="T34" i="52"/>
  <c r="P22" i="49"/>
  <c r="T15" i="49"/>
  <c r="P33" i="52"/>
  <c r="T16" i="52"/>
  <c r="D5" i="49"/>
  <c r="B38" i="50"/>
  <c r="B39" i="47"/>
  <c r="H15" i="50"/>
  <c r="B21" i="43"/>
  <c r="D24" i="46"/>
  <c r="P15" i="53"/>
  <c r="D33" i="46"/>
  <c r="T16" i="47"/>
  <c r="P33" i="43"/>
  <c r="H13" i="53"/>
  <c r="D12" i="44"/>
  <c r="P22" i="46"/>
  <c r="B39" i="44"/>
  <c r="D29" i="49"/>
  <c r="D29" i="44"/>
  <c r="B16" i="47"/>
  <c r="H20" i="43"/>
  <c r="B13" i="44"/>
  <c r="D5" i="40"/>
  <c r="D29" i="41"/>
  <c r="P20" i="43"/>
  <c r="D25" i="40"/>
  <c r="P15" i="37"/>
  <c r="H16" i="40"/>
  <c r="H20" i="44"/>
  <c r="D20" i="44"/>
  <c r="D20" i="40"/>
  <c r="P12" i="41"/>
  <c r="P34" i="41"/>
  <c r="B25" i="44"/>
  <c r="P25" i="40"/>
  <c r="T21" i="47"/>
  <c r="P16" i="37"/>
  <c r="D4" i="34"/>
  <c r="B25" i="35"/>
  <c r="D13" i="34"/>
  <c r="D21" i="35"/>
  <c r="H29" i="38"/>
  <c r="B38" i="32"/>
  <c r="P20" i="37"/>
  <c r="H29" i="44"/>
  <c r="P12" i="35"/>
  <c r="D20" i="38"/>
  <c r="T33" i="38"/>
  <c r="P33" i="34"/>
  <c r="T15" i="40"/>
  <c r="D5" i="35"/>
  <c r="H15" i="32"/>
  <c r="D22" i="28"/>
  <c r="D12" i="25"/>
  <c r="B21" i="29"/>
  <c r="H33" i="25"/>
  <c r="B16" i="32"/>
  <c r="T12" i="29"/>
  <c r="H24" i="25"/>
  <c r="T29" i="31"/>
  <c r="B16" i="28"/>
  <c r="D29" i="25"/>
  <c r="H13" i="35"/>
  <c r="P34" i="29"/>
  <c r="D24" i="25"/>
  <c r="P22" i="32"/>
  <c r="T16" i="29"/>
  <c r="H15" i="25"/>
  <c r="P22" i="31"/>
  <c r="T13" i="28"/>
  <c r="P20" i="29"/>
  <c r="T29" i="25"/>
  <c r="H34" i="32"/>
  <c r="H25" i="29"/>
  <c r="T22" i="25"/>
  <c r="H24" i="31"/>
  <c r="H24" i="28"/>
  <c r="T13" i="25"/>
  <c r="P15" i="31"/>
  <c r="H16" i="23"/>
  <c r="D21" i="19"/>
  <c r="D33" i="113"/>
  <c r="P21" i="111"/>
  <c r="H22" i="112"/>
  <c r="D29" i="112"/>
  <c r="D20" i="113"/>
  <c r="D5" i="111"/>
  <c r="D34" i="111"/>
  <c r="D16" i="112"/>
  <c r="T34" i="112"/>
  <c r="T20" i="113"/>
  <c r="H12" i="113"/>
  <c r="T12" i="111"/>
  <c r="H34" i="113"/>
  <c r="P29" i="111"/>
  <c r="D12" i="112"/>
  <c r="H24" i="52"/>
  <c r="H21" i="53"/>
  <c r="T33" i="50"/>
  <c r="D34" i="53"/>
  <c r="T34" i="49"/>
  <c r="B22" i="52"/>
  <c r="T22" i="47"/>
  <c r="B16" i="53"/>
  <c r="P33" i="49"/>
  <c r="T33" i="52"/>
  <c r="T20" i="49"/>
  <c r="P13" i="49"/>
  <c r="P29" i="52"/>
  <c r="T13" i="52"/>
  <c r="P34" i="53"/>
  <c r="D34" i="50"/>
  <c r="H24" i="47"/>
  <c r="H25" i="47"/>
  <c r="D20" i="43"/>
  <c r="T24" i="44"/>
  <c r="D12" i="52"/>
  <c r="D25" i="46"/>
  <c r="P15" i="47"/>
  <c r="P29" i="43"/>
  <c r="H29" i="52"/>
  <c r="P21" i="43"/>
  <c r="T13" i="46"/>
  <c r="H24" i="44"/>
  <c r="H29" i="47"/>
  <c r="D25" i="44"/>
  <c r="P13" i="47"/>
  <c r="H16" i="43"/>
  <c r="T22" i="43"/>
  <c r="P20" i="38"/>
  <c r="D25" i="41"/>
  <c r="P16" i="43"/>
  <c r="H21" i="40"/>
  <c r="D5" i="37"/>
  <c r="B13" i="40"/>
  <c r="D5" i="44"/>
  <c r="T15" i="44"/>
  <c r="D16" i="40"/>
  <c r="T34" i="40"/>
  <c r="P33" i="41"/>
  <c r="T21" i="44"/>
  <c r="T21" i="40"/>
  <c r="H21" i="43"/>
  <c r="B38" i="35"/>
  <c r="T20" i="47"/>
  <c r="D24" i="35"/>
  <c r="P13" i="44"/>
  <c r="H15" i="35"/>
  <c r="T25" i="38"/>
  <c r="D22" i="46"/>
  <c r="T34" i="35"/>
  <c r="D5" i="43"/>
  <c r="T34" i="34"/>
  <c r="T16" i="38"/>
  <c r="H25" i="38"/>
  <c r="P29" i="34"/>
  <c r="B21" i="38"/>
  <c r="P20" i="34"/>
  <c r="B25" i="31"/>
  <c r="H20" i="28"/>
  <c r="T12" i="38"/>
  <c r="D20" i="29"/>
  <c r="H29" i="25"/>
  <c r="D15" i="32"/>
  <c r="B21" i="28"/>
  <c r="H22" i="25"/>
  <c r="T25" i="31"/>
  <c r="D15" i="28"/>
  <c r="D25" i="25"/>
  <c r="H34" i="34"/>
  <c r="P33" i="29"/>
  <c r="D22" i="25"/>
  <c r="T20" i="32"/>
  <c r="T13" i="29"/>
  <c r="T34" i="38"/>
  <c r="T20" i="31"/>
  <c r="T20" i="40"/>
  <c r="P16" i="29"/>
  <c r="T25" i="25"/>
  <c r="H33" i="32"/>
  <c r="P15" i="29"/>
  <c r="P12" i="25"/>
  <c r="H22" i="31"/>
  <c r="H22" i="28"/>
  <c r="H34" i="23"/>
  <c r="B39" i="29"/>
  <c r="D15" i="23"/>
  <c r="H15" i="19"/>
  <c r="D29" i="113"/>
  <c r="T15" i="111"/>
  <c r="H13" i="112"/>
  <c r="D25" i="112"/>
  <c r="D16" i="113"/>
  <c r="T34" i="113"/>
  <c r="D33" i="111"/>
  <c r="B25" i="111"/>
  <c r="T33" i="112"/>
  <c r="T16" i="113"/>
  <c r="P34" i="112"/>
  <c r="P20" i="113"/>
  <c r="H33" i="113"/>
  <c r="P25" i="111"/>
  <c r="H22" i="113"/>
  <c r="H22" i="52"/>
  <c r="H20" i="53"/>
  <c r="T29" i="50"/>
  <c r="H24" i="53"/>
  <c r="T33" i="49"/>
  <c r="D21" i="52"/>
  <c r="P12" i="47"/>
  <c r="D15" i="53"/>
  <c r="P29" i="49"/>
  <c r="T29" i="52"/>
  <c r="T16" i="49"/>
  <c r="H12" i="49"/>
  <c r="P25" i="52"/>
  <c r="B39" i="50"/>
  <c r="T25" i="53"/>
  <c r="D33" i="50"/>
  <c r="H22" i="47"/>
  <c r="P34" i="46"/>
  <c r="D16" i="43"/>
  <c r="T22" i="44"/>
  <c r="B25" i="50"/>
  <c r="T20" i="46"/>
  <c r="P29" i="46"/>
  <c r="P25" i="43"/>
  <c r="D24" i="50"/>
  <c r="T15" i="43"/>
  <c r="D12" i="46"/>
  <c r="H22" i="44"/>
  <c r="T25" i="47"/>
  <c r="H21" i="44"/>
  <c r="B39" i="46"/>
  <c r="B13" i="43"/>
  <c r="B39" i="41"/>
  <c r="P16" i="38"/>
  <c r="H21" i="41"/>
  <c r="B25" i="41"/>
  <c r="D13" i="40"/>
  <c r="D16" i="44"/>
  <c r="B38" i="38"/>
  <c r="D25" i="43"/>
  <c r="B38" i="43"/>
  <c r="H16" i="49"/>
  <c r="T33" i="40"/>
  <c r="P29" i="41"/>
  <c r="D33" i="43"/>
  <c r="T24" i="38"/>
  <c r="P21" i="41"/>
  <c r="D34" i="35"/>
  <c r="P22" i="40"/>
  <c r="D22" i="35"/>
  <c r="H34" i="41"/>
  <c r="B25" i="34"/>
  <c r="B39" i="37"/>
  <c r="P20" i="41"/>
  <c r="T33" i="35"/>
  <c r="H33" i="41"/>
  <c r="T33" i="34"/>
  <c r="P15" i="38"/>
  <c r="P34" i="37"/>
  <c r="P25" i="34"/>
  <c r="H16" i="38"/>
  <c r="P16" i="34"/>
  <c r="D24" i="31"/>
  <c r="H16" i="28"/>
  <c r="P25" i="37"/>
  <c r="D16" i="29"/>
  <c r="H25" i="25"/>
  <c r="T12" i="32"/>
  <c r="D20" i="28"/>
  <c r="H13" i="25"/>
  <c r="B16" i="31"/>
  <c r="T12" i="28"/>
  <c r="H21" i="25"/>
  <c r="H29" i="34"/>
  <c r="P29" i="29"/>
  <c r="H20" i="25"/>
  <c r="T16" i="32"/>
  <c r="P34" i="28"/>
  <c r="D22" i="37"/>
  <c r="T16" i="31"/>
  <c r="P16" i="35"/>
  <c r="D12" i="29"/>
  <c r="B16" i="25"/>
  <c r="H29" i="32"/>
  <c r="D5" i="29"/>
  <c r="T29" i="38"/>
  <c r="H13" i="31"/>
  <c r="H13" i="28"/>
  <c r="H33" i="23"/>
  <c r="H34" i="28"/>
  <c r="H34" i="22"/>
  <c r="H12" i="34"/>
  <c r="D25" i="113"/>
  <c r="P13" i="111"/>
  <c r="D5" i="112"/>
  <c r="H21" i="112"/>
  <c r="B25" i="112"/>
  <c r="T33" i="113"/>
  <c r="D29" i="111"/>
  <c r="D24" i="111"/>
  <c r="T29" i="112"/>
  <c r="T13" i="113"/>
  <c r="P33" i="112"/>
  <c r="P16" i="113"/>
  <c r="H29" i="113"/>
  <c r="T21" i="111"/>
  <c r="T16" i="111"/>
  <c r="H13" i="52"/>
  <c r="H16" i="53"/>
  <c r="T25" i="50"/>
  <c r="H15" i="53"/>
  <c r="T29" i="49"/>
  <c r="H15" i="52"/>
  <c r="T34" i="46"/>
  <c r="T12" i="53"/>
  <c r="P25" i="49"/>
  <c r="T25" i="52"/>
  <c r="T13" i="49"/>
  <c r="B38" i="53"/>
  <c r="T21" i="52"/>
  <c r="H24" i="50"/>
  <c r="P22" i="53"/>
  <c r="D29" i="50"/>
  <c r="H13" i="47"/>
  <c r="B22" i="46"/>
  <c r="P25" i="53"/>
  <c r="P12" i="44"/>
  <c r="H20" i="50"/>
  <c r="H15" i="46"/>
  <c r="B25" i="46"/>
  <c r="T21" i="43"/>
  <c r="B38" i="49"/>
  <c r="P13" i="43"/>
  <c r="D4" i="53"/>
  <c r="H13" i="44"/>
  <c r="D22" i="47"/>
  <c r="D13" i="44"/>
  <c r="D21" i="46"/>
  <c r="H25" i="52"/>
  <c r="H24" i="41"/>
  <c r="D34" i="49"/>
  <c r="D13" i="41"/>
  <c r="D24" i="41"/>
  <c r="B39" i="38"/>
  <c r="H12" i="44"/>
  <c r="D34" i="38"/>
  <c r="D13" i="43"/>
  <c r="B22" i="43"/>
  <c r="D5" i="47"/>
  <c r="T29" i="40"/>
  <c r="P25" i="41"/>
  <c r="D12" i="43"/>
  <c r="T22" i="38"/>
  <c r="T15" i="41"/>
  <c r="D33" i="35"/>
  <c r="T13" i="40"/>
  <c r="H20" i="35"/>
  <c r="P15" i="41"/>
  <c r="D24" i="34"/>
  <c r="B25" i="37"/>
  <c r="T25" i="40"/>
  <c r="T29" i="35"/>
  <c r="H25" i="41"/>
  <c r="T29" i="34"/>
  <c r="B13" i="38"/>
  <c r="H20" i="37"/>
  <c r="T21" i="34"/>
  <c r="D33" i="37"/>
  <c r="D12" i="34"/>
  <c r="D22" i="31"/>
  <c r="B13" i="28"/>
  <c r="T15" i="37"/>
  <c r="B22" i="28"/>
  <c r="P15" i="25"/>
  <c r="B21" i="31"/>
  <c r="D16" i="28"/>
  <c r="D4" i="25"/>
  <c r="D15" i="31"/>
  <c r="B25" i="26"/>
  <c r="D13" i="25"/>
  <c r="P15" i="34"/>
  <c r="P25" i="29"/>
  <c r="H16" i="25"/>
  <c r="T13" i="32"/>
  <c r="P33" i="28"/>
  <c r="P29" i="35"/>
  <c r="T13" i="31"/>
  <c r="D12" i="35"/>
  <c r="P21" i="28"/>
  <c r="D15" i="25"/>
  <c r="H25" i="32"/>
  <c r="P20" i="28"/>
  <c r="T15" i="35"/>
  <c r="D4" i="31"/>
  <c r="D4" i="28"/>
  <c r="H29" i="23"/>
  <c r="P15" i="28"/>
  <c r="D33" i="22"/>
  <c r="B39" i="32"/>
  <c r="H21" i="113"/>
  <c r="H12" i="111"/>
  <c r="P20" i="111"/>
  <c r="D13" i="112"/>
  <c r="D24" i="112"/>
  <c r="T29" i="113"/>
  <c r="D25" i="111"/>
  <c r="D22" i="111"/>
  <c r="T25" i="112"/>
  <c r="T24" i="112"/>
  <c r="P29" i="112"/>
  <c r="D12" i="113"/>
  <c r="H25" i="113"/>
  <c r="B39" i="113"/>
  <c r="T13" i="111"/>
  <c r="D4" i="52"/>
  <c r="B13" i="53"/>
  <c r="B16" i="50"/>
  <c r="B25" i="52"/>
  <c r="T25" i="49"/>
  <c r="P34" i="50"/>
  <c r="T33" i="46"/>
  <c r="B21" i="52"/>
  <c r="T21" i="49"/>
  <c r="B16" i="52"/>
  <c r="B39" i="53"/>
  <c r="T34" i="53"/>
  <c r="D29" i="53"/>
  <c r="H22" i="50"/>
  <c r="P21" i="53"/>
  <c r="D25" i="50"/>
  <c r="D4" i="47"/>
  <c r="P16" i="46"/>
  <c r="H33" i="52"/>
  <c r="T34" i="43"/>
  <c r="B13" i="50"/>
  <c r="P12" i="46"/>
  <c r="T21" i="46"/>
  <c r="P20" i="52"/>
  <c r="H33" i="47"/>
  <c r="H12" i="43"/>
  <c r="H29" i="50"/>
  <c r="D4" i="44"/>
  <c r="H16" i="47"/>
  <c r="B39" i="43"/>
  <c r="T16" i="46"/>
  <c r="D34" i="47"/>
  <c r="H22" i="41"/>
  <c r="D24" i="44"/>
  <c r="B39" i="40"/>
  <c r="D22" i="41"/>
  <c r="H24" i="38"/>
  <c r="D34" i="43"/>
  <c r="D33" i="38"/>
  <c r="B21" i="41"/>
  <c r="T34" i="41"/>
  <c r="H13" i="46"/>
  <c r="D24" i="47"/>
  <c r="T21" i="41"/>
  <c r="P24" i="41"/>
  <c r="P12" i="38"/>
  <c r="D15" i="40"/>
  <c r="D29" i="35"/>
  <c r="P24" i="38"/>
  <c r="H16" i="35"/>
  <c r="P13" i="40"/>
  <c r="D22" i="34"/>
  <c r="T21" i="37"/>
  <c r="T12" i="40"/>
  <c r="T25" i="35"/>
  <c r="T16" i="40"/>
  <c r="T25" i="34"/>
  <c r="D29" i="37"/>
  <c r="P13" i="37"/>
  <c r="D5" i="41"/>
  <c r="D21" i="37"/>
  <c r="P21" i="44"/>
  <c r="H20" i="31"/>
  <c r="H34" i="26"/>
  <c r="P20" i="35"/>
  <c r="D21" i="28"/>
  <c r="D5" i="25"/>
  <c r="D20" i="31"/>
  <c r="B38" i="26"/>
  <c r="P22" i="38"/>
  <c r="T12" i="31"/>
  <c r="D24" i="26"/>
  <c r="B21" i="23"/>
  <c r="P34" i="32"/>
  <c r="T21" i="29"/>
  <c r="B13" i="25"/>
  <c r="P34" i="31"/>
  <c r="P29" i="28"/>
  <c r="H12" i="35"/>
  <c r="P21" i="29"/>
  <c r="P13" i="34"/>
  <c r="T15" i="28"/>
  <c r="T12" i="25"/>
  <c r="P15" i="32"/>
  <c r="P16" i="28"/>
  <c r="T16" i="34"/>
  <c r="B38" i="29"/>
  <c r="P21" i="26"/>
  <c r="H25" i="23"/>
  <c r="T33" i="26"/>
  <c r="B21" i="22"/>
  <c r="D34" i="31"/>
  <c r="D13" i="113"/>
  <c r="B25" i="113"/>
  <c r="P16" i="111"/>
  <c r="D4" i="112"/>
  <c r="D22" i="112"/>
  <c r="T25" i="113"/>
  <c r="H21" i="111"/>
  <c r="H20" i="111"/>
  <c r="B16" i="112"/>
  <c r="T22" i="112"/>
  <c r="P25" i="112"/>
  <c r="P24" i="112"/>
  <c r="P15" i="113"/>
  <c r="H13" i="113"/>
  <c r="B21" i="53"/>
  <c r="B21" i="50"/>
  <c r="B38" i="52"/>
  <c r="D15" i="50"/>
  <c r="D24" i="52"/>
  <c r="B16" i="49"/>
  <c r="P33" i="50"/>
  <c r="T29" i="46"/>
  <c r="D20" i="52"/>
  <c r="P34" i="47"/>
  <c r="D15" i="52"/>
  <c r="T24" i="52"/>
  <c r="P33" i="53"/>
  <c r="T24" i="53"/>
  <c r="H13" i="50"/>
  <c r="P20" i="53"/>
  <c r="H21" i="50"/>
  <c r="H34" i="46"/>
  <c r="T34" i="44"/>
  <c r="H33" i="50"/>
  <c r="T33" i="43"/>
  <c r="D33" i="49"/>
  <c r="P34" i="44"/>
  <c r="H16" i="46"/>
  <c r="D5" i="50"/>
  <c r="P16" i="47"/>
  <c r="D5" i="53"/>
  <c r="P16" i="49"/>
  <c r="H34" i="43"/>
  <c r="D12" i="47"/>
  <c r="H24" i="43"/>
  <c r="D13" i="46"/>
  <c r="P20" i="47"/>
  <c r="H13" i="41"/>
  <c r="P22" i="43"/>
  <c r="H24" i="40"/>
  <c r="H20" i="41"/>
  <c r="H22" i="38"/>
  <c r="B22" i="41"/>
  <c r="D29" i="38"/>
  <c r="D20" i="41"/>
  <c r="T33" i="41"/>
  <c r="D22" i="44"/>
  <c r="B38" i="46"/>
  <c r="T24" i="40"/>
  <c r="P22" i="41"/>
  <c r="T34" i="37"/>
  <c r="P34" i="38"/>
  <c r="D25" i="35"/>
  <c r="B22" i="38"/>
  <c r="B13" i="35"/>
  <c r="P13" i="38"/>
  <c r="H20" i="34"/>
  <c r="H16" i="37"/>
  <c r="P25" i="38"/>
  <c r="B16" i="35"/>
  <c r="D13" i="38"/>
  <c r="B16" i="34"/>
  <c r="T24" i="37"/>
  <c r="D4" i="37"/>
  <c r="B16" i="40"/>
  <c r="T16" i="37"/>
  <c r="D15" i="38"/>
  <c r="H16" i="31"/>
  <c r="H33" i="26"/>
  <c r="T24" i="34"/>
  <c r="H15" i="28"/>
  <c r="P13" i="35"/>
  <c r="D16" i="31"/>
  <c r="D34" i="26"/>
  <c r="H13" i="37"/>
  <c r="T24" i="29"/>
  <c r="D22" i="26"/>
  <c r="D20" i="23"/>
  <c r="P33" i="32"/>
  <c r="T24" i="28"/>
  <c r="P24" i="40"/>
  <c r="P33" i="31"/>
  <c r="P25" i="28"/>
  <c r="P22" i="34"/>
  <c r="T15" i="29"/>
  <c r="P20" i="32"/>
  <c r="P13" i="28"/>
  <c r="H29" i="41"/>
  <c r="D5" i="32"/>
  <c r="D12" i="28"/>
  <c r="D34" i="32"/>
  <c r="D34" i="29"/>
  <c r="T15" i="26"/>
  <c r="P15" i="23"/>
  <c r="T25" i="26"/>
  <c r="T16" i="22"/>
  <c r="D34" i="28"/>
  <c r="D4" i="113"/>
  <c r="D24" i="113"/>
  <c r="D12" i="111"/>
  <c r="H34" i="111"/>
  <c r="H20" i="112"/>
  <c r="B16" i="113"/>
  <c r="D13" i="111"/>
  <c r="H16" i="111"/>
  <c r="D15" i="112"/>
  <c r="P12" i="112"/>
  <c r="T21" i="112"/>
  <c r="P22" i="112"/>
  <c r="D6" i="113"/>
  <c r="P20" i="112"/>
  <c r="H34" i="53"/>
  <c r="D20" i="50"/>
  <c r="D34" i="52"/>
  <c r="T12" i="50"/>
  <c r="D22" i="52"/>
  <c r="D15" i="49"/>
  <c r="P29" i="50"/>
  <c r="T25" i="46"/>
  <c r="D16" i="52"/>
  <c r="P33" i="47"/>
  <c r="T12" i="52"/>
  <c r="T22" i="52"/>
  <c r="T22" i="53"/>
  <c r="T15" i="53"/>
  <c r="D4" i="50"/>
  <c r="P16" i="53"/>
  <c r="D13" i="50"/>
  <c r="H33" i="46"/>
  <c r="T33" i="44"/>
  <c r="H25" i="50"/>
  <c r="T29" i="43"/>
  <c r="D25" i="49"/>
  <c r="P33" i="44"/>
  <c r="P24" i="44"/>
  <c r="D12" i="49"/>
  <c r="D34" i="46"/>
  <c r="D24" i="49"/>
  <c r="T34" i="47"/>
  <c r="H33" i="43"/>
  <c r="D29" i="46"/>
  <c r="H22" i="43"/>
  <c r="B22" i="44"/>
  <c r="B21" i="46"/>
  <c r="D4" i="41"/>
  <c r="T20" i="43"/>
  <c r="H22" i="40"/>
  <c r="H16" i="41"/>
  <c r="H13" i="38"/>
  <c r="D21" i="41"/>
  <c r="D25" i="38"/>
  <c r="D16" i="41"/>
  <c r="T29" i="41"/>
  <c r="P15" i="44"/>
  <c r="H24" i="46"/>
  <c r="T22" i="40"/>
  <c r="T20" i="41"/>
  <c r="T33" i="37"/>
  <c r="P29" i="38"/>
  <c r="H21" i="35"/>
  <c r="T20" i="38"/>
  <c r="B38" i="34"/>
  <c r="D5" i="38"/>
  <c r="H16" i="34"/>
  <c r="B21" i="35"/>
  <c r="D24" i="38"/>
  <c r="D15" i="35"/>
  <c r="P33" i="37"/>
  <c r="D15" i="34"/>
  <c r="P22" i="37"/>
  <c r="P24" i="35"/>
  <c r="P33" i="38"/>
  <c r="D13" i="37"/>
  <c r="P33" i="35"/>
  <c r="B13" i="31"/>
  <c r="H29" i="26"/>
  <c r="B21" i="32"/>
  <c r="B39" i="26"/>
  <c r="P24" i="34"/>
  <c r="T34" i="29"/>
  <c r="D33" i="26"/>
  <c r="T15" i="34"/>
  <c r="T22" i="29"/>
  <c r="H20" i="26"/>
  <c r="D16" i="23"/>
  <c r="P29" i="32"/>
  <c r="T22" i="28"/>
  <c r="D21" i="38"/>
  <c r="P29" i="31"/>
  <c r="T21" i="28"/>
  <c r="T13" i="34"/>
  <c r="P13" i="29"/>
  <c r="P16" i="32"/>
  <c r="H12" i="28"/>
  <c r="P20" i="40"/>
  <c r="P20" i="31"/>
  <c r="P34" i="26"/>
  <c r="D33" i="32"/>
  <c r="D33" i="29"/>
  <c r="P13" i="26"/>
  <c r="D5" i="23"/>
  <c r="D15" i="26"/>
  <c r="P15" i="22"/>
  <c r="T20" i="26"/>
  <c r="H34" i="112"/>
  <c r="D22" i="113"/>
  <c r="B22" i="113"/>
  <c r="H33" i="111"/>
  <c r="H16" i="112"/>
  <c r="D15" i="113"/>
  <c r="D4" i="111"/>
  <c r="B13" i="111"/>
  <c r="T12" i="112"/>
  <c r="B21" i="111"/>
  <c r="T34" i="111"/>
  <c r="T20" i="112"/>
  <c r="P21" i="112"/>
  <c r="D5" i="113"/>
  <c r="H33" i="53"/>
  <c r="D16" i="50"/>
  <c r="D33" i="52"/>
  <c r="B21" i="49"/>
  <c r="H20" i="52"/>
  <c r="T12" i="49"/>
  <c r="P25" i="50"/>
  <c r="B16" i="46"/>
  <c r="P24" i="50"/>
  <c r="P29" i="47"/>
  <c r="P21" i="50"/>
  <c r="P12" i="52"/>
  <c r="T21" i="53"/>
  <c r="P13" i="53"/>
  <c r="H34" i="49"/>
  <c r="D12" i="53"/>
  <c r="B39" i="49"/>
  <c r="H29" i="46"/>
  <c r="T29" i="44"/>
  <c r="P20" i="49"/>
  <c r="T25" i="43"/>
  <c r="D13" i="49"/>
  <c r="D5" i="52"/>
  <c r="P22" i="44"/>
  <c r="T29" i="47"/>
  <c r="P21" i="46"/>
  <c r="D33" i="47"/>
  <c r="D15" i="47"/>
  <c r="H29" i="43"/>
  <c r="P24" i="46"/>
  <c r="H13" i="43"/>
  <c r="D21" i="44"/>
  <c r="H33" i="44"/>
  <c r="H34" i="40"/>
  <c r="T16" i="43"/>
  <c r="H13" i="40"/>
  <c r="B13" i="41"/>
  <c r="D4" i="38"/>
  <c r="H15" i="41"/>
  <c r="H21" i="38"/>
  <c r="B22" i="40"/>
  <c r="T25" i="41"/>
  <c r="D29" i="43"/>
  <c r="B13" i="46"/>
  <c r="P12" i="40"/>
  <c r="T16" i="41"/>
  <c r="T29" i="37"/>
  <c r="D22" i="38"/>
  <c r="D13" i="35"/>
  <c r="B16" i="38"/>
  <c r="D34" i="34"/>
  <c r="D25" i="37"/>
  <c r="B13" i="34"/>
  <c r="D20" i="35"/>
  <c r="T21" i="38"/>
  <c r="T12" i="35"/>
  <c r="P21" i="37"/>
  <c r="T12" i="34"/>
  <c r="T13" i="37"/>
  <c r="P22" i="35"/>
  <c r="B25" i="38"/>
  <c r="H34" i="35"/>
  <c r="P25" i="35"/>
  <c r="B22" i="29"/>
  <c r="H25" i="26"/>
  <c r="D20" i="32"/>
  <c r="H24" i="26"/>
  <c r="T20" i="34"/>
  <c r="T33" i="29"/>
  <c r="D29" i="26"/>
  <c r="T24" i="32"/>
  <c r="P12" i="29"/>
  <c r="H16" i="26"/>
  <c r="B22" i="22"/>
  <c r="P25" i="32"/>
  <c r="P12" i="28"/>
  <c r="H22" i="37"/>
  <c r="P25" i="31"/>
  <c r="B21" i="26"/>
  <c r="P21" i="32"/>
  <c r="H12" i="29"/>
  <c r="D12" i="32"/>
  <c r="T24" i="26"/>
  <c r="H33" i="38"/>
  <c r="P16" i="31"/>
  <c r="P33" i="26"/>
  <c r="D29" i="32"/>
  <c r="D29" i="29"/>
  <c r="H12" i="26"/>
  <c r="P20" i="22"/>
  <c r="B21" i="25"/>
  <c r="D13" i="22"/>
  <c r="T13" i="26"/>
  <c r="B13" i="112"/>
  <c r="D29" i="52"/>
  <c r="H33" i="49"/>
  <c r="P24" i="47"/>
  <c r="B25" i="40"/>
  <c r="D33" i="34"/>
  <c r="H25" i="34"/>
  <c r="T21" i="32"/>
  <c r="D25" i="32"/>
  <c r="D22" i="22"/>
  <c r="H33" i="31"/>
  <c r="T22" i="20"/>
  <c r="D13" i="31"/>
  <c r="P29" i="22"/>
  <c r="D5" i="31"/>
  <c r="P24" i="20"/>
  <c r="D24" i="29"/>
  <c r="P21" i="20"/>
  <c r="H13" i="32"/>
  <c r="T22" i="22"/>
  <c r="D22" i="29"/>
  <c r="P21" i="22"/>
  <c r="P22" i="22"/>
  <c r="P15" i="19"/>
  <c r="P34" i="22"/>
  <c r="B39" i="19"/>
  <c r="P34" i="17"/>
  <c r="D24" i="13"/>
  <c r="T13" i="17"/>
  <c r="T20" i="23"/>
  <c r="T13" i="16"/>
  <c r="P29" i="23"/>
  <c r="T24" i="14"/>
  <c r="H33" i="20"/>
  <c r="P34" i="14"/>
  <c r="B13" i="20"/>
  <c r="H25" i="16"/>
  <c r="T21" i="13"/>
  <c r="H24" i="16"/>
  <c r="B13" i="17"/>
  <c r="T15" i="13"/>
  <c r="D22" i="16"/>
  <c r="D12" i="13"/>
  <c r="T12" i="17"/>
  <c r="H24" i="13"/>
  <c r="T13" i="11"/>
  <c r="H20" i="7"/>
  <c r="T21" i="4"/>
  <c r="P24" i="10"/>
  <c r="T15" i="5"/>
  <c r="P20" i="11"/>
  <c r="D15" i="8"/>
  <c r="P12" i="17"/>
  <c r="T24" i="8"/>
  <c r="H29" i="5"/>
  <c r="H22" i="11"/>
  <c r="P25" i="8"/>
  <c r="H29" i="4"/>
  <c r="D25" i="11"/>
  <c r="T13" i="8"/>
  <c r="D13" i="5"/>
  <c r="H20" i="11"/>
  <c r="P13" i="8"/>
  <c r="B13" i="5"/>
  <c r="D22" i="10"/>
  <c r="D21" i="5"/>
  <c r="D20" i="11"/>
  <c r="P16" i="7"/>
  <c r="H25" i="13"/>
  <c r="D34" i="8"/>
  <c r="T22" i="5"/>
  <c r="B16" i="11"/>
  <c r="T33" i="11"/>
  <c r="D25" i="7"/>
  <c r="P12" i="4"/>
  <c r="T29" i="5"/>
  <c r="D16" i="10"/>
  <c r="P25" i="11"/>
  <c r="H20" i="4"/>
  <c r="D16" i="17"/>
  <c r="H22" i="7"/>
  <c r="P29" i="5"/>
  <c r="P20" i="50"/>
  <c r="T20" i="35"/>
  <c r="B21" i="19"/>
  <c r="T21" i="19"/>
  <c r="B13" i="23"/>
  <c r="B22" i="20"/>
  <c r="P22" i="16"/>
  <c r="P20" i="16"/>
  <c r="D22" i="17"/>
  <c r="T25" i="17"/>
  <c r="P33" i="4"/>
  <c r="T15" i="4"/>
  <c r="D4" i="5"/>
  <c r="D22" i="5"/>
  <c r="P15" i="8"/>
  <c r="B38" i="7"/>
  <c r="T22" i="4"/>
  <c r="H29" i="22"/>
  <c r="B38" i="13"/>
  <c r="B21" i="11"/>
  <c r="T12" i="113"/>
  <c r="D20" i="49"/>
  <c r="P21" i="52"/>
  <c r="H12" i="47"/>
  <c r="D22" i="49"/>
  <c r="T20" i="37"/>
  <c r="D21" i="29"/>
  <c r="B22" i="26"/>
  <c r="D25" i="29"/>
  <c r="B13" i="22"/>
  <c r="H33" i="28"/>
  <c r="P12" i="20"/>
  <c r="B25" i="29"/>
  <c r="D24" i="22"/>
  <c r="H24" i="29"/>
  <c r="P22" i="20"/>
  <c r="H21" i="28"/>
  <c r="T15" i="20"/>
  <c r="H29" i="31"/>
  <c r="D16" i="22"/>
  <c r="B13" i="29"/>
  <c r="B16" i="22"/>
  <c r="T13" i="22"/>
  <c r="D5" i="19"/>
  <c r="T25" i="22"/>
  <c r="H24" i="19"/>
  <c r="P33" i="17"/>
  <c r="D22" i="13"/>
  <c r="P34" i="16"/>
  <c r="H22" i="22"/>
  <c r="T34" i="14"/>
  <c r="H33" i="22"/>
  <c r="T22" i="14"/>
  <c r="H25" i="20"/>
  <c r="P33" i="14"/>
  <c r="D33" i="19"/>
  <c r="P15" i="16"/>
  <c r="B25" i="19"/>
  <c r="H22" i="16"/>
  <c r="B38" i="16"/>
  <c r="P13" i="13"/>
  <c r="H20" i="16"/>
  <c r="P12" i="23"/>
  <c r="B21" i="16"/>
  <c r="H22" i="13"/>
  <c r="P34" i="10"/>
  <c r="H16" i="7"/>
  <c r="D29" i="19"/>
  <c r="P22" i="10"/>
  <c r="P13" i="5"/>
  <c r="P16" i="11"/>
  <c r="T12" i="8"/>
  <c r="P22" i="13"/>
  <c r="T22" i="8"/>
  <c r="H25" i="5"/>
  <c r="H13" i="11"/>
  <c r="T21" i="8"/>
  <c r="H25" i="4"/>
  <c r="H21" i="11"/>
  <c r="P34" i="7"/>
  <c r="B39" i="4"/>
  <c r="H16" i="11"/>
  <c r="H12" i="8"/>
  <c r="B38" i="4"/>
  <c r="H20" i="10"/>
  <c r="H15" i="5"/>
  <c r="D16" i="11"/>
  <c r="D12" i="7"/>
  <c r="T24" i="11"/>
  <c r="D33" i="8"/>
  <c r="P12" i="5"/>
  <c r="D4" i="8"/>
  <c r="D15" i="11"/>
  <c r="P33" i="5"/>
  <c r="T13" i="13"/>
  <c r="H21" i="7"/>
  <c r="H24" i="8"/>
  <c r="T22" i="10"/>
  <c r="T25" i="4"/>
  <c r="D15" i="5"/>
  <c r="P25" i="5"/>
  <c r="D24" i="5"/>
  <c r="T12" i="4"/>
  <c r="T20" i="44"/>
  <c r="T34" i="28"/>
  <c r="D34" i="22"/>
  <c r="D25" i="22"/>
  <c r="H15" i="38"/>
  <c r="H33" i="19"/>
  <c r="D21" i="14"/>
  <c r="D20" i="13"/>
  <c r="D20" i="22"/>
  <c r="H21" i="17"/>
  <c r="D5" i="14"/>
  <c r="B25" i="7"/>
  <c r="T29" i="8"/>
  <c r="P34" i="8"/>
  <c r="B25" i="11"/>
  <c r="P13" i="7"/>
  <c r="B22" i="16"/>
  <c r="D15" i="16"/>
  <c r="H29" i="7"/>
  <c r="H21" i="31"/>
  <c r="D22" i="7"/>
  <c r="T15" i="8"/>
  <c r="H33" i="7"/>
  <c r="T24" i="113"/>
  <c r="H16" i="52"/>
  <c r="H24" i="49"/>
  <c r="H25" i="43"/>
  <c r="D21" i="40"/>
  <c r="P33" i="46"/>
  <c r="P15" i="26"/>
  <c r="B39" i="35"/>
  <c r="P24" i="25"/>
  <c r="T34" i="20"/>
  <c r="P20" i="26"/>
  <c r="T34" i="19"/>
  <c r="H16" i="29"/>
  <c r="T12" i="22"/>
  <c r="D5" i="28"/>
  <c r="T20" i="20"/>
  <c r="D12" i="26"/>
  <c r="P13" i="20"/>
  <c r="H22" i="29"/>
  <c r="P20" i="20"/>
  <c r="D29" i="28"/>
  <c r="H12" i="22"/>
  <c r="D5" i="22"/>
  <c r="D20" i="37"/>
  <c r="H20" i="22"/>
  <c r="H22" i="19"/>
  <c r="P29" i="17"/>
  <c r="H20" i="13"/>
  <c r="P33" i="16"/>
  <c r="D34" i="19"/>
  <c r="T33" i="14"/>
  <c r="H21" i="22"/>
  <c r="P12" i="14"/>
  <c r="P20" i="19"/>
  <c r="P29" i="14"/>
  <c r="D25" i="19"/>
  <c r="D5" i="16"/>
  <c r="H20" i="19"/>
  <c r="H13" i="16"/>
  <c r="D34" i="16"/>
  <c r="H12" i="13"/>
  <c r="H16" i="16"/>
  <c r="P25" i="22"/>
  <c r="D20" i="16"/>
  <c r="H13" i="13"/>
  <c r="P33" i="10"/>
  <c r="B13" i="7"/>
  <c r="T22" i="17"/>
  <c r="T20" i="10"/>
  <c r="H12" i="5"/>
  <c r="D12" i="11"/>
  <c r="B21" i="7"/>
  <c r="T16" i="13"/>
  <c r="P12" i="8"/>
  <c r="P15" i="5"/>
  <c r="D4" i="11"/>
  <c r="T24" i="7"/>
  <c r="P15" i="4"/>
  <c r="D13" i="11"/>
  <c r="P33" i="7"/>
  <c r="H24" i="4"/>
  <c r="B13" i="11"/>
  <c r="P24" i="7"/>
  <c r="D22" i="20"/>
  <c r="H16" i="10"/>
  <c r="B25" i="4"/>
  <c r="B22" i="10"/>
  <c r="B21" i="5"/>
  <c r="T22" i="11"/>
  <c r="D29" i="8"/>
  <c r="T34" i="4"/>
  <c r="T34" i="5"/>
  <c r="B21" i="10"/>
  <c r="D20" i="4"/>
  <c r="T24" i="10"/>
  <c r="T20" i="13"/>
  <c r="D5" i="7"/>
  <c r="D22" i="8"/>
  <c r="D13" i="8"/>
  <c r="T12" i="23"/>
  <c r="D13" i="13"/>
  <c r="T15" i="14"/>
  <c r="H16" i="20"/>
  <c r="T24" i="20"/>
  <c r="P16" i="23"/>
  <c r="H15" i="13"/>
  <c r="T21" i="25"/>
  <c r="H29" i="16"/>
  <c r="B39" i="16"/>
  <c r="D15" i="17"/>
  <c r="H12" i="11"/>
  <c r="H33" i="5"/>
  <c r="P29" i="8"/>
  <c r="H21" i="5"/>
  <c r="H16" i="5"/>
  <c r="T24" i="5"/>
  <c r="T24" i="4"/>
  <c r="P34" i="113"/>
  <c r="P29" i="53"/>
  <c r="H25" i="46"/>
  <c r="H21" i="46"/>
  <c r="B16" i="41"/>
  <c r="D16" i="35"/>
  <c r="D16" i="32"/>
  <c r="T21" i="31"/>
  <c r="P16" i="22"/>
  <c r="T33" i="20"/>
  <c r="P13" i="25"/>
  <c r="T33" i="19"/>
  <c r="D33" i="28"/>
  <c r="P34" i="20"/>
  <c r="P24" i="26"/>
  <c r="T16" i="20"/>
  <c r="H12" i="25"/>
  <c r="H12" i="20"/>
  <c r="H13" i="29"/>
  <c r="P16" i="20"/>
  <c r="P22" i="26"/>
  <c r="D4" i="32"/>
  <c r="B39" i="20"/>
  <c r="P21" i="34"/>
  <c r="P13" i="22"/>
  <c r="H13" i="19"/>
  <c r="P25" i="17"/>
  <c r="H16" i="13"/>
  <c r="P29" i="16"/>
  <c r="H21" i="19"/>
  <c r="T29" i="14"/>
  <c r="D21" i="20"/>
  <c r="T34" i="13"/>
  <c r="H34" i="17"/>
  <c r="P25" i="14"/>
  <c r="D13" i="19"/>
  <c r="P24" i="14"/>
  <c r="B13" i="19"/>
  <c r="D4" i="16"/>
  <c r="D33" i="16"/>
  <c r="D25" i="23"/>
  <c r="B13" i="16"/>
  <c r="T15" i="22"/>
  <c r="D16" i="16"/>
  <c r="D4" i="13"/>
  <c r="P29" i="10"/>
  <c r="P24" i="5"/>
  <c r="T29" i="16"/>
  <c r="T16" i="10"/>
  <c r="P24" i="4"/>
  <c r="P21" i="10"/>
  <c r="D20" i="7"/>
  <c r="H34" i="11"/>
  <c r="T34" i="7"/>
  <c r="D5" i="5"/>
  <c r="H34" i="10"/>
  <c r="T22" i="7"/>
  <c r="D5" i="4"/>
  <c r="B39" i="10"/>
  <c r="P29" i="7"/>
  <c r="H22" i="4"/>
  <c r="B38" i="10"/>
  <c r="P22" i="7"/>
  <c r="T34" i="16"/>
  <c r="B13" i="10"/>
  <c r="D24" i="4"/>
  <c r="D21" i="10"/>
  <c r="D20" i="5"/>
  <c r="P12" i="11"/>
  <c r="D25" i="8"/>
  <c r="T33" i="4"/>
  <c r="B16" i="5"/>
  <c r="H25" i="7"/>
  <c r="T12" i="16"/>
  <c r="D24" i="8"/>
  <c r="P29" i="11"/>
  <c r="D29" i="4"/>
  <c r="B13" i="8"/>
  <c r="T33" i="10"/>
  <c r="T12" i="11"/>
  <c r="T15" i="7"/>
  <c r="D13" i="4"/>
  <c r="B25" i="32"/>
  <c r="D24" i="19"/>
  <c r="D24" i="16"/>
  <c r="B22" i="111"/>
  <c r="T21" i="50"/>
  <c r="T25" i="44"/>
  <c r="D4" i="43"/>
  <c r="T24" i="43"/>
  <c r="H20" i="38"/>
  <c r="H22" i="26"/>
  <c r="D20" i="26"/>
  <c r="B39" i="23"/>
  <c r="T29" i="20"/>
  <c r="T34" i="23"/>
  <c r="T29" i="19"/>
  <c r="D13" i="28"/>
  <c r="P33" i="20"/>
  <c r="P34" i="23"/>
  <c r="T13" i="20"/>
  <c r="P24" i="23"/>
  <c r="P24" i="19"/>
  <c r="H29" i="28"/>
  <c r="D12" i="20"/>
  <c r="T16" i="26"/>
  <c r="D4" i="29"/>
  <c r="H24" i="20"/>
  <c r="B38" i="31"/>
  <c r="D4" i="22"/>
  <c r="D4" i="19"/>
  <c r="T21" i="17"/>
  <c r="B13" i="13"/>
  <c r="P25" i="16"/>
  <c r="P21" i="17"/>
  <c r="T25" i="14"/>
  <c r="H15" i="20"/>
  <c r="T33" i="13"/>
  <c r="H33" i="17"/>
  <c r="T21" i="14"/>
  <c r="B39" i="17"/>
  <c r="P22" i="14"/>
  <c r="B38" i="17"/>
  <c r="T15" i="25"/>
  <c r="D29" i="16"/>
  <c r="H15" i="23"/>
  <c r="H34" i="14"/>
  <c r="H29" i="20"/>
  <c r="B38" i="14"/>
  <c r="H20" i="29"/>
  <c r="P25" i="10"/>
  <c r="P22" i="5"/>
  <c r="B39" i="14"/>
  <c r="T13" i="10"/>
  <c r="P22" i="4"/>
  <c r="T15" i="10"/>
  <c r="D16" i="7"/>
  <c r="H33" i="11"/>
  <c r="T33" i="7"/>
  <c r="P20" i="4"/>
  <c r="H33" i="10"/>
  <c r="P12" i="7"/>
  <c r="T25" i="16"/>
  <c r="H24" i="10"/>
  <c r="P25" i="7"/>
  <c r="H13" i="4"/>
  <c r="D34" i="10"/>
  <c r="T20" i="7"/>
  <c r="B16" i="16"/>
  <c r="P20" i="8"/>
  <c r="D22" i="4"/>
  <c r="H15" i="10"/>
  <c r="D16" i="5"/>
  <c r="T34" i="10"/>
  <c r="H21" i="8"/>
  <c r="T29" i="4"/>
  <c r="B21" i="4"/>
  <c r="T33" i="5"/>
  <c r="D33" i="13"/>
  <c r="D16" i="4"/>
  <c r="B25" i="8"/>
  <c r="B25" i="14"/>
  <c r="D29" i="7"/>
  <c r="B22" i="4"/>
  <c r="H16" i="8"/>
  <c r="H21" i="10"/>
  <c r="H34" i="7"/>
  <c r="D22" i="32"/>
  <c r="H29" i="13"/>
  <c r="P25" i="4"/>
  <c r="D20" i="111"/>
  <c r="D15" i="46"/>
  <c r="D25" i="47"/>
  <c r="H15" i="44"/>
  <c r="H34" i="44"/>
  <c r="B21" i="34"/>
  <c r="T34" i="32"/>
  <c r="T15" i="32"/>
  <c r="B21" i="20"/>
  <c r="T25" i="20"/>
  <c r="P33" i="23"/>
  <c r="T25" i="19"/>
  <c r="T12" i="26"/>
  <c r="P29" i="20"/>
  <c r="T25" i="23"/>
  <c r="P34" i="19"/>
  <c r="H21" i="23"/>
  <c r="P22" i="19"/>
  <c r="T29" i="26"/>
  <c r="P21" i="19"/>
  <c r="P29" i="25"/>
  <c r="P16" i="26"/>
  <c r="H22" i="20"/>
  <c r="B38" i="28"/>
  <c r="B38" i="20"/>
  <c r="H20" i="32"/>
  <c r="T24" i="16"/>
  <c r="D25" i="28"/>
  <c r="T21" i="16"/>
  <c r="T15" i="17"/>
  <c r="B16" i="14"/>
  <c r="P20" i="17"/>
  <c r="T29" i="13"/>
  <c r="H29" i="17"/>
  <c r="T24" i="13"/>
  <c r="H24" i="17"/>
  <c r="T20" i="14"/>
  <c r="D34" i="17"/>
  <c r="D5" i="20"/>
  <c r="D25" i="16"/>
  <c r="D24" i="20"/>
  <c r="H33" i="14"/>
  <c r="P16" i="19"/>
  <c r="D34" i="14"/>
  <c r="D21" i="16"/>
  <c r="T21" i="10"/>
  <c r="T20" i="5"/>
  <c r="H24" i="14"/>
  <c r="B21" i="8"/>
  <c r="T20" i="4"/>
  <c r="P13" i="10"/>
  <c r="P20" i="5"/>
  <c r="H29" i="11"/>
  <c r="T29" i="7"/>
  <c r="P16" i="4"/>
  <c r="H29" i="10"/>
  <c r="B39" i="5"/>
  <c r="D22" i="14"/>
  <c r="H22" i="10"/>
  <c r="T21" i="7"/>
  <c r="D4" i="4"/>
  <c r="D33" i="10"/>
  <c r="T16" i="7"/>
  <c r="H34" i="13"/>
  <c r="P16" i="8"/>
  <c r="H34" i="8"/>
  <c r="T21" i="11"/>
  <c r="D29" i="5"/>
  <c r="D21" i="22"/>
  <c r="H25" i="19"/>
  <c r="T16" i="16"/>
  <c r="H20" i="20"/>
  <c r="P21" i="13"/>
  <c r="B39" i="13"/>
  <c r="D12" i="10"/>
  <c r="H33" i="4"/>
  <c r="D22" i="11"/>
  <c r="P20" i="7"/>
  <c r="B13" i="14"/>
  <c r="T33" i="111"/>
  <c r="P22" i="50"/>
  <c r="B16" i="43"/>
  <c r="D21" i="43"/>
  <c r="B22" i="50"/>
  <c r="D16" i="37"/>
  <c r="T29" i="29"/>
  <c r="P24" i="28"/>
  <c r="P33" i="25"/>
  <c r="B16" i="20"/>
  <c r="P21" i="23"/>
  <c r="B16" i="19"/>
  <c r="D20" i="25"/>
  <c r="P25" i="20"/>
  <c r="H20" i="23"/>
  <c r="P33" i="19"/>
  <c r="B39" i="22"/>
  <c r="T20" i="19"/>
  <c r="P25" i="23"/>
  <c r="T15" i="19"/>
  <c r="D33" i="23"/>
  <c r="T29" i="23"/>
  <c r="H13" i="20"/>
  <c r="T34" i="26"/>
  <c r="D34" i="20"/>
  <c r="H25" i="28"/>
  <c r="T22" i="16"/>
  <c r="H34" i="20"/>
  <c r="B21" i="14"/>
  <c r="P13" i="17"/>
  <c r="D15" i="14"/>
  <c r="P16" i="17"/>
  <c r="T25" i="13"/>
  <c r="H25" i="17"/>
  <c r="T22" i="13"/>
  <c r="H22" i="17"/>
  <c r="T16" i="14"/>
  <c r="D33" i="17"/>
  <c r="D12" i="19"/>
  <c r="H21" i="16"/>
  <c r="B38" i="19"/>
  <c r="H29" i="14"/>
  <c r="T34" i="17"/>
  <c r="D33" i="14"/>
  <c r="H12" i="14"/>
  <c r="B22" i="8"/>
  <c r="T16" i="5"/>
  <c r="D4" i="14"/>
  <c r="D20" i="8"/>
  <c r="T16" i="4"/>
  <c r="H12" i="10"/>
  <c r="P16" i="5"/>
  <c r="H25" i="11"/>
  <c r="T25" i="7"/>
  <c r="D12" i="4"/>
  <c r="H25" i="10"/>
  <c r="H24" i="5"/>
  <c r="H16" i="14"/>
  <c r="H13" i="10"/>
  <c r="B38" i="5"/>
  <c r="D20" i="17"/>
  <c r="D29" i="10"/>
  <c r="T13" i="7"/>
  <c r="P15" i="13"/>
  <c r="D12" i="8"/>
  <c r="H16" i="4"/>
  <c r="H33" i="8"/>
  <c r="D21" i="4"/>
  <c r="T29" i="10"/>
  <c r="B39" i="7"/>
  <c r="B16" i="4"/>
  <c r="P13" i="14"/>
  <c r="D33" i="4"/>
  <c r="D20" i="10"/>
  <c r="D34" i="7"/>
  <c r="D33" i="7"/>
  <c r="T25" i="11"/>
  <c r="D34" i="4"/>
  <c r="D5" i="10"/>
  <c r="H15" i="16"/>
  <c r="P12" i="10"/>
  <c r="H20" i="113"/>
  <c r="D4" i="40"/>
  <c r="B21" i="37"/>
  <c r="T22" i="19"/>
  <c r="H13" i="23"/>
  <c r="D34" i="23"/>
  <c r="P22" i="17"/>
  <c r="T15" i="16"/>
  <c r="H34" i="16"/>
  <c r="P16" i="14"/>
  <c r="H21" i="14"/>
  <c r="T15" i="11"/>
  <c r="P20" i="10"/>
  <c r="P22" i="8"/>
  <c r="H15" i="11"/>
  <c r="H13" i="7"/>
  <c r="P15" i="7"/>
  <c r="D29" i="31"/>
  <c r="B16" i="8"/>
  <c r="H33" i="13"/>
  <c r="T16" i="112"/>
  <c r="P25" i="47"/>
  <c r="T33" i="47"/>
  <c r="H33" i="40"/>
  <c r="T13" i="41"/>
  <c r="H12" i="41"/>
  <c r="D25" i="26"/>
  <c r="P21" i="31"/>
  <c r="P25" i="25"/>
  <c r="D15" i="20"/>
  <c r="B16" i="23"/>
  <c r="D15" i="19"/>
  <c r="D29" i="23"/>
  <c r="T21" i="20"/>
  <c r="P13" i="23"/>
  <c r="P29" i="19"/>
  <c r="T33" i="22"/>
  <c r="T16" i="19"/>
  <c r="H22" i="23"/>
  <c r="P13" i="19"/>
  <c r="D21" i="23"/>
  <c r="H24" i="23"/>
  <c r="D4" i="20"/>
  <c r="B16" i="26"/>
  <c r="D33" i="20"/>
  <c r="P34" i="25"/>
  <c r="P12" i="16"/>
  <c r="P15" i="20"/>
  <c r="D20" i="14"/>
  <c r="H12" i="17"/>
  <c r="T12" i="14"/>
  <c r="D12" i="17"/>
  <c r="B16" i="13"/>
  <c r="P15" i="17"/>
  <c r="P12" i="13"/>
  <c r="H13" i="17"/>
  <c r="T13" i="14"/>
  <c r="D29" i="17"/>
  <c r="B25" i="17"/>
  <c r="D13" i="16"/>
  <c r="B22" i="17"/>
  <c r="H25" i="14"/>
  <c r="T33" i="17"/>
  <c r="D29" i="14"/>
  <c r="P24" i="13"/>
  <c r="D21" i="8"/>
  <c r="T13" i="5"/>
  <c r="D5" i="13"/>
  <c r="D16" i="8"/>
  <c r="T13" i="4"/>
  <c r="T34" i="8"/>
  <c r="D12" i="5"/>
  <c r="P15" i="11"/>
  <c r="B16" i="7"/>
  <c r="B21" i="17"/>
  <c r="P15" i="10"/>
  <c r="H22" i="5"/>
  <c r="D29" i="13"/>
  <c r="D4" i="10"/>
  <c r="D34" i="5"/>
  <c r="P21" i="14"/>
  <c r="D25" i="10"/>
  <c r="B25" i="5"/>
  <c r="B22" i="11"/>
  <c r="P21" i="7"/>
  <c r="B13" i="4"/>
  <c r="H29" i="8"/>
  <c r="H15" i="4"/>
  <c r="T25" i="10"/>
  <c r="H24" i="7"/>
  <c r="D15" i="4"/>
  <c r="P34" i="11"/>
  <c r="D25" i="4"/>
  <c r="B39" i="8"/>
  <c r="T21" i="5"/>
  <c r="D13" i="7"/>
  <c r="H22" i="8"/>
  <c r="H21" i="4"/>
  <c r="B38" i="11"/>
  <c r="D21" i="11"/>
  <c r="B16" i="10"/>
  <c r="H13" i="8"/>
  <c r="P24" i="111"/>
  <c r="D16" i="38"/>
  <c r="P20" i="23"/>
  <c r="P22" i="23"/>
  <c r="T21" i="22"/>
  <c r="D13" i="23"/>
  <c r="D25" i="20"/>
  <c r="B22" i="13"/>
  <c r="T12" i="13"/>
  <c r="P33" i="13"/>
  <c r="H15" i="17"/>
  <c r="P22" i="11"/>
  <c r="D21" i="7"/>
  <c r="T12" i="7"/>
  <c r="D34" i="11"/>
  <c r="D13" i="10"/>
  <c r="D34" i="13"/>
  <c r="D15" i="10"/>
  <c r="D24" i="23"/>
  <c r="D25" i="13"/>
  <c r="H22" i="32"/>
  <c r="P21" i="5"/>
  <c r="B22" i="5"/>
  <c r="T33" i="16"/>
  <c r="H33" i="112"/>
  <c r="T15" i="112"/>
  <c r="T15" i="50"/>
  <c r="B25" i="49"/>
  <c r="T13" i="43"/>
  <c r="T25" i="37"/>
  <c r="D12" i="37"/>
  <c r="T22" i="32"/>
  <c r="T22" i="26"/>
  <c r="T22" i="23"/>
  <c r="T12" i="20"/>
  <c r="H12" i="23"/>
  <c r="T12" i="19"/>
  <c r="T24" i="23"/>
  <c r="T24" i="19"/>
  <c r="D4" i="23"/>
  <c r="P25" i="19"/>
  <c r="B25" i="22"/>
  <c r="T13" i="19"/>
  <c r="T15" i="23"/>
  <c r="H12" i="19"/>
  <c r="T16" i="23"/>
  <c r="D22" i="23"/>
  <c r="H34" i="19"/>
  <c r="D16" i="25"/>
  <c r="D29" i="20"/>
  <c r="H13" i="22"/>
  <c r="B22" i="14"/>
  <c r="P24" i="17"/>
  <c r="D16" i="14"/>
  <c r="P24" i="16"/>
  <c r="B21" i="13"/>
  <c r="P21" i="16"/>
  <c r="D15" i="13"/>
  <c r="D5" i="17"/>
  <c r="P21" i="25"/>
  <c r="D4" i="17"/>
  <c r="P34" i="13"/>
  <c r="D25" i="17"/>
  <c r="D24" i="17"/>
  <c r="P20" i="14"/>
  <c r="D21" i="17"/>
  <c r="P15" i="14"/>
  <c r="T29" i="17"/>
  <c r="D25" i="14"/>
  <c r="P24" i="11"/>
  <c r="H15" i="8"/>
  <c r="P34" i="4"/>
  <c r="P21" i="11"/>
  <c r="B22" i="7"/>
  <c r="P24" i="22"/>
  <c r="T33" i="8"/>
  <c r="P21" i="4"/>
  <c r="D5" i="11"/>
  <c r="D15" i="7"/>
  <c r="H22" i="14"/>
  <c r="H13" i="5"/>
  <c r="P24" i="8"/>
  <c r="D33" i="5"/>
  <c r="H25" i="8"/>
  <c r="D29" i="11"/>
  <c r="B38" i="8"/>
  <c r="H20" i="8"/>
  <c r="D21" i="113"/>
  <c r="H29" i="53"/>
  <c r="T20" i="53"/>
  <c r="H21" i="47"/>
  <c r="B38" i="40"/>
  <c r="B39" i="34"/>
  <c r="P24" i="37"/>
  <c r="B13" i="26"/>
  <c r="D12" i="31"/>
  <c r="T29" i="22"/>
  <c r="D20" i="19"/>
  <c r="H25" i="22"/>
  <c r="H16" i="32"/>
  <c r="T13" i="23"/>
  <c r="P12" i="19"/>
  <c r="T20" i="22"/>
  <c r="D24" i="32"/>
  <c r="H16" i="22"/>
  <c r="P34" i="35"/>
  <c r="B38" i="22"/>
  <c r="B13" i="32"/>
  <c r="T34" i="22"/>
  <c r="D29" i="22"/>
  <c r="H29" i="19"/>
  <c r="B22" i="23"/>
  <c r="H21" i="20"/>
  <c r="D22" i="19"/>
  <c r="H15" i="14"/>
  <c r="T20" i="17"/>
  <c r="D21" i="13"/>
  <c r="T20" i="16"/>
  <c r="D16" i="13"/>
  <c r="P13" i="16"/>
  <c r="D25" i="31"/>
  <c r="P16" i="16"/>
  <c r="B25" i="20"/>
  <c r="H33" i="16"/>
  <c r="P29" i="13"/>
  <c r="D13" i="17"/>
  <c r="H20" i="17"/>
  <c r="D12" i="14"/>
  <c r="B25" i="16"/>
  <c r="P20" i="13"/>
  <c r="B16" i="17"/>
  <c r="D13" i="14"/>
  <c r="T20" i="11"/>
  <c r="D24" i="7"/>
  <c r="P29" i="4"/>
  <c r="P13" i="11"/>
  <c r="H15" i="7"/>
  <c r="D24" i="14"/>
  <c r="T25" i="8"/>
  <c r="P13" i="4"/>
  <c r="P16" i="10"/>
  <c r="H34" i="5"/>
  <c r="B39" i="11"/>
  <c r="P33" i="8"/>
  <c r="H34" i="4"/>
  <c r="D33" i="11"/>
  <c r="T20" i="8"/>
  <c r="D25" i="5"/>
  <c r="D24" i="11"/>
  <c r="P21" i="8"/>
  <c r="H20" i="5"/>
  <c r="B25" i="10"/>
  <c r="H12" i="7"/>
  <c r="H21" i="13"/>
  <c r="D5" i="8"/>
  <c r="H13" i="14"/>
  <c r="T12" i="10"/>
  <c r="D4" i="7"/>
  <c r="H20" i="14"/>
  <c r="P34" i="5"/>
  <c r="P33" i="11"/>
  <c r="T12" i="5"/>
  <c r="T29" i="11"/>
  <c r="T21" i="35"/>
  <c r="T25" i="5"/>
  <c r="H29" i="111"/>
  <c r="B22" i="49"/>
  <c r="H12" i="53"/>
  <c r="D16" i="46"/>
  <c r="H34" i="37"/>
  <c r="T13" i="38"/>
  <c r="H33" i="35"/>
  <c r="P29" i="26"/>
  <c r="H24" i="22"/>
  <c r="D16" i="19"/>
  <c r="D33" i="31"/>
  <c r="D12" i="23"/>
  <c r="H24" i="32"/>
  <c r="P12" i="22"/>
  <c r="D15" i="22"/>
  <c r="P33" i="22"/>
  <c r="T24" i="22"/>
  <c r="D13" i="20"/>
  <c r="H16" i="19"/>
  <c r="B25" i="13"/>
  <c r="T16" i="17"/>
  <c r="H25" i="31"/>
  <c r="H12" i="16"/>
  <c r="D12" i="16"/>
  <c r="P25" i="13"/>
  <c r="H16" i="17"/>
  <c r="P16" i="13"/>
  <c r="T16" i="11"/>
  <c r="H12" i="4"/>
  <c r="H24" i="11"/>
  <c r="T16" i="8"/>
  <c r="D24" i="10"/>
  <c r="T34" i="11"/>
  <c r="T24" i="17"/>
  <c r="N25" i="108" l="1"/>
  <c r="L25" i="108"/>
  <c r="Z33" i="76"/>
  <c r="T118" i="21"/>
  <c r="V118" i="21" s="1"/>
  <c r="Z71" i="30"/>
  <c r="T140" i="36"/>
  <c r="V140" i="36" s="1"/>
  <c r="N19" i="59"/>
  <c r="V24" i="70"/>
  <c r="Z29" i="79"/>
  <c r="R22" i="86"/>
  <c r="H87" i="89"/>
  <c r="V29" i="79"/>
  <c r="N25" i="94"/>
  <c r="X25" i="106"/>
  <c r="X18" i="109"/>
  <c r="Z18" i="109" s="1"/>
  <c r="N32" i="21"/>
  <c r="N42" i="33"/>
  <c r="L39" i="39"/>
  <c r="N39" i="39" s="1"/>
  <c r="J25" i="94"/>
  <c r="Z25" i="106"/>
  <c r="L19" i="110"/>
  <c r="J32" i="21"/>
  <c r="X18" i="60"/>
  <c r="Z18" i="60" s="1"/>
  <c r="V25" i="106"/>
  <c r="X33" i="36"/>
  <c r="Z33" i="36" s="1"/>
  <c r="X39" i="39"/>
  <c r="T102" i="45"/>
  <c r="T106" i="45" s="1"/>
  <c r="T109" i="45" s="1"/>
  <c r="X18" i="55"/>
  <c r="Z18" i="55" s="1"/>
  <c r="J169" i="12"/>
  <c r="N164" i="15"/>
  <c r="L18" i="61"/>
  <c r="N18" i="61" s="1"/>
  <c r="Z24" i="80"/>
  <c r="Z24" i="84"/>
  <c r="X19" i="110"/>
  <c r="Z19" i="110" s="1"/>
  <c r="N56" i="74"/>
  <c r="T74" i="79"/>
  <c r="V74" i="79" s="1"/>
  <c r="V24" i="80"/>
  <c r="L22" i="86"/>
  <c r="N22" i="86" s="1"/>
  <c r="L18" i="103"/>
  <c r="N18" i="103" s="1"/>
  <c r="Z25" i="89"/>
  <c r="Z18" i="92"/>
  <c r="Z201" i="3"/>
  <c r="P76" i="58"/>
  <c r="J24" i="70"/>
  <c r="V25" i="89"/>
  <c r="H93" i="106"/>
  <c r="L19" i="9"/>
  <c r="N19" i="9" s="1"/>
  <c r="X58" i="51"/>
  <c r="Z58" i="51" s="1"/>
  <c r="X18" i="56"/>
  <c r="Z18" i="56" s="1"/>
  <c r="L18" i="58"/>
  <c r="N18" i="58" s="1"/>
  <c r="L18" i="109"/>
  <c r="N18" i="109" s="1"/>
  <c r="N21" i="4"/>
  <c r="L34" i="4"/>
  <c r="X25" i="5"/>
  <c r="L29" i="7"/>
  <c r="L22" i="8"/>
  <c r="Z22" i="10"/>
  <c r="X25" i="11"/>
  <c r="Z33" i="16"/>
  <c r="Z25" i="5"/>
  <c r="N29" i="7"/>
  <c r="N13" i="8"/>
  <c r="N22" i="8"/>
  <c r="Z25" i="11"/>
  <c r="L13" i="13"/>
  <c r="L29" i="4"/>
  <c r="N24" i="8"/>
  <c r="L16" i="10"/>
  <c r="Z24" i="17"/>
  <c r="Z21" i="35"/>
  <c r="Z22" i="4"/>
  <c r="X29" i="5"/>
  <c r="L13" i="7"/>
  <c r="L33" i="7"/>
  <c r="N16" i="8"/>
  <c r="X29" i="11"/>
  <c r="Z20" i="13"/>
  <c r="N21" i="7"/>
  <c r="Z29" i="5"/>
  <c r="N33" i="7"/>
  <c r="Z29" i="11"/>
  <c r="L25" i="13"/>
  <c r="N16" i="20"/>
  <c r="Z21" i="5"/>
  <c r="L34" i="7"/>
  <c r="Z21" i="11"/>
  <c r="L16" i="4"/>
  <c r="L24" i="8"/>
  <c r="Z24" i="10"/>
  <c r="Z13" i="13"/>
  <c r="R24" i="4"/>
  <c r="R22" i="4"/>
  <c r="R21" i="4"/>
  <c r="R20" i="4"/>
  <c r="R18" i="4"/>
  <c r="R16" i="4"/>
  <c r="P18" i="4"/>
  <c r="R15" i="4"/>
  <c r="R33" i="4"/>
  <c r="R25" i="4"/>
  <c r="X12" i="4"/>
  <c r="R31" i="4"/>
  <c r="R36" i="4"/>
  <c r="R29" i="4"/>
  <c r="R34" i="4"/>
  <c r="R27" i="4"/>
  <c r="Z24" i="4"/>
  <c r="T18" i="5"/>
  <c r="V15" i="5"/>
  <c r="Z12" i="5"/>
  <c r="V36" i="5"/>
  <c r="V34" i="5"/>
  <c r="V33" i="5"/>
  <c r="V31" i="5"/>
  <c r="V29" i="5"/>
  <c r="V27" i="5"/>
  <c r="V25" i="5"/>
  <c r="V21" i="5"/>
  <c r="V24" i="5"/>
  <c r="V22" i="5"/>
  <c r="V18" i="5"/>
  <c r="V20" i="5"/>
  <c r="V16" i="5"/>
  <c r="X15" i="7"/>
  <c r="N34" i="7"/>
  <c r="L20" i="10"/>
  <c r="T18" i="11"/>
  <c r="V15" i="11"/>
  <c r="Z12" i="11"/>
  <c r="V36" i="11"/>
  <c r="V34" i="11"/>
  <c r="V33" i="11"/>
  <c r="V31" i="11"/>
  <c r="V29" i="11"/>
  <c r="V27" i="11"/>
  <c r="V25" i="11"/>
  <c r="V21" i="11"/>
  <c r="V24" i="11"/>
  <c r="V22" i="11"/>
  <c r="V20" i="11"/>
  <c r="V18" i="11"/>
  <c r="V16" i="11"/>
  <c r="L33" i="13"/>
  <c r="V21" i="16"/>
  <c r="V20" i="16"/>
  <c r="V18" i="16"/>
  <c r="V16" i="16"/>
  <c r="T18" i="16"/>
  <c r="V15" i="16"/>
  <c r="V36" i="16"/>
  <c r="V34" i="16"/>
  <c r="V33" i="16"/>
  <c r="V31" i="16"/>
  <c r="V29" i="16"/>
  <c r="V27" i="16"/>
  <c r="V25" i="16"/>
  <c r="V24" i="16"/>
  <c r="Z12" i="16"/>
  <c r="V22" i="16"/>
  <c r="L20" i="4"/>
  <c r="X33" i="5"/>
  <c r="L25" i="7"/>
  <c r="N20" i="8"/>
  <c r="X33" i="11"/>
  <c r="L15" i="16"/>
  <c r="L13" i="4"/>
  <c r="L25" i="4"/>
  <c r="L33" i="4"/>
  <c r="L15" i="5"/>
  <c r="Z33" i="5"/>
  <c r="N25" i="7"/>
  <c r="L15" i="11"/>
  <c r="Z33" i="11"/>
  <c r="X34" i="5"/>
  <c r="R24" i="10"/>
  <c r="R22" i="10"/>
  <c r="R21" i="10"/>
  <c r="R20" i="10"/>
  <c r="R18" i="10"/>
  <c r="R16" i="10"/>
  <c r="P18" i="10"/>
  <c r="R15" i="10"/>
  <c r="X12" i="10"/>
  <c r="R31" i="10"/>
  <c r="R29" i="10"/>
  <c r="R27" i="10"/>
  <c r="R36" i="10"/>
  <c r="R25" i="10"/>
  <c r="R34" i="10"/>
  <c r="R33" i="10"/>
  <c r="X34" i="11"/>
  <c r="X13" i="14"/>
  <c r="V36" i="23"/>
  <c r="V34" i="23"/>
  <c r="V33" i="23"/>
  <c r="V31" i="23"/>
  <c r="V29" i="23"/>
  <c r="V27" i="23"/>
  <c r="V25" i="23"/>
  <c r="V22" i="23"/>
  <c r="V24" i="23"/>
  <c r="V15" i="23"/>
  <c r="V16" i="23"/>
  <c r="V18" i="23"/>
  <c r="T18" i="23"/>
  <c r="Z12" i="23"/>
  <c r="V21" i="23"/>
  <c r="V20" i="23"/>
  <c r="Z34" i="5"/>
  <c r="Z34" i="11"/>
  <c r="N20" i="14"/>
  <c r="L24" i="23"/>
  <c r="V20" i="4"/>
  <c r="V18" i="4"/>
  <c r="V16" i="4"/>
  <c r="T18" i="4"/>
  <c r="V15" i="4"/>
  <c r="Z12" i="4"/>
  <c r="V24" i="4"/>
  <c r="V22" i="4"/>
  <c r="V33" i="4"/>
  <c r="V25" i="4"/>
  <c r="V31" i="4"/>
  <c r="V36" i="4"/>
  <c r="V29" i="4"/>
  <c r="V34" i="4"/>
  <c r="V27" i="4"/>
  <c r="V21" i="4"/>
  <c r="L15" i="4"/>
  <c r="Z25" i="4"/>
  <c r="Z29" i="4"/>
  <c r="Z33" i="4"/>
  <c r="Z34" i="4"/>
  <c r="R21" i="5"/>
  <c r="R20" i="5"/>
  <c r="R18" i="5"/>
  <c r="R16" i="5"/>
  <c r="P18" i="5"/>
  <c r="R15" i="5"/>
  <c r="X12" i="5"/>
  <c r="R36" i="5"/>
  <c r="R34" i="5"/>
  <c r="R33" i="5"/>
  <c r="R31" i="5"/>
  <c r="R29" i="5"/>
  <c r="R27" i="5"/>
  <c r="R25" i="5"/>
  <c r="R24" i="5"/>
  <c r="R22" i="5"/>
  <c r="Z22" i="5"/>
  <c r="Z24" i="5"/>
  <c r="N13" i="7"/>
  <c r="N22" i="7"/>
  <c r="N24" i="7"/>
  <c r="L13" i="8"/>
  <c r="N21" i="8"/>
  <c r="L25" i="8"/>
  <c r="L29" i="8"/>
  <c r="L33" i="8"/>
  <c r="L34" i="8"/>
  <c r="V20" i="10"/>
  <c r="V18" i="10"/>
  <c r="V16" i="10"/>
  <c r="T18" i="10"/>
  <c r="V15" i="10"/>
  <c r="Z12" i="10"/>
  <c r="V24" i="10"/>
  <c r="V22" i="10"/>
  <c r="V31" i="10"/>
  <c r="V21" i="10"/>
  <c r="V29" i="10"/>
  <c r="V27" i="10"/>
  <c r="V36" i="10"/>
  <c r="V25" i="10"/>
  <c r="V34" i="10"/>
  <c r="V33" i="10"/>
  <c r="L15" i="10"/>
  <c r="Z25" i="10"/>
  <c r="Z29" i="10"/>
  <c r="Z33" i="10"/>
  <c r="Z34" i="10"/>
  <c r="R21" i="11"/>
  <c r="R20" i="11"/>
  <c r="R18" i="11"/>
  <c r="R16" i="11"/>
  <c r="P18" i="11"/>
  <c r="R15" i="11"/>
  <c r="X12" i="11"/>
  <c r="R36" i="11"/>
  <c r="R34" i="11"/>
  <c r="R33" i="11"/>
  <c r="R31" i="11"/>
  <c r="R29" i="11"/>
  <c r="R27" i="11"/>
  <c r="R25" i="11"/>
  <c r="R24" i="11"/>
  <c r="R22" i="11"/>
  <c r="Z22" i="11"/>
  <c r="Z24" i="11"/>
  <c r="N25" i="13"/>
  <c r="N33" i="13"/>
  <c r="N13" i="14"/>
  <c r="L16" i="17"/>
  <c r="N15" i="4"/>
  <c r="L21" i="4"/>
  <c r="L16" i="5"/>
  <c r="L20" i="5"/>
  <c r="F21" i="7"/>
  <c r="F20" i="7"/>
  <c r="F18" i="7"/>
  <c r="F16" i="7"/>
  <c r="D18" i="7"/>
  <c r="F15" i="7"/>
  <c r="L12" i="7"/>
  <c r="F36" i="7"/>
  <c r="F34" i="7"/>
  <c r="F33" i="7"/>
  <c r="F31" i="7"/>
  <c r="F29" i="7"/>
  <c r="F27" i="7"/>
  <c r="F25" i="7"/>
  <c r="F24" i="7"/>
  <c r="F22" i="7"/>
  <c r="X16" i="7"/>
  <c r="X20" i="7"/>
  <c r="X15" i="8"/>
  <c r="N25" i="8"/>
  <c r="N29" i="8"/>
  <c r="N33" i="8"/>
  <c r="N34" i="8"/>
  <c r="N15" i="10"/>
  <c r="L21" i="10"/>
  <c r="L16" i="11"/>
  <c r="L20" i="11"/>
  <c r="N21" i="13"/>
  <c r="L34" i="13"/>
  <c r="N15" i="16"/>
  <c r="N16" i="4"/>
  <c r="N20" i="4"/>
  <c r="L22" i="4"/>
  <c r="L24" i="4"/>
  <c r="N15" i="5"/>
  <c r="L21" i="5"/>
  <c r="H18" i="7"/>
  <c r="J15" i="7"/>
  <c r="N12" i="7"/>
  <c r="J36" i="7"/>
  <c r="J34" i="7"/>
  <c r="J33" i="7"/>
  <c r="J31" i="7"/>
  <c r="J29" i="7"/>
  <c r="J27" i="7"/>
  <c r="J25" i="7"/>
  <c r="J21" i="7"/>
  <c r="J18" i="7"/>
  <c r="J16" i="7"/>
  <c r="J24" i="7"/>
  <c r="J22" i="7"/>
  <c r="J20" i="7"/>
  <c r="X13" i="7"/>
  <c r="Z15" i="7"/>
  <c r="X21" i="7"/>
  <c r="F20" i="8"/>
  <c r="F18" i="8"/>
  <c r="F16" i="8"/>
  <c r="D18" i="8"/>
  <c r="F15" i="8"/>
  <c r="L12" i="8"/>
  <c r="F24" i="8"/>
  <c r="F22" i="8"/>
  <c r="F31" i="8"/>
  <c r="F21" i="8"/>
  <c r="F29" i="8"/>
  <c r="F27" i="8"/>
  <c r="F36" i="8"/>
  <c r="F25" i="8"/>
  <c r="F34" i="8"/>
  <c r="F33" i="8"/>
  <c r="X16" i="8"/>
  <c r="X20" i="8"/>
  <c r="N16" i="10"/>
  <c r="N20" i="10"/>
  <c r="L22" i="10"/>
  <c r="L24" i="10"/>
  <c r="N15" i="11"/>
  <c r="L21" i="11"/>
  <c r="X15" i="13"/>
  <c r="N34" i="13"/>
  <c r="Z34" i="16"/>
  <c r="L22" i="20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4" i="8"/>
  <c r="J22" i="8"/>
  <c r="J20" i="8"/>
  <c r="J18" i="8"/>
  <c r="J16" i="8"/>
  <c r="J21" i="8"/>
  <c r="H18" i="8"/>
  <c r="J15" i="8"/>
  <c r="X13" i="8"/>
  <c r="Z15" i="8"/>
  <c r="X21" i="8"/>
  <c r="L13" i="10"/>
  <c r="N21" i="10"/>
  <c r="L25" i="10"/>
  <c r="L29" i="10"/>
  <c r="L33" i="10"/>
  <c r="L34" i="10"/>
  <c r="N16" i="11"/>
  <c r="N20" i="11"/>
  <c r="L22" i="11"/>
  <c r="L24" i="11"/>
  <c r="Z15" i="14"/>
  <c r="X21" i="14"/>
  <c r="L20" i="17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N13" i="10"/>
  <c r="N22" i="10"/>
  <c r="N24" i="10"/>
  <c r="L13" i="11"/>
  <c r="N21" i="11"/>
  <c r="L25" i="11"/>
  <c r="L29" i="11"/>
  <c r="L33" i="11"/>
  <c r="L34" i="11"/>
  <c r="L29" i="13"/>
  <c r="N16" i="14"/>
  <c r="L22" i="14"/>
  <c r="Z25" i="16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X15" i="10"/>
  <c r="N25" i="10"/>
  <c r="N29" i="10"/>
  <c r="N33" i="10"/>
  <c r="N34" i="10"/>
  <c r="N13" i="11"/>
  <c r="N22" i="11"/>
  <c r="N24" i="11"/>
  <c r="N29" i="13"/>
  <c r="N22" i="14"/>
  <c r="L12" i="4"/>
  <c r="F36" i="4"/>
  <c r="F34" i="4"/>
  <c r="F33" i="4"/>
  <c r="F31" i="4"/>
  <c r="F29" i="4"/>
  <c r="F27" i="4"/>
  <c r="F25" i="4"/>
  <c r="F21" i="4"/>
  <c r="F20" i="4"/>
  <c r="F18" i="4"/>
  <c r="F16" i="4"/>
  <c r="F15" i="4"/>
  <c r="F24" i="4"/>
  <c r="D18" i="4"/>
  <c r="F22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L12" i="10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X16" i="10"/>
  <c r="X20" i="10"/>
  <c r="X15" i="11"/>
  <c r="N25" i="11"/>
  <c r="N29" i="11"/>
  <c r="N33" i="11"/>
  <c r="N34" i="11"/>
  <c r="Z16" i="13"/>
  <c r="X22" i="13"/>
  <c r="R24" i="17"/>
  <c r="R22" i="17"/>
  <c r="R21" i="17"/>
  <c r="R20" i="17"/>
  <c r="R18" i="17"/>
  <c r="R16" i="17"/>
  <c r="P18" i="17"/>
  <c r="R15" i="17"/>
  <c r="R33" i="17"/>
  <c r="X12" i="17"/>
  <c r="R31" i="17"/>
  <c r="R29" i="17"/>
  <c r="R27" i="17"/>
  <c r="R36" i="17"/>
  <c r="R34" i="17"/>
  <c r="R25" i="17"/>
  <c r="N12" i="4"/>
  <c r="J36" i="4"/>
  <c r="J34" i="4"/>
  <c r="J33" i="4"/>
  <c r="J31" i="4"/>
  <c r="J29" i="4"/>
  <c r="J27" i="4"/>
  <c r="J25" i="4"/>
  <c r="J24" i="4"/>
  <c r="J22" i="4"/>
  <c r="J21" i="4"/>
  <c r="H18" i="4"/>
  <c r="J15" i="4"/>
  <c r="J20" i="4"/>
  <c r="J18" i="4"/>
  <c r="J16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X13" i="10"/>
  <c r="Z15" i="10"/>
  <c r="X21" i="10"/>
  <c r="L12" i="11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X16" i="11"/>
  <c r="X20" i="11"/>
  <c r="L24" i="14"/>
  <c r="L24" i="19"/>
  <c r="X24" i="22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N12" i="5"/>
  <c r="X13" i="5"/>
  <c r="Z15" i="5"/>
  <c r="X21" i="5"/>
  <c r="N15" i="7"/>
  <c r="L21" i="7"/>
  <c r="L16" i="8"/>
  <c r="L20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X13" i="11"/>
  <c r="Z15" i="11"/>
  <c r="X21" i="11"/>
  <c r="N24" i="14"/>
  <c r="Z29" i="16"/>
  <c r="Z22" i="17"/>
  <c r="L29" i="19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Z21" i="10"/>
  <c r="X25" i="10"/>
  <c r="X29" i="10"/>
  <c r="X33" i="10"/>
  <c r="X34" i="10"/>
  <c r="Z13" i="11"/>
  <c r="Z16" i="11"/>
  <c r="Z20" i="11"/>
  <c r="X22" i="11"/>
  <c r="X24" i="11"/>
  <c r="X24" i="13"/>
  <c r="N12" i="14"/>
  <c r="J36" i="14"/>
  <c r="J34" i="14"/>
  <c r="J33" i="14"/>
  <c r="J31" i="14"/>
  <c r="J29" i="14"/>
  <c r="J27" i="14"/>
  <c r="J25" i="14"/>
  <c r="J24" i="14"/>
  <c r="J22" i="14"/>
  <c r="J20" i="14"/>
  <c r="J18" i="14"/>
  <c r="J16" i="14"/>
  <c r="H18" i="14"/>
  <c r="J21" i="14"/>
  <c r="J15" i="14"/>
  <c r="L21" i="16"/>
  <c r="N20" i="29"/>
  <c r="N13" i="13"/>
  <c r="N22" i="13"/>
  <c r="N24" i="13"/>
  <c r="L13" i="14"/>
  <c r="N21" i="14"/>
  <c r="L25" i="14"/>
  <c r="L29" i="14"/>
  <c r="L33" i="14"/>
  <c r="L34" i="14"/>
  <c r="L16" i="16"/>
  <c r="L20" i="16"/>
  <c r="V20" i="17"/>
  <c r="V18" i="17"/>
  <c r="V16" i="17"/>
  <c r="T18" i="17"/>
  <c r="V15" i="17"/>
  <c r="Z12" i="17"/>
  <c r="V24" i="17"/>
  <c r="V22" i="17"/>
  <c r="V33" i="17"/>
  <c r="V31" i="17"/>
  <c r="V21" i="17"/>
  <c r="V29" i="17"/>
  <c r="V27" i="17"/>
  <c r="V36" i="17"/>
  <c r="V25" i="17"/>
  <c r="V34" i="17"/>
  <c r="L15" i="17"/>
  <c r="Z25" i="17"/>
  <c r="Z29" i="17"/>
  <c r="Z33" i="17"/>
  <c r="Z34" i="17"/>
  <c r="X16" i="19"/>
  <c r="N29" i="20"/>
  <c r="Z15" i="22"/>
  <c r="X25" i="22"/>
  <c r="X12" i="23"/>
  <c r="R20" i="23"/>
  <c r="R33" i="23"/>
  <c r="R21" i="23"/>
  <c r="R22" i="23"/>
  <c r="R34" i="23"/>
  <c r="R24" i="23"/>
  <c r="R36" i="23"/>
  <c r="R25" i="23"/>
  <c r="R27" i="23"/>
  <c r="R15" i="23"/>
  <c r="R16" i="23"/>
  <c r="R29" i="23"/>
  <c r="R31" i="23"/>
  <c r="R18" i="23"/>
  <c r="P18" i="23"/>
  <c r="F21" i="13"/>
  <c r="F20" i="13"/>
  <c r="F18" i="13"/>
  <c r="F16" i="13"/>
  <c r="D18" i="13"/>
  <c r="F15" i="13"/>
  <c r="F36" i="13"/>
  <c r="F34" i="13"/>
  <c r="F33" i="13"/>
  <c r="F31" i="13"/>
  <c r="F29" i="13"/>
  <c r="F27" i="13"/>
  <c r="F25" i="13"/>
  <c r="L12" i="13"/>
  <c r="F24" i="13"/>
  <c r="F22" i="13"/>
  <c r="X16" i="13"/>
  <c r="X20" i="13"/>
  <c r="X15" i="14"/>
  <c r="N25" i="14"/>
  <c r="N29" i="14"/>
  <c r="N33" i="14"/>
  <c r="N34" i="14"/>
  <c r="N16" i="16"/>
  <c r="N20" i="16"/>
  <c r="L22" i="16"/>
  <c r="L24" i="16"/>
  <c r="N15" i="17"/>
  <c r="L21" i="17"/>
  <c r="L24" i="20"/>
  <c r="N15" i="23"/>
  <c r="L25" i="23"/>
  <c r="H18" i="13"/>
  <c r="J15" i="13"/>
  <c r="N12" i="13"/>
  <c r="J36" i="13"/>
  <c r="J34" i="13"/>
  <c r="J33" i="13"/>
  <c r="J31" i="13"/>
  <c r="J29" i="13"/>
  <c r="J27" i="13"/>
  <c r="J25" i="13"/>
  <c r="J21" i="13"/>
  <c r="J24" i="13"/>
  <c r="J18" i="13"/>
  <c r="J22" i="13"/>
  <c r="J16" i="13"/>
  <c r="J20" i="13"/>
  <c r="X13" i="13"/>
  <c r="Z15" i="13"/>
  <c r="X21" i="13"/>
  <c r="F20" i="14"/>
  <c r="F18" i="14"/>
  <c r="F16" i="14"/>
  <c r="D18" i="14"/>
  <c r="F15" i="14"/>
  <c r="L12" i="14"/>
  <c r="F24" i="14"/>
  <c r="F22" i="14"/>
  <c r="F31" i="14"/>
  <c r="F36" i="14"/>
  <c r="F29" i="14"/>
  <c r="F34" i="14"/>
  <c r="F27" i="14"/>
  <c r="F21" i="14"/>
  <c r="F33" i="14"/>
  <c r="F25" i="14"/>
  <c r="X16" i="14"/>
  <c r="X20" i="14"/>
  <c r="L13" i="16"/>
  <c r="N21" i="16"/>
  <c r="L25" i="16"/>
  <c r="L29" i="16"/>
  <c r="L33" i="16"/>
  <c r="L34" i="16"/>
  <c r="N16" i="17"/>
  <c r="N20" i="17"/>
  <c r="L22" i="17"/>
  <c r="L24" i="17"/>
  <c r="F20" i="19"/>
  <c r="F18" i="19"/>
  <c r="F16" i="19"/>
  <c r="D18" i="19"/>
  <c r="F15" i="19"/>
  <c r="L12" i="19"/>
  <c r="F36" i="19"/>
  <c r="F34" i="19"/>
  <c r="F33" i="19"/>
  <c r="F31" i="19"/>
  <c r="F29" i="19"/>
  <c r="F27" i="19"/>
  <c r="F25" i="19"/>
  <c r="F21" i="19"/>
  <c r="F24" i="19"/>
  <c r="F22" i="19"/>
  <c r="Z15" i="25"/>
  <c r="N13" i="16"/>
  <c r="N22" i="16"/>
  <c r="N24" i="16"/>
  <c r="L13" i="17"/>
  <c r="N21" i="17"/>
  <c r="L25" i="17"/>
  <c r="L29" i="17"/>
  <c r="L33" i="17"/>
  <c r="L34" i="17"/>
  <c r="N20" i="19"/>
  <c r="Z21" i="13"/>
  <c r="X25" i="13"/>
  <c r="X29" i="13"/>
  <c r="X33" i="13"/>
  <c r="X34" i="13"/>
  <c r="Z13" i="14"/>
  <c r="Z16" i="14"/>
  <c r="Z20" i="14"/>
  <c r="X22" i="14"/>
  <c r="X24" i="14"/>
  <c r="X15" i="16"/>
  <c r="N25" i="16"/>
  <c r="N29" i="16"/>
  <c r="N33" i="16"/>
  <c r="N34" i="16"/>
  <c r="N13" i="17"/>
  <c r="N22" i="17"/>
  <c r="N24" i="17"/>
  <c r="L13" i="19"/>
  <c r="L25" i="19"/>
  <c r="L33" i="19"/>
  <c r="N20" i="20"/>
  <c r="L20" i="22"/>
  <c r="X21" i="25"/>
  <c r="X12" i="13"/>
  <c r="R36" i="13"/>
  <c r="R34" i="13"/>
  <c r="R33" i="13"/>
  <c r="R31" i="13"/>
  <c r="R29" i="13"/>
  <c r="R27" i="13"/>
  <c r="R25" i="13"/>
  <c r="R24" i="13"/>
  <c r="R22" i="13"/>
  <c r="R20" i="13"/>
  <c r="R18" i="13"/>
  <c r="R16" i="13"/>
  <c r="P18" i="13"/>
  <c r="R15" i="13"/>
  <c r="R21" i="13"/>
  <c r="Z22" i="13"/>
  <c r="Z24" i="13"/>
  <c r="Z21" i="14"/>
  <c r="X25" i="14"/>
  <c r="X29" i="14"/>
  <c r="X33" i="14"/>
  <c r="X34" i="14"/>
  <c r="L12" i="16"/>
  <c r="F36" i="16"/>
  <c r="F34" i="16"/>
  <c r="F33" i="16"/>
  <c r="F31" i="16"/>
  <c r="F29" i="16"/>
  <c r="F27" i="16"/>
  <c r="F25" i="16"/>
  <c r="F24" i="16"/>
  <c r="F22" i="16"/>
  <c r="F21" i="16"/>
  <c r="D18" i="16"/>
  <c r="F15" i="16"/>
  <c r="F20" i="16"/>
  <c r="F18" i="16"/>
  <c r="F16" i="16"/>
  <c r="X16" i="16"/>
  <c r="X20" i="16"/>
  <c r="X15" i="17"/>
  <c r="N25" i="17"/>
  <c r="N29" i="17"/>
  <c r="N33" i="17"/>
  <c r="N34" i="17"/>
  <c r="X20" i="19"/>
  <c r="N25" i="20"/>
  <c r="N33" i="20"/>
  <c r="Z21" i="25"/>
  <c r="L25" i="31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P18" i="14"/>
  <c r="R15" i="14"/>
  <c r="R18" i="14"/>
  <c r="R16" i="14"/>
  <c r="R20" i="14"/>
  <c r="Z22" i="14"/>
  <c r="Z24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F15" i="17"/>
  <c r="D18" i="17"/>
  <c r="X16" i="17"/>
  <c r="X20" i="17"/>
  <c r="N15" i="20"/>
  <c r="L21" i="20"/>
  <c r="N21" i="22"/>
  <c r="N33" i="22"/>
  <c r="X29" i="23"/>
  <c r="N25" i="31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N21" i="19"/>
  <c r="L34" i="19"/>
  <c r="N22" i="22"/>
  <c r="Z20" i="23"/>
  <c r="N15" i="13"/>
  <c r="L21" i="13"/>
  <c r="L16" i="14"/>
  <c r="L20" i="14"/>
  <c r="Z21" i="16"/>
  <c r="X25" i="16"/>
  <c r="X29" i="16"/>
  <c r="X33" i="16"/>
  <c r="X34" i="16"/>
  <c r="Z13" i="17"/>
  <c r="Z16" i="17"/>
  <c r="Z20" i="17"/>
  <c r="X22" i="17"/>
  <c r="X24" i="17"/>
  <c r="X15" i="20"/>
  <c r="N34" i="20"/>
  <c r="L25" i="28"/>
  <c r="N16" i="13"/>
  <c r="N20" i="13"/>
  <c r="L22" i="13"/>
  <c r="L24" i="13"/>
  <c r="N15" i="14"/>
  <c r="L21" i="14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X12" i="16"/>
  <c r="Z22" i="16"/>
  <c r="Z24" i="16"/>
  <c r="Z21" i="17"/>
  <c r="X25" i="17"/>
  <c r="X29" i="17"/>
  <c r="X33" i="17"/>
  <c r="X34" i="17"/>
  <c r="N16" i="19"/>
  <c r="L22" i="19"/>
  <c r="N13" i="22"/>
  <c r="X34" i="25"/>
  <c r="N25" i="28"/>
  <c r="N20" i="32"/>
  <c r="N13" i="19"/>
  <c r="N22" i="19"/>
  <c r="N24" i="19"/>
  <c r="L13" i="20"/>
  <c r="N21" i="20"/>
  <c r="L25" i="20"/>
  <c r="L29" i="20"/>
  <c r="L33" i="20"/>
  <c r="L34" i="20"/>
  <c r="X13" i="22"/>
  <c r="N20" i="22"/>
  <c r="Z25" i="22"/>
  <c r="X34" i="22"/>
  <c r="X16" i="23"/>
  <c r="L34" i="23"/>
  <c r="L16" i="25"/>
  <c r="Z34" i="26"/>
  <c r="X21" i="34"/>
  <c r="L20" i="37"/>
  <c r="X15" i="19"/>
  <c r="N25" i="19"/>
  <c r="N29" i="19"/>
  <c r="N33" i="19"/>
  <c r="N34" i="19"/>
  <c r="N13" i="20"/>
  <c r="N22" i="20"/>
  <c r="N24" i="20"/>
  <c r="Z13" i="22"/>
  <c r="X22" i="22"/>
  <c r="Z24" i="22"/>
  <c r="L29" i="22"/>
  <c r="L22" i="23"/>
  <c r="N24" i="23"/>
  <c r="Z29" i="23"/>
  <c r="X16" i="26"/>
  <c r="J36" i="22"/>
  <c r="J34" i="22"/>
  <c r="J33" i="22"/>
  <c r="J31" i="22"/>
  <c r="J29" i="22"/>
  <c r="J27" i="22"/>
  <c r="J25" i="22"/>
  <c r="J24" i="22"/>
  <c r="J15" i="22"/>
  <c r="J16" i="22"/>
  <c r="N12" i="22"/>
  <c r="J18" i="22"/>
  <c r="H18" i="22"/>
  <c r="J20" i="22"/>
  <c r="J21" i="22"/>
  <c r="J22" i="22"/>
  <c r="X21" i="22"/>
  <c r="X33" i="22"/>
  <c r="Z34" i="22"/>
  <c r="L13" i="23"/>
  <c r="Z16" i="23"/>
  <c r="L21" i="23"/>
  <c r="L33" i="23"/>
  <c r="X29" i="25"/>
  <c r="Z16" i="26"/>
  <c r="X22" i="26"/>
  <c r="L29" i="28"/>
  <c r="L22" i="29"/>
  <c r="L29" i="31"/>
  <c r="L22" i="32"/>
  <c r="N12" i="19"/>
  <c r="J24" i="19"/>
  <c r="J22" i="19"/>
  <c r="J21" i="19"/>
  <c r="J34" i="19"/>
  <c r="J27" i="19"/>
  <c r="J15" i="19"/>
  <c r="J33" i="19"/>
  <c r="J25" i="19"/>
  <c r="J20" i="19"/>
  <c r="J31" i="19"/>
  <c r="J18" i="19"/>
  <c r="J36" i="19"/>
  <c r="J29" i="19"/>
  <c r="H18" i="19"/>
  <c r="J16" i="19"/>
  <c r="X13" i="19"/>
  <c r="Z15" i="19"/>
  <c r="X21" i="19"/>
  <c r="D18" i="20"/>
  <c r="F15" i="20"/>
  <c r="L12" i="20"/>
  <c r="F36" i="20"/>
  <c r="F34" i="20"/>
  <c r="F33" i="20"/>
  <c r="F31" i="20"/>
  <c r="F29" i="20"/>
  <c r="F27" i="20"/>
  <c r="F25" i="20"/>
  <c r="F24" i="20"/>
  <c r="F22" i="20"/>
  <c r="F16" i="20"/>
  <c r="F21" i="20"/>
  <c r="F20" i="20"/>
  <c r="F18" i="20"/>
  <c r="X16" i="20"/>
  <c r="X20" i="20"/>
  <c r="L16" i="22"/>
  <c r="Z22" i="22"/>
  <c r="N29" i="22"/>
  <c r="N13" i="23"/>
  <c r="Z15" i="23"/>
  <c r="N22" i="23"/>
  <c r="X25" i="23"/>
  <c r="Z29" i="26"/>
  <c r="N29" i="28"/>
  <c r="N13" i="29"/>
  <c r="N22" i="29"/>
  <c r="N29" i="31"/>
  <c r="N13" i="32"/>
  <c r="N22" i="32"/>
  <c r="X34" i="35"/>
  <c r="N15" i="38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1" i="20"/>
  <c r="J20" i="20"/>
  <c r="J18" i="20"/>
  <c r="J16" i="20"/>
  <c r="J15" i="20"/>
  <c r="J24" i="20"/>
  <c r="H18" i="20"/>
  <c r="J22" i="20"/>
  <c r="X13" i="20"/>
  <c r="Z15" i="20"/>
  <c r="X21" i="20"/>
  <c r="L15" i="22"/>
  <c r="N16" i="22"/>
  <c r="Z21" i="22"/>
  <c r="Z33" i="22"/>
  <c r="N21" i="23"/>
  <c r="X24" i="23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N12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N21" i="28"/>
  <c r="L24" i="29"/>
  <c r="N21" i="31"/>
  <c r="L24" i="32"/>
  <c r="Z21" i="19"/>
  <c r="X25" i="19"/>
  <c r="X29" i="19"/>
  <c r="X33" i="19"/>
  <c r="X34" i="19"/>
  <c r="Z13" i="20"/>
  <c r="Z16" i="20"/>
  <c r="Z20" i="20"/>
  <c r="X22" i="20"/>
  <c r="X24" i="20"/>
  <c r="P18" i="22"/>
  <c r="R15" i="22"/>
  <c r="R27" i="22"/>
  <c r="R16" i="22"/>
  <c r="R29" i="22"/>
  <c r="X12" i="22"/>
  <c r="R18" i="22"/>
  <c r="R31" i="22"/>
  <c r="R20" i="22"/>
  <c r="R33" i="22"/>
  <c r="R21" i="22"/>
  <c r="R22" i="22"/>
  <c r="R34" i="22"/>
  <c r="R24" i="22"/>
  <c r="R36" i="22"/>
  <c r="R25" i="22"/>
  <c r="Z20" i="22"/>
  <c r="L25" i="22"/>
  <c r="X13" i="23"/>
  <c r="N20" i="23"/>
  <c r="Z25" i="23"/>
  <c r="X34" i="23"/>
  <c r="X24" i="26"/>
  <c r="N24" i="29"/>
  <c r="N24" i="32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R15" i="19"/>
  <c r="P18" i="19"/>
  <c r="Z22" i="19"/>
  <c r="Z24" i="19"/>
  <c r="Z21" i="20"/>
  <c r="X25" i="20"/>
  <c r="X29" i="20"/>
  <c r="X33" i="20"/>
  <c r="X34" i="20"/>
  <c r="Z12" i="22"/>
  <c r="V29" i="22"/>
  <c r="V18" i="22"/>
  <c r="V31" i="22"/>
  <c r="T18" i="22"/>
  <c r="V20" i="22"/>
  <c r="V33" i="22"/>
  <c r="V21" i="22"/>
  <c r="V22" i="22"/>
  <c r="V34" i="22"/>
  <c r="V24" i="22"/>
  <c r="V36" i="22"/>
  <c r="V25" i="22"/>
  <c r="V27" i="22"/>
  <c r="V16" i="22"/>
  <c r="V15" i="22"/>
  <c r="L24" i="22"/>
  <c r="X29" i="22"/>
  <c r="D18" i="23"/>
  <c r="F15" i="23"/>
  <c r="F27" i="23"/>
  <c r="F16" i="23"/>
  <c r="L12" i="23"/>
  <c r="F29" i="23"/>
  <c r="F18" i="23"/>
  <c r="F31" i="23"/>
  <c r="F20" i="23"/>
  <c r="F33" i="23"/>
  <c r="F21" i="23"/>
  <c r="F22" i="23"/>
  <c r="F34" i="23"/>
  <c r="F24" i="23"/>
  <c r="F25" i="23"/>
  <c r="F36" i="23"/>
  <c r="Z13" i="23"/>
  <c r="X22" i="23"/>
  <c r="Z24" i="23"/>
  <c r="L29" i="23"/>
  <c r="L20" i="25"/>
  <c r="Z12" i="26"/>
  <c r="V36" i="26"/>
  <c r="V34" i="26"/>
  <c r="V33" i="26"/>
  <c r="V31" i="26"/>
  <c r="V29" i="26"/>
  <c r="V27" i="26"/>
  <c r="V25" i="26"/>
  <c r="V21" i="26"/>
  <c r="V20" i="26"/>
  <c r="V18" i="26"/>
  <c r="V16" i="26"/>
  <c r="V24" i="26"/>
  <c r="T18" i="26"/>
  <c r="V22" i="26"/>
  <c r="V15" i="26"/>
  <c r="L13" i="28"/>
  <c r="L33" i="28"/>
  <c r="N16" i="29"/>
  <c r="L13" i="31"/>
  <c r="L33" i="31"/>
  <c r="N16" i="32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N25" i="22"/>
  <c r="L34" i="22"/>
  <c r="J24" i="23"/>
  <c r="J22" i="23"/>
  <c r="N12" i="23"/>
  <c r="J29" i="23"/>
  <c r="J18" i="23"/>
  <c r="H18" i="23"/>
  <c r="J31" i="23"/>
  <c r="J20" i="23"/>
  <c r="J21" i="23"/>
  <c r="J33" i="23"/>
  <c r="J34" i="23"/>
  <c r="J36" i="23"/>
  <c r="J25" i="23"/>
  <c r="J27" i="23"/>
  <c r="J16" i="23"/>
  <c r="J15" i="23"/>
  <c r="X21" i="23"/>
  <c r="X33" i="23"/>
  <c r="Z34" i="23"/>
  <c r="X13" i="25"/>
  <c r="X20" i="26"/>
  <c r="N33" i="28"/>
  <c r="N33" i="31"/>
  <c r="L16" i="19"/>
  <c r="L20" i="19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Z12" i="20"/>
  <c r="L15" i="20"/>
  <c r="Z25" i="20"/>
  <c r="Z29" i="20"/>
  <c r="Z33" i="20"/>
  <c r="Z34" i="20"/>
  <c r="L22" i="22"/>
  <c r="N24" i="22"/>
  <c r="Z29" i="22"/>
  <c r="X20" i="23"/>
  <c r="Z22" i="23"/>
  <c r="X25" i="25"/>
  <c r="X33" i="25"/>
  <c r="Z13" i="26"/>
  <c r="Z20" i="26"/>
  <c r="L34" i="28"/>
  <c r="L34" i="31"/>
  <c r="J21" i="34"/>
  <c r="J20" i="34"/>
  <c r="J18" i="34"/>
  <c r="J16" i="34"/>
  <c r="H18" i="34"/>
  <c r="J15" i="34"/>
  <c r="N12" i="34"/>
  <c r="J36" i="34"/>
  <c r="J34" i="34"/>
  <c r="J33" i="34"/>
  <c r="J31" i="34"/>
  <c r="J29" i="34"/>
  <c r="J27" i="34"/>
  <c r="J25" i="34"/>
  <c r="J24" i="34"/>
  <c r="J22" i="34"/>
  <c r="N15" i="19"/>
  <c r="L21" i="19"/>
  <c r="L16" i="20"/>
  <c r="L20" i="20"/>
  <c r="L13" i="22"/>
  <c r="X15" i="22"/>
  <c r="Z16" i="22"/>
  <c r="L33" i="22"/>
  <c r="N34" i="22"/>
  <c r="L15" i="23"/>
  <c r="N16" i="23"/>
  <c r="Z21" i="23"/>
  <c r="Z33" i="23"/>
  <c r="L15" i="26"/>
  <c r="Z25" i="26"/>
  <c r="Z33" i="26"/>
  <c r="X15" i="28"/>
  <c r="N34" i="28"/>
  <c r="X15" i="31"/>
  <c r="N34" i="31"/>
  <c r="X12" i="34"/>
  <c r="R24" i="34"/>
  <c r="R22" i="34"/>
  <c r="P18" i="34"/>
  <c r="R15" i="34"/>
  <c r="R34" i="34"/>
  <c r="R29" i="34"/>
  <c r="R20" i="34"/>
  <c r="R33" i="34"/>
  <c r="R27" i="34"/>
  <c r="R18" i="34"/>
  <c r="R21" i="34"/>
  <c r="R36" i="34"/>
  <c r="R31" i="34"/>
  <c r="R25" i="34"/>
  <c r="R16" i="34"/>
  <c r="F20" i="22"/>
  <c r="F18" i="22"/>
  <c r="F16" i="22"/>
  <c r="F22" i="22"/>
  <c r="F34" i="22"/>
  <c r="F24" i="22"/>
  <c r="F36" i="22"/>
  <c r="F25" i="22"/>
  <c r="F15" i="22"/>
  <c r="F27" i="22"/>
  <c r="L12" i="22"/>
  <c r="F29" i="22"/>
  <c r="D18" i="22"/>
  <c r="F31" i="22"/>
  <c r="F33" i="22"/>
  <c r="F21" i="22"/>
  <c r="X16" i="22"/>
  <c r="X20" i="22"/>
  <c r="X15" i="23"/>
  <c r="N25" i="23"/>
  <c r="N29" i="23"/>
  <c r="N33" i="23"/>
  <c r="N34" i="23"/>
  <c r="Z13" i="25"/>
  <c r="Z16" i="25"/>
  <c r="Z20" i="25"/>
  <c r="X22" i="25"/>
  <c r="X24" i="25"/>
  <c r="J24" i="26"/>
  <c r="J22" i="26"/>
  <c r="J21" i="26"/>
  <c r="J20" i="26"/>
  <c r="J18" i="26"/>
  <c r="J16" i="26"/>
  <c r="H18" i="26"/>
  <c r="J15" i="26"/>
  <c r="N12" i="26"/>
  <c r="J33" i="26"/>
  <c r="J25" i="26"/>
  <c r="J31" i="26"/>
  <c r="J36" i="26"/>
  <c r="J29" i="26"/>
  <c r="J34" i="26"/>
  <c r="J27" i="26"/>
  <c r="X13" i="26"/>
  <c r="Z15" i="26"/>
  <c r="X21" i="26"/>
  <c r="N13" i="28"/>
  <c r="N22" i="28"/>
  <c r="N24" i="28"/>
  <c r="L13" i="29"/>
  <c r="N21" i="29"/>
  <c r="L25" i="29"/>
  <c r="L29" i="29"/>
  <c r="L33" i="29"/>
  <c r="L34" i="29"/>
  <c r="N13" i="31"/>
  <c r="N22" i="31"/>
  <c r="N24" i="31"/>
  <c r="L13" i="32"/>
  <c r="N21" i="32"/>
  <c r="L25" i="32"/>
  <c r="L29" i="32"/>
  <c r="L33" i="32"/>
  <c r="L34" i="32"/>
  <c r="Z16" i="34"/>
  <c r="Z15" i="35"/>
  <c r="Z29" i="38"/>
  <c r="P18" i="25"/>
  <c r="R15" i="25"/>
  <c r="R36" i="25"/>
  <c r="R34" i="25"/>
  <c r="R33" i="25"/>
  <c r="R31" i="25"/>
  <c r="R29" i="25"/>
  <c r="R27" i="25"/>
  <c r="R25" i="25"/>
  <c r="R21" i="25"/>
  <c r="R20" i="25"/>
  <c r="X12" i="25"/>
  <c r="R24" i="25"/>
  <c r="R18" i="25"/>
  <c r="R22" i="25"/>
  <c r="R16" i="25"/>
  <c r="Z22" i="25"/>
  <c r="Z24" i="25"/>
  <c r="Z21" i="26"/>
  <c r="X25" i="26"/>
  <c r="X29" i="26"/>
  <c r="X33" i="26"/>
  <c r="X34" i="26"/>
  <c r="F21" i="28"/>
  <c r="F20" i="28"/>
  <c r="F18" i="28"/>
  <c r="F16" i="28"/>
  <c r="D18" i="28"/>
  <c r="F15" i="28"/>
  <c r="L12" i="28"/>
  <c r="F36" i="28"/>
  <c r="F34" i="28"/>
  <c r="F33" i="28"/>
  <c r="F31" i="28"/>
  <c r="F29" i="28"/>
  <c r="F27" i="28"/>
  <c r="F25" i="28"/>
  <c r="F24" i="28"/>
  <c r="F22" i="28"/>
  <c r="X16" i="28"/>
  <c r="X20" i="28"/>
  <c r="X15" i="29"/>
  <c r="N25" i="29"/>
  <c r="N29" i="29"/>
  <c r="N33" i="29"/>
  <c r="N34" i="29"/>
  <c r="F21" i="31"/>
  <c r="F20" i="31"/>
  <c r="F18" i="31"/>
  <c r="F16" i="31"/>
  <c r="D18" i="31"/>
  <c r="F15" i="31"/>
  <c r="L12" i="31"/>
  <c r="F36" i="31"/>
  <c r="F34" i="31"/>
  <c r="F33" i="31"/>
  <c r="F31" i="31"/>
  <c r="F29" i="31"/>
  <c r="F27" i="31"/>
  <c r="F25" i="31"/>
  <c r="F24" i="31"/>
  <c r="F22" i="31"/>
  <c r="X16" i="31"/>
  <c r="X20" i="31"/>
  <c r="X15" i="32"/>
  <c r="N25" i="32"/>
  <c r="N29" i="32"/>
  <c r="N33" i="32"/>
  <c r="N34" i="32"/>
  <c r="N33" i="34"/>
  <c r="N22" i="35"/>
  <c r="N33" i="38"/>
  <c r="X20" i="40"/>
  <c r="N29" i="41"/>
  <c r="Z12" i="25"/>
  <c r="V24" i="25"/>
  <c r="V22" i="25"/>
  <c r="V21" i="25"/>
  <c r="T18" i="25"/>
  <c r="V15" i="25"/>
  <c r="V33" i="25"/>
  <c r="V25" i="25"/>
  <c r="V20" i="25"/>
  <c r="V31" i="25"/>
  <c r="V18" i="25"/>
  <c r="V36" i="25"/>
  <c r="V29" i="25"/>
  <c r="V16" i="25"/>
  <c r="V34" i="25"/>
  <c r="V27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0" i="26"/>
  <c r="R18" i="26"/>
  <c r="R16" i="26"/>
  <c r="P18" i="26"/>
  <c r="R21" i="26"/>
  <c r="R15" i="26"/>
  <c r="Z22" i="26"/>
  <c r="Z24" i="26"/>
  <c r="H18" i="28"/>
  <c r="J15" i="28"/>
  <c r="N12" i="28"/>
  <c r="J36" i="28"/>
  <c r="J34" i="28"/>
  <c r="J33" i="28"/>
  <c r="J31" i="28"/>
  <c r="J29" i="28"/>
  <c r="J27" i="28"/>
  <c r="J25" i="28"/>
  <c r="J21" i="28"/>
  <c r="J24" i="28"/>
  <c r="J22" i="28"/>
  <c r="J20" i="28"/>
  <c r="J18" i="28"/>
  <c r="J16" i="28"/>
  <c r="X13" i="28"/>
  <c r="Z15" i="28"/>
  <c r="X21" i="28"/>
  <c r="F20" i="29"/>
  <c r="F18" i="29"/>
  <c r="F16" i="29"/>
  <c r="D18" i="29"/>
  <c r="F15" i="29"/>
  <c r="L12" i="29"/>
  <c r="F24" i="29"/>
  <c r="F22" i="29"/>
  <c r="F27" i="29"/>
  <c r="F36" i="29"/>
  <c r="F25" i="29"/>
  <c r="F34" i="29"/>
  <c r="F33" i="29"/>
  <c r="F31" i="29"/>
  <c r="F21" i="29"/>
  <c r="F29" i="29"/>
  <c r="X16" i="29"/>
  <c r="X20" i="29"/>
  <c r="H18" i="31"/>
  <c r="J15" i="31"/>
  <c r="N12" i="31"/>
  <c r="J36" i="31"/>
  <c r="J34" i="31"/>
  <c r="J33" i="31"/>
  <c r="J31" i="31"/>
  <c r="J29" i="31"/>
  <c r="J27" i="31"/>
  <c r="J25" i="31"/>
  <c r="J21" i="31"/>
  <c r="J24" i="31"/>
  <c r="J22" i="31"/>
  <c r="J20" i="31"/>
  <c r="J18" i="31"/>
  <c r="J16" i="31"/>
  <c r="X13" i="31"/>
  <c r="Z15" i="31"/>
  <c r="X21" i="31"/>
  <c r="F20" i="32"/>
  <c r="F18" i="32"/>
  <c r="F16" i="32"/>
  <c r="D18" i="32"/>
  <c r="F15" i="32"/>
  <c r="L12" i="32"/>
  <c r="F36" i="32"/>
  <c r="F24" i="32"/>
  <c r="F22" i="32"/>
  <c r="F27" i="32"/>
  <c r="F25" i="32"/>
  <c r="F34" i="32"/>
  <c r="F33" i="32"/>
  <c r="F31" i="32"/>
  <c r="F21" i="32"/>
  <c r="F29" i="32"/>
  <c r="X16" i="32"/>
  <c r="X20" i="32"/>
  <c r="X13" i="34"/>
  <c r="F24" i="35"/>
  <c r="F22" i="35"/>
  <c r="F21" i="35"/>
  <c r="F20" i="35"/>
  <c r="F18" i="35"/>
  <c r="F16" i="35"/>
  <c r="D18" i="35"/>
  <c r="F15" i="35"/>
  <c r="L12" i="35"/>
  <c r="F33" i="35"/>
  <c r="F25" i="35"/>
  <c r="F31" i="35"/>
  <c r="F36" i="35"/>
  <c r="F29" i="35"/>
  <c r="F34" i="35"/>
  <c r="F27" i="35"/>
  <c r="X16" i="35"/>
  <c r="Z20" i="40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0" i="29"/>
  <c r="J18" i="29"/>
  <c r="J16" i="29"/>
  <c r="H18" i="29"/>
  <c r="J15" i="29"/>
  <c r="J21" i="29"/>
  <c r="X13" i="29"/>
  <c r="Z15" i="29"/>
  <c r="X21" i="29"/>
  <c r="Z13" i="31"/>
  <c r="Z16" i="31"/>
  <c r="Z20" i="31"/>
  <c r="X22" i="31"/>
  <c r="X24" i="31"/>
  <c r="N12" i="32"/>
  <c r="J34" i="32"/>
  <c r="J33" i="32"/>
  <c r="J31" i="32"/>
  <c r="J29" i="32"/>
  <c r="J27" i="32"/>
  <c r="J25" i="32"/>
  <c r="J36" i="32"/>
  <c r="J24" i="32"/>
  <c r="J22" i="32"/>
  <c r="J20" i="32"/>
  <c r="J18" i="32"/>
  <c r="J16" i="32"/>
  <c r="H18" i="32"/>
  <c r="J15" i="32"/>
  <c r="J21" i="32"/>
  <c r="X13" i="32"/>
  <c r="Z15" i="32"/>
  <c r="X21" i="32"/>
  <c r="Z13" i="34"/>
  <c r="X22" i="34"/>
  <c r="J20" i="35"/>
  <c r="J18" i="35"/>
  <c r="J16" i="35"/>
  <c r="H18" i="35"/>
  <c r="J15" i="35"/>
  <c r="J24" i="35"/>
  <c r="J22" i="35"/>
  <c r="J33" i="35"/>
  <c r="J25" i="35"/>
  <c r="J31" i="35"/>
  <c r="N12" i="35"/>
  <c r="J36" i="35"/>
  <c r="J29" i="35"/>
  <c r="J34" i="35"/>
  <c r="J27" i="35"/>
  <c r="J21" i="35"/>
  <c r="X29" i="35"/>
  <c r="L22" i="37"/>
  <c r="Z34" i="38"/>
  <c r="N15" i="25"/>
  <c r="L21" i="25"/>
  <c r="L16" i="26"/>
  <c r="L20" i="26"/>
  <c r="Z21" i="28"/>
  <c r="X25" i="28"/>
  <c r="X29" i="28"/>
  <c r="X33" i="28"/>
  <c r="X34" i="28"/>
  <c r="Z13" i="29"/>
  <c r="Z16" i="29"/>
  <c r="Z20" i="29"/>
  <c r="X22" i="29"/>
  <c r="X24" i="29"/>
  <c r="Z21" i="31"/>
  <c r="X25" i="31"/>
  <c r="X29" i="31"/>
  <c r="X33" i="31"/>
  <c r="X34" i="31"/>
  <c r="Z13" i="32"/>
  <c r="Z16" i="32"/>
  <c r="Z20" i="32"/>
  <c r="X22" i="32"/>
  <c r="X24" i="32"/>
  <c r="Z22" i="34"/>
  <c r="N24" i="35"/>
  <c r="N22" i="37"/>
  <c r="L21" i="38"/>
  <c r="X24" i="40"/>
  <c r="N16" i="25"/>
  <c r="N20" i="25"/>
  <c r="L22" i="25"/>
  <c r="L24" i="25"/>
  <c r="N15" i="26"/>
  <c r="L21" i="26"/>
  <c r="X12" i="2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Z22" i="28"/>
  <c r="Z24" i="28"/>
  <c r="Z21" i="29"/>
  <c r="X25" i="29"/>
  <c r="X29" i="29"/>
  <c r="X33" i="29"/>
  <c r="X34" i="29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Z22" i="31"/>
  <c r="Z24" i="31"/>
  <c r="Z21" i="32"/>
  <c r="X25" i="32"/>
  <c r="X29" i="32"/>
  <c r="X33" i="32"/>
  <c r="X34" i="32"/>
  <c r="X15" i="34"/>
  <c r="N29" i="34"/>
  <c r="N34" i="34"/>
  <c r="N13" i="35"/>
  <c r="N24" i="37"/>
  <c r="N15" i="22"/>
  <c r="L21" i="22"/>
  <c r="L16" i="23"/>
  <c r="L20" i="23"/>
  <c r="L13" i="25"/>
  <c r="N21" i="25"/>
  <c r="L25" i="25"/>
  <c r="L29" i="25"/>
  <c r="L33" i="25"/>
  <c r="L34" i="25"/>
  <c r="N16" i="26"/>
  <c r="N20" i="26"/>
  <c r="L22" i="26"/>
  <c r="L2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Z22" i="29"/>
  <c r="Z24" i="29"/>
  <c r="Z12" i="3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L15" i="31"/>
  <c r="Z25" i="31"/>
  <c r="Z29" i="31"/>
  <c r="Z33" i="31"/>
  <c r="Z34" i="31"/>
  <c r="X12" i="32"/>
  <c r="R34" i="32"/>
  <c r="R33" i="32"/>
  <c r="R31" i="32"/>
  <c r="R29" i="32"/>
  <c r="R27" i="32"/>
  <c r="R25" i="32"/>
  <c r="R36" i="32"/>
  <c r="R24" i="32"/>
  <c r="R22" i="32"/>
  <c r="R21" i="32"/>
  <c r="R20" i="32"/>
  <c r="R18" i="32"/>
  <c r="R16" i="32"/>
  <c r="P18" i="32"/>
  <c r="R15" i="32"/>
  <c r="Z22" i="32"/>
  <c r="Z24" i="32"/>
  <c r="Z15" i="34"/>
  <c r="N13" i="37"/>
  <c r="X22" i="38"/>
  <c r="N13" i="25"/>
  <c r="N22" i="25"/>
  <c r="N24" i="25"/>
  <c r="L13" i="26"/>
  <c r="N21" i="26"/>
  <c r="L25" i="26"/>
  <c r="L29" i="26"/>
  <c r="L33" i="26"/>
  <c r="L3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L16" i="31"/>
  <c r="L20" i="31"/>
  <c r="Z12" i="32"/>
  <c r="V34" i="32"/>
  <c r="V33" i="32"/>
  <c r="V31" i="32"/>
  <c r="V29" i="32"/>
  <c r="V27" i="32"/>
  <c r="V25" i="32"/>
  <c r="V36" i="32"/>
  <c r="V24" i="32"/>
  <c r="V22" i="32"/>
  <c r="V21" i="32"/>
  <c r="V20" i="32"/>
  <c r="V18" i="32"/>
  <c r="V16" i="32"/>
  <c r="T18" i="32"/>
  <c r="V15" i="32"/>
  <c r="L15" i="32"/>
  <c r="Z25" i="32"/>
  <c r="Z29" i="32"/>
  <c r="Z33" i="32"/>
  <c r="Z34" i="32"/>
  <c r="Z20" i="34"/>
  <c r="X24" i="34"/>
  <c r="X13" i="35"/>
  <c r="X15" i="25"/>
  <c r="N25" i="25"/>
  <c r="N29" i="25"/>
  <c r="N33" i="25"/>
  <c r="N34" i="25"/>
  <c r="N13" i="26"/>
  <c r="N22" i="26"/>
  <c r="N24" i="26"/>
  <c r="N15" i="28"/>
  <c r="L21" i="28"/>
  <c r="L16" i="29"/>
  <c r="L20" i="29"/>
  <c r="N15" i="31"/>
  <c r="L21" i="31"/>
  <c r="L16" i="32"/>
  <c r="L20" i="32"/>
  <c r="Z24" i="34"/>
  <c r="X20" i="35"/>
  <c r="Z15" i="37"/>
  <c r="X25" i="37"/>
  <c r="V21" i="38"/>
  <c r="V20" i="38"/>
  <c r="V36" i="38"/>
  <c r="V31" i="38"/>
  <c r="V25" i="38"/>
  <c r="V15" i="38"/>
  <c r="V16" i="38"/>
  <c r="V33" i="38"/>
  <c r="V27" i="38"/>
  <c r="V22" i="38"/>
  <c r="Z12" i="38"/>
  <c r="V18" i="38"/>
  <c r="V34" i="38"/>
  <c r="V29" i="38"/>
  <c r="V24" i="38"/>
  <c r="T18" i="38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L12" i="25"/>
  <c r="F15" i="25"/>
  <c r="D18" i="25"/>
  <c r="X16" i="25"/>
  <c r="X20" i="25"/>
  <c r="X15" i="26"/>
  <c r="N25" i="26"/>
  <c r="N29" i="26"/>
  <c r="N33" i="26"/>
  <c r="N34" i="26"/>
  <c r="N16" i="28"/>
  <c r="N20" i="28"/>
  <c r="L22" i="28"/>
  <c r="L24" i="28"/>
  <c r="N15" i="29"/>
  <c r="L21" i="29"/>
  <c r="N16" i="31"/>
  <c r="N20" i="31"/>
  <c r="L22" i="31"/>
  <c r="L24" i="31"/>
  <c r="N15" i="32"/>
  <c r="L21" i="32"/>
  <c r="N25" i="34"/>
  <c r="X25" i="35"/>
  <c r="X33" i="35"/>
  <c r="L15" i="38"/>
  <c r="X21" i="4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L12" i="34"/>
  <c r="X16" i="34"/>
  <c r="X20" i="34"/>
  <c r="X15" i="35"/>
  <c r="N25" i="35"/>
  <c r="N29" i="35"/>
  <c r="N33" i="35"/>
  <c r="N34" i="35"/>
  <c r="L13" i="37"/>
  <c r="Z16" i="37"/>
  <c r="L21" i="37"/>
  <c r="L33" i="37"/>
  <c r="N16" i="38"/>
  <c r="Z15" i="40"/>
  <c r="X16" i="41"/>
  <c r="X21" i="35"/>
  <c r="N21" i="37"/>
  <c r="X24" i="37"/>
  <c r="X33" i="38"/>
  <c r="Z21" i="34"/>
  <c r="X25" i="34"/>
  <c r="X29" i="34"/>
  <c r="X33" i="34"/>
  <c r="X34" i="34"/>
  <c r="Z13" i="35"/>
  <c r="Z16" i="35"/>
  <c r="Z20" i="35"/>
  <c r="X22" i="35"/>
  <c r="X24" i="35"/>
  <c r="X13" i="37"/>
  <c r="N20" i="37"/>
  <c r="X34" i="37"/>
  <c r="N25" i="38"/>
  <c r="Z33" i="38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F24" i="37"/>
  <c r="F36" i="37"/>
  <c r="F25" i="37"/>
  <c r="F27" i="37"/>
  <c r="F15" i="37"/>
  <c r="F16" i="37"/>
  <c r="L12" i="37"/>
  <c r="F29" i="37"/>
  <c r="F18" i="37"/>
  <c r="F31" i="37"/>
  <c r="D18" i="37"/>
  <c r="F20" i="37"/>
  <c r="F22" i="37"/>
  <c r="F34" i="37"/>
  <c r="F33" i="37"/>
  <c r="F21" i="37"/>
  <c r="Z13" i="37"/>
  <c r="X22" i="37"/>
  <c r="Z24" i="37"/>
  <c r="L29" i="37"/>
  <c r="X15" i="38"/>
  <c r="Z16" i="38"/>
  <c r="L20" i="38"/>
  <c r="X21" i="38"/>
  <c r="J24" i="40"/>
  <c r="J22" i="40"/>
  <c r="J21" i="40"/>
  <c r="J20" i="40"/>
  <c r="J18" i="40"/>
  <c r="J16" i="40"/>
  <c r="H18" i="40"/>
  <c r="J15" i="40"/>
  <c r="N12" i="40"/>
  <c r="J34" i="40"/>
  <c r="J27" i="40"/>
  <c r="J33" i="40"/>
  <c r="J25" i="40"/>
  <c r="J31" i="40"/>
  <c r="J36" i="40"/>
  <c r="J29" i="40"/>
  <c r="X21" i="40"/>
  <c r="J21" i="41"/>
  <c r="J20" i="41"/>
  <c r="J18" i="41"/>
  <c r="J16" i="41"/>
  <c r="H18" i="41"/>
  <c r="J15" i="41"/>
  <c r="N12" i="41"/>
  <c r="J34" i="41"/>
  <c r="J27" i="41"/>
  <c r="J33" i="41"/>
  <c r="J25" i="41"/>
  <c r="J31" i="41"/>
  <c r="J24" i="41"/>
  <c r="J36" i="41"/>
  <c r="J29" i="41"/>
  <c r="J22" i="41"/>
  <c r="Z12" i="34"/>
  <c r="V36" i="34"/>
  <c r="V34" i="34"/>
  <c r="V33" i="34"/>
  <c r="V31" i="34"/>
  <c r="V29" i="34"/>
  <c r="V27" i="34"/>
  <c r="V25" i="34"/>
  <c r="V24" i="34"/>
  <c r="V22" i="34"/>
  <c r="V20" i="34"/>
  <c r="V18" i="34"/>
  <c r="V16" i="34"/>
  <c r="V15" i="34"/>
  <c r="T18" i="34"/>
  <c r="V21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1" i="35"/>
  <c r="R20" i="35"/>
  <c r="R18" i="35"/>
  <c r="R16" i="35"/>
  <c r="R24" i="35"/>
  <c r="P18" i="35"/>
  <c r="R22" i="35"/>
  <c r="R15" i="35"/>
  <c r="Z22" i="35"/>
  <c r="Z24" i="35"/>
  <c r="J24" i="37"/>
  <c r="J22" i="37"/>
  <c r="J36" i="37"/>
  <c r="J25" i="37"/>
  <c r="J15" i="37"/>
  <c r="J27" i="37"/>
  <c r="J16" i="37"/>
  <c r="N12" i="37"/>
  <c r="J29" i="37"/>
  <c r="J18" i="37"/>
  <c r="H18" i="37"/>
  <c r="J31" i="37"/>
  <c r="J20" i="37"/>
  <c r="J21" i="37"/>
  <c r="J33" i="37"/>
  <c r="J34" i="37"/>
  <c r="L16" i="37"/>
  <c r="X21" i="37"/>
  <c r="X33" i="37"/>
  <c r="L13" i="38"/>
  <c r="Z16" i="40"/>
  <c r="N25" i="41"/>
  <c r="N33" i="41"/>
  <c r="N29" i="44"/>
  <c r="N34" i="5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T18" i="35"/>
  <c r="V15" i="35"/>
  <c r="V20" i="35"/>
  <c r="V18" i="35"/>
  <c r="V16" i="35"/>
  <c r="L15" i="35"/>
  <c r="Z25" i="35"/>
  <c r="Z29" i="35"/>
  <c r="Z33" i="35"/>
  <c r="Z34" i="35"/>
  <c r="X20" i="37"/>
  <c r="Z22" i="37"/>
  <c r="Z15" i="38"/>
  <c r="N20" i="38"/>
  <c r="Z21" i="38"/>
  <c r="L24" i="38"/>
  <c r="X25" i="38"/>
  <c r="Z12" i="40"/>
  <c r="V36" i="40"/>
  <c r="V34" i="40"/>
  <c r="V33" i="40"/>
  <c r="V31" i="40"/>
  <c r="V29" i="40"/>
  <c r="V27" i="40"/>
  <c r="V25" i="40"/>
  <c r="V21" i="40"/>
  <c r="V20" i="40"/>
  <c r="V18" i="40"/>
  <c r="V16" i="40"/>
  <c r="V22" i="40"/>
  <c r="T18" i="40"/>
  <c r="V24" i="40"/>
  <c r="V15" i="40"/>
  <c r="Z25" i="40"/>
  <c r="X20" i="41"/>
  <c r="L22" i="46"/>
  <c r="N15" i="34"/>
  <c r="L21" i="34"/>
  <c r="L16" i="35"/>
  <c r="L20" i="35"/>
  <c r="N16" i="37"/>
  <c r="Z21" i="37"/>
  <c r="Z25" i="38"/>
  <c r="N29" i="38"/>
  <c r="N34" i="38"/>
  <c r="X13" i="41"/>
  <c r="X15" i="43"/>
  <c r="X33" i="46"/>
  <c r="N16" i="34"/>
  <c r="N20" i="34"/>
  <c r="L22" i="34"/>
  <c r="L24" i="34"/>
  <c r="N15" i="35"/>
  <c r="L21" i="35"/>
  <c r="R29" i="37"/>
  <c r="R18" i="37"/>
  <c r="X12" i="37"/>
  <c r="R31" i="37"/>
  <c r="P18" i="37"/>
  <c r="R20" i="37"/>
  <c r="R33" i="37"/>
  <c r="R21" i="37"/>
  <c r="R22" i="37"/>
  <c r="R34" i="37"/>
  <c r="R24" i="37"/>
  <c r="R36" i="37"/>
  <c r="R25" i="37"/>
  <c r="R27" i="37"/>
  <c r="R15" i="37"/>
  <c r="R16" i="37"/>
  <c r="N15" i="37"/>
  <c r="Z20" i="37"/>
  <c r="L25" i="37"/>
  <c r="X13" i="38"/>
  <c r="X13" i="40"/>
  <c r="X15" i="41"/>
  <c r="N34" i="41"/>
  <c r="X13" i="44"/>
  <c r="L13" i="34"/>
  <c r="N21" i="34"/>
  <c r="L25" i="34"/>
  <c r="L29" i="34"/>
  <c r="L33" i="34"/>
  <c r="L34" i="34"/>
  <c r="N16" i="35"/>
  <c r="N20" i="35"/>
  <c r="L22" i="35"/>
  <c r="L24" i="35"/>
  <c r="L24" i="37"/>
  <c r="X29" i="37"/>
  <c r="F36" i="38"/>
  <c r="F34" i="38"/>
  <c r="F33" i="38"/>
  <c r="F31" i="38"/>
  <c r="F29" i="38"/>
  <c r="F27" i="38"/>
  <c r="F25" i="38"/>
  <c r="F24" i="38"/>
  <c r="F22" i="38"/>
  <c r="F18" i="38"/>
  <c r="D18" i="38"/>
  <c r="F20" i="38"/>
  <c r="F21" i="38"/>
  <c r="F15" i="38"/>
  <c r="L12" i="38"/>
  <c r="F16" i="38"/>
  <c r="Z13" i="38"/>
  <c r="Z20" i="38"/>
  <c r="X24" i="38"/>
  <c r="Z13" i="40"/>
  <c r="X22" i="40"/>
  <c r="Z20" i="47"/>
  <c r="N13" i="34"/>
  <c r="N22" i="34"/>
  <c r="N24" i="34"/>
  <c r="L13" i="35"/>
  <c r="N21" i="35"/>
  <c r="L25" i="35"/>
  <c r="L29" i="35"/>
  <c r="L33" i="35"/>
  <c r="L34" i="35"/>
  <c r="X16" i="37"/>
  <c r="L34" i="37"/>
  <c r="J36" i="38"/>
  <c r="J34" i="38"/>
  <c r="J33" i="38"/>
  <c r="J31" i="38"/>
  <c r="J29" i="38"/>
  <c r="J27" i="38"/>
  <c r="J25" i="38"/>
  <c r="J21" i="38"/>
  <c r="J20" i="38"/>
  <c r="J18" i="38"/>
  <c r="H18" i="38"/>
  <c r="J24" i="38"/>
  <c r="J15" i="38"/>
  <c r="N12" i="38"/>
  <c r="J22" i="38"/>
  <c r="J16" i="38"/>
  <c r="L16" i="38"/>
  <c r="L22" i="38"/>
  <c r="X29" i="38"/>
  <c r="X34" i="38"/>
  <c r="L15" i="40"/>
  <c r="Z15" i="41"/>
  <c r="X21" i="41"/>
  <c r="N21" i="43"/>
  <c r="Z21" i="47"/>
  <c r="V24" i="37"/>
  <c r="V22" i="37"/>
  <c r="T18" i="37"/>
  <c r="Z12" i="37"/>
  <c r="V31" i="37"/>
  <c r="V20" i="37"/>
  <c r="V21" i="37"/>
  <c r="V33" i="37"/>
  <c r="V34" i="37"/>
  <c r="V36" i="37"/>
  <c r="V25" i="37"/>
  <c r="V15" i="37"/>
  <c r="V29" i="37"/>
  <c r="V18" i="37"/>
  <c r="V27" i="37"/>
  <c r="V16" i="37"/>
  <c r="L15" i="37"/>
  <c r="Z25" i="37"/>
  <c r="Z29" i="37"/>
  <c r="Z33" i="37"/>
  <c r="Z34" i="37"/>
  <c r="P18" i="38"/>
  <c r="R36" i="38"/>
  <c r="R34" i="38"/>
  <c r="R33" i="38"/>
  <c r="R31" i="38"/>
  <c r="R29" i="38"/>
  <c r="R27" i="38"/>
  <c r="R25" i="38"/>
  <c r="R24" i="38"/>
  <c r="R20" i="38"/>
  <c r="R21" i="38"/>
  <c r="R15" i="38"/>
  <c r="R16" i="38"/>
  <c r="R22" i="38"/>
  <c r="X12" i="38"/>
  <c r="R18" i="38"/>
  <c r="Z22" i="38"/>
  <c r="Z24" i="38"/>
  <c r="Z21" i="40"/>
  <c r="X25" i="40"/>
  <c r="X29" i="40"/>
  <c r="X33" i="40"/>
  <c r="X34" i="40"/>
  <c r="Z13" i="41"/>
  <c r="Z16" i="41"/>
  <c r="Z20" i="41"/>
  <c r="X22" i="41"/>
  <c r="X24" i="41"/>
  <c r="D18" i="43"/>
  <c r="F15" i="43"/>
  <c r="F36" i="43"/>
  <c r="F34" i="43"/>
  <c r="F33" i="43"/>
  <c r="F31" i="43"/>
  <c r="F29" i="43"/>
  <c r="F27" i="43"/>
  <c r="F25" i="43"/>
  <c r="F21" i="43"/>
  <c r="F18" i="43"/>
  <c r="F22" i="43"/>
  <c r="F20" i="43"/>
  <c r="F16" i="43"/>
  <c r="L12" i="43"/>
  <c r="F24" i="43"/>
  <c r="L33" i="43"/>
  <c r="Z21" i="44"/>
  <c r="N22" i="46"/>
  <c r="X12" i="40"/>
  <c r="R36" i="40"/>
  <c r="R34" i="40"/>
  <c r="R33" i="40"/>
  <c r="R31" i="40"/>
  <c r="R29" i="40"/>
  <c r="R27" i="40"/>
  <c r="R25" i="40"/>
  <c r="R24" i="40"/>
  <c r="R22" i="40"/>
  <c r="R18" i="40"/>
  <c r="P18" i="40"/>
  <c r="R21" i="40"/>
  <c r="R16" i="40"/>
  <c r="R20" i="40"/>
  <c r="R15" i="40"/>
  <c r="Z22" i="40"/>
  <c r="Z24" i="40"/>
  <c r="Z21" i="41"/>
  <c r="X25" i="41"/>
  <c r="X29" i="41"/>
  <c r="X33" i="41"/>
  <c r="X34" i="41"/>
  <c r="X24" i="43"/>
  <c r="N25" i="44"/>
  <c r="X29" i="44"/>
  <c r="N34" i="44"/>
  <c r="N24" i="46"/>
  <c r="L24" i="47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15" i="41"/>
  <c r="R20" i="41"/>
  <c r="R18" i="41"/>
  <c r="P18" i="41"/>
  <c r="R16" i="41"/>
  <c r="Z22" i="41"/>
  <c r="Z24" i="41"/>
  <c r="X12" i="43"/>
  <c r="R24" i="43"/>
  <c r="R22" i="43"/>
  <c r="R20" i="43"/>
  <c r="R18" i="43"/>
  <c r="R16" i="43"/>
  <c r="R34" i="43"/>
  <c r="R25" i="43"/>
  <c r="R29" i="43"/>
  <c r="R33" i="43"/>
  <c r="R36" i="43"/>
  <c r="R21" i="43"/>
  <c r="R27" i="43"/>
  <c r="P18" i="43"/>
  <c r="R15" i="43"/>
  <c r="R31" i="43"/>
  <c r="Z24" i="43"/>
  <c r="L29" i="43"/>
  <c r="X15" i="44"/>
  <c r="L22" i="44"/>
  <c r="N13" i="46"/>
  <c r="N16" i="49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L15" i="41"/>
  <c r="Z25" i="41"/>
  <c r="Z29" i="41"/>
  <c r="Z33" i="41"/>
  <c r="Z34" i="41"/>
  <c r="Z15" i="44"/>
  <c r="L20" i="44"/>
  <c r="X25" i="44"/>
  <c r="N21" i="49"/>
  <c r="N15" i="40"/>
  <c r="L21" i="40"/>
  <c r="L16" i="41"/>
  <c r="L20" i="41"/>
  <c r="L13" i="43"/>
  <c r="L25" i="43"/>
  <c r="N20" i="44"/>
  <c r="Z15" i="46"/>
  <c r="X25" i="46"/>
  <c r="Z13" i="47"/>
  <c r="L22" i="49"/>
  <c r="N21" i="38"/>
  <c r="L25" i="38"/>
  <c r="L29" i="38"/>
  <c r="L33" i="38"/>
  <c r="L34" i="38"/>
  <c r="N16" i="40"/>
  <c r="N20" i="40"/>
  <c r="L22" i="40"/>
  <c r="L24" i="40"/>
  <c r="N15" i="41"/>
  <c r="L21" i="41"/>
  <c r="L34" i="43"/>
  <c r="J36" i="44"/>
  <c r="J34" i="44"/>
  <c r="J33" i="44"/>
  <c r="J31" i="44"/>
  <c r="J29" i="44"/>
  <c r="J27" i="44"/>
  <c r="J25" i="44"/>
  <c r="J21" i="44"/>
  <c r="J20" i="44"/>
  <c r="J18" i="44"/>
  <c r="J16" i="44"/>
  <c r="J24" i="44"/>
  <c r="N12" i="44"/>
  <c r="J22" i="44"/>
  <c r="J15" i="44"/>
  <c r="H18" i="44"/>
  <c r="L16" i="44"/>
  <c r="X15" i="37"/>
  <c r="N25" i="37"/>
  <c r="N29" i="37"/>
  <c r="N33" i="37"/>
  <c r="N34" i="37"/>
  <c r="N13" i="38"/>
  <c r="N22" i="38"/>
  <c r="N24" i="38"/>
  <c r="L13" i="40"/>
  <c r="N21" i="40"/>
  <c r="L25" i="40"/>
  <c r="L29" i="40"/>
  <c r="L33" i="40"/>
  <c r="L34" i="40"/>
  <c r="N16" i="41"/>
  <c r="N20" i="41"/>
  <c r="L22" i="41"/>
  <c r="L24" i="41"/>
  <c r="X16" i="43"/>
  <c r="X20" i="43"/>
  <c r="N16" i="44"/>
  <c r="L29" i="47"/>
  <c r="X15" i="52"/>
  <c r="N13" i="40"/>
  <c r="N22" i="40"/>
  <c r="N24" i="40"/>
  <c r="L13" i="41"/>
  <c r="N21" i="41"/>
  <c r="L25" i="41"/>
  <c r="L29" i="41"/>
  <c r="L33" i="41"/>
  <c r="L34" i="41"/>
  <c r="Z13" i="43"/>
  <c r="Z16" i="43"/>
  <c r="Z20" i="43"/>
  <c r="X22" i="43"/>
  <c r="L24" i="44"/>
  <c r="L34" i="49"/>
  <c r="X16" i="38"/>
  <c r="X20" i="38"/>
  <c r="X15" i="40"/>
  <c r="N25" i="40"/>
  <c r="N29" i="40"/>
  <c r="N33" i="40"/>
  <c r="N34" i="40"/>
  <c r="N13" i="41"/>
  <c r="N22" i="41"/>
  <c r="N24" i="41"/>
  <c r="Z22" i="43"/>
  <c r="L20" i="46"/>
  <c r="N15" i="43"/>
  <c r="L21" i="43"/>
  <c r="N33" i="44"/>
  <c r="X20" i="47"/>
  <c r="L34" i="47"/>
  <c r="N25" i="52"/>
  <c r="N16" i="43"/>
  <c r="N20" i="43"/>
  <c r="L22" i="43"/>
  <c r="L24" i="43"/>
  <c r="N15" i="44"/>
  <c r="L21" i="44"/>
  <c r="L13" i="46"/>
  <c r="Z16" i="46"/>
  <c r="L21" i="46"/>
  <c r="X13" i="47"/>
  <c r="N34" i="47"/>
  <c r="X15" i="50"/>
  <c r="N34" i="50"/>
  <c r="N13" i="43"/>
  <c r="N22" i="43"/>
  <c r="N24" i="43"/>
  <c r="L13" i="44"/>
  <c r="N21" i="44"/>
  <c r="L25" i="44"/>
  <c r="L29" i="44"/>
  <c r="L33" i="44"/>
  <c r="L34" i="44"/>
  <c r="N21" i="46"/>
  <c r="X24" i="46"/>
  <c r="L29" i="46"/>
  <c r="D18" i="47"/>
  <c r="F15" i="47"/>
  <c r="F36" i="47"/>
  <c r="F34" i="47"/>
  <c r="F33" i="47"/>
  <c r="F31" i="47"/>
  <c r="F29" i="47"/>
  <c r="F27" i="47"/>
  <c r="F25" i="47"/>
  <c r="F18" i="47"/>
  <c r="F20" i="47"/>
  <c r="F21" i="47"/>
  <c r="L12" i="47"/>
  <c r="F22" i="47"/>
  <c r="F24" i="47"/>
  <c r="F16" i="47"/>
  <c r="N16" i="47"/>
  <c r="L22" i="47"/>
  <c r="Z25" i="47"/>
  <c r="N29" i="47"/>
  <c r="L29" i="49"/>
  <c r="N16" i="50"/>
  <c r="L22" i="50"/>
  <c r="X16" i="52"/>
  <c r="N25" i="43"/>
  <c r="N29" i="43"/>
  <c r="N33" i="43"/>
  <c r="N34" i="43"/>
  <c r="N13" i="44"/>
  <c r="N22" i="44"/>
  <c r="N24" i="44"/>
  <c r="X13" i="46"/>
  <c r="N20" i="46"/>
  <c r="J21" i="47"/>
  <c r="J20" i="47"/>
  <c r="J36" i="47"/>
  <c r="J27" i="47"/>
  <c r="J33" i="47"/>
  <c r="J15" i="47"/>
  <c r="N12" i="47"/>
  <c r="J22" i="47"/>
  <c r="J29" i="47"/>
  <c r="J16" i="47"/>
  <c r="J18" i="47"/>
  <c r="J31" i="47"/>
  <c r="H18" i="47"/>
  <c r="J25" i="47"/>
  <c r="J24" i="47"/>
  <c r="J34" i="47"/>
  <c r="L15" i="47"/>
  <c r="Z34" i="47"/>
  <c r="X16" i="49"/>
  <c r="N29" i="50"/>
  <c r="F24" i="46"/>
  <c r="F33" i="46"/>
  <c r="F25" i="46"/>
  <c r="F15" i="46"/>
  <c r="F34" i="46"/>
  <c r="F27" i="46"/>
  <c r="F16" i="46"/>
  <c r="L12" i="46"/>
  <c r="F18" i="46"/>
  <c r="F36" i="46"/>
  <c r="F29" i="46"/>
  <c r="D18" i="46"/>
  <c r="F20" i="46"/>
  <c r="F31" i="46"/>
  <c r="F22" i="46"/>
  <c r="F21" i="46"/>
  <c r="Z13" i="46"/>
  <c r="X22" i="46"/>
  <c r="Z24" i="46"/>
  <c r="N15" i="47"/>
  <c r="L21" i="47"/>
  <c r="X24" i="47"/>
  <c r="L33" i="47"/>
  <c r="L24" i="49"/>
  <c r="N12" i="43"/>
  <c r="J21" i="43"/>
  <c r="H18" i="43"/>
  <c r="J15" i="43"/>
  <c r="J31" i="43"/>
  <c r="J34" i="43"/>
  <c r="J25" i="43"/>
  <c r="J22" i="43"/>
  <c r="J20" i="43"/>
  <c r="J16" i="43"/>
  <c r="J29" i="43"/>
  <c r="J33" i="43"/>
  <c r="J18" i="43"/>
  <c r="J36" i="43"/>
  <c r="J27" i="43"/>
  <c r="J24" i="43"/>
  <c r="X13" i="43"/>
  <c r="Z15" i="43"/>
  <c r="X21" i="43"/>
  <c r="L12" i="44"/>
  <c r="F36" i="44"/>
  <c r="F34" i="44"/>
  <c r="F33" i="44"/>
  <c r="F31" i="44"/>
  <c r="F29" i="44"/>
  <c r="F27" i="44"/>
  <c r="F25" i="44"/>
  <c r="F24" i="44"/>
  <c r="F22" i="44"/>
  <c r="F20" i="44"/>
  <c r="F18" i="44"/>
  <c r="F16" i="44"/>
  <c r="F21" i="44"/>
  <c r="F15" i="44"/>
  <c r="D18" i="44"/>
  <c r="X16" i="44"/>
  <c r="X20" i="44"/>
  <c r="J24" i="46"/>
  <c r="J22" i="46"/>
  <c r="J33" i="46"/>
  <c r="J25" i="46"/>
  <c r="J15" i="46"/>
  <c r="J16" i="46"/>
  <c r="J34" i="46"/>
  <c r="J27" i="46"/>
  <c r="N12" i="46"/>
  <c r="J18" i="46"/>
  <c r="H18" i="46"/>
  <c r="J36" i="46"/>
  <c r="J29" i="46"/>
  <c r="J20" i="46"/>
  <c r="J21" i="46"/>
  <c r="J31" i="46"/>
  <c r="L16" i="46"/>
  <c r="X21" i="46"/>
  <c r="L34" i="46"/>
  <c r="X16" i="47"/>
  <c r="N33" i="47"/>
  <c r="L24" i="50"/>
  <c r="N29" i="52"/>
  <c r="N13" i="53"/>
  <c r="X20" i="46"/>
  <c r="Z22" i="46"/>
  <c r="V36" i="47"/>
  <c r="V34" i="47"/>
  <c r="V33" i="47"/>
  <c r="V31" i="47"/>
  <c r="V29" i="47"/>
  <c r="V27" i="47"/>
  <c r="V25" i="47"/>
  <c r="V21" i="47"/>
  <c r="V15" i="47"/>
  <c r="V22" i="47"/>
  <c r="V16" i="47"/>
  <c r="Z12" i="47"/>
  <c r="V24" i="47"/>
  <c r="V18" i="47"/>
  <c r="T18" i="47"/>
  <c r="V20" i="47"/>
  <c r="N21" i="47"/>
  <c r="Z29" i="47"/>
  <c r="F20" i="49"/>
  <c r="F18" i="49"/>
  <c r="F16" i="49"/>
  <c r="D18" i="49"/>
  <c r="F15" i="49"/>
  <c r="L12" i="49"/>
  <c r="F36" i="49"/>
  <c r="F34" i="49"/>
  <c r="F33" i="49"/>
  <c r="F31" i="49"/>
  <c r="F29" i="49"/>
  <c r="F27" i="49"/>
  <c r="F25" i="49"/>
  <c r="F21" i="49"/>
  <c r="F24" i="49"/>
  <c r="F22" i="49"/>
  <c r="X20" i="52"/>
  <c r="Z21" i="43"/>
  <c r="X25" i="43"/>
  <c r="X29" i="43"/>
  <c r="X33" i="43"/>
  <c r="X34" i="43"/>
  <c r="Z13" i="44"/>
  <c r="Z16" i="44"/>
  <c r="Z20" i="44"/>
  <c r="X22" i="44"/>
  <c r="X24" i="44"/>
  <c r="N16" i="46"/>
  <c r="Z21" i="46"/>
  <c r="X29" i="46"/>
  <c r="X15" i="47"/>
  <c r="Z16" i="47"/>
  <c r="X22" i="47"/>
  <c r="N20" i="49"/>
  <c r="X33" i="44"/>
  <c r="X34" i="44"/>
  <c r="R18" i="46"/>
  <c r="X12" i="46"/>
  <c r="R36" i="46"/>
  <c r="R29" i="46"/>
  <c r="P18" i="46"/>
  <c r="R20" i="46"/>
  <c r="R21" i="46"/>
  <c r="R31" i="46"/>
  <c r="R22" i="46"/>
  <c r="R24" i="46"/>
  <c r="R33" i="46"/>
  <c r="R25" i="46"/>
  <c r="R15" i="46"/>
  <c r="R27" i="46"/>
  <c r="R16" i="46"/>
  <c r="R34" i="46"/>
  <c r="N15" i="46"/>
  <c r="Z20" i="46"/>
  <c r="L25" i="46"/>
  <c r="L33" i="46"/>
  <c r="N20" i="47"/>
  <c r="Z33" i="47"/>
  <c r="L13" i="49"/>
  <c r="L25" i="49"/>
  <c r="L33" i="49"/>
  <c r="N20" i="50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D18" i="52"/>
  <c r="F15" i="52"/>
  <c r="L12" i="52"/>
  <c r="X15" i="53"/>
  <c r="X24" i="53"/>
  <c r="V36" i="43"/>
  <c r="V34" i="43"/>
  <c r="V33" i="43"/>
  <c r="V31" i="43"/>
  <c r="V29" i="43"/>
  <c r="V27" i="43"/>
  <c r="V25" i="43"/>
  <c r="V24" i="43"/>
  <c r="V22" i="43"/>
  <c r="V20" i="43"/>
  <c r="V18" i="43"/>
  <c r="V16" i="43"/>
  <c r="Z12" i="43"/>
  <c r="V21" i="43"/>
  <c r="T18" i="43"/>
  <c r="V15" i="43"/>
  <c r="L15" i="43"/>
  <c r="Z25" i="43"/>
  <c r="Z29" i="43"/>
  <c r="Z33" i="43"/>
  <c r="Z34" i="43"/>
  <c r="R36" i="44"/>
  <c r="R34" i="44"/>
  <c r="R33" i="44"/>
  <c r="R31" i="44"/>
  <c r="R29" i="44"/>
  <c r="R27" i="44"/>
  <c r="R25" i="44"/>
  <c r="R21" i="44"/>
  <c r="P18" i="44"/>
  <c r="R15" i="44"/>
  <c r="R16" i="44"/>
  <c r="X12" i="44"/>
  <c r="R20" i="44"/>
  <c r="R22" i="44"/>
  <c r="R18" i="44"/>
  <c r="R24" i="44"/>
  <c r="Z22" i="44"/>
  <c r="Z24" i="44"/>
  <c r="L24" i="46"/>
  <c r="L13" i="47"/>
  <c r="Z15" i="47"/>
  <c r="X21" i="47"/>
  <c r="L25" i="47"/>
  <c r="X20" i="49"/>
  <c r="N25" i="50"/>
  <c r="N33" i="50"/>
  <c r="N33" i="52"/>
  <c r="X25" i="53"/>
  <c r="L16" i="43"/>
  <c r="L20" i="43"/>
  <c r="V24" i="44"/>
  <c r="V22" i="44"/>
  <c r="V21" i="44"/>
  <c r="T18" i="44"/>
  <c r="V15" i="44"/>
  <c r="Z12" i="44"/>
  <c r="V27" i="44"/>
  <c r="V16" i="44"/>
  <c r="V36" i="44"/>
  <c r="V31" i="44"/>
  <c r="V20" i="44"/>
  <c r="V25" i="44"/>
  <c r="V34" i="44"/>
  <c r="V29" i="44"/>
  <c r="V18" i="44"/>
  <c r="V33" i="44"/>
  <c r="L15" i="44"/>
  <c r="Z25" i="44"/>
  <c r="Z29" i="44"/>
  <c r="Z33" i="44"/>
  <c r="Z34" i="44"/>
  <c r="X16" i="46"/>
  <c r="X34" i="46"/>
  <c r="N25" i="47"/>
  <c r="N15" i="50"/>
  <c r="L21" i="50"/>
  <c r="X15" i="46"/>
  <c r="N25" i="46"/>
  <c r="N29" i="46"/>
  <c r="N33" i="46"/>
  <c r="N34" i="46"/>
  <c r="N13" i="47"/>
  <c r="N22" i="47"/>
  <c r="N24" i="47"/>
  <c r="N13" i="49"/>
  <c r="N22" i="49"/>
  <c r="N24" i="49"/>
  <c r="L13" i="50"/>
  <c r="N21" i="50"/>
  <c r="L25" i="50"/>
  <c r="L29" i="50"/>
  <c r="L33" i="50"/>
  <c r="L34" i="50"/>
  <c r="J21" i="52"/>
  <c r="J20" i="52"/>
  <c r="J18" i="52"/>
  <c r="J16" i="52"/>
  <c r="H18" i="52"/>
  <c r="J15" i="52"/>
  <c r="N12" i="52"/>
  <c r="J33" i="52"/>
  <c r="J22" i="52"/>
  <c r="J31" i="52"/>
  <c r="J29" i="52"/>
  <c r="J27" i="52"/>
  <c r="J36" i="52"/>
  <c r="J25" i="52"/>
  <c r="J34" i="52"/>
  <c r="J24" i="52"/>
  <c r="X13" i="52"/>
  <c r="Z15" i="52"/>
  <c r="X21" i="52"/>
  <c r="F34" i="53"/>
  <c r="F22" i="53"/>
  <c r="F21" i="53"/>
  <c r="F20" i="53"/>
  <c r="F18" i="53"/>
  <c r="F16" i="53"/>
  <c r="F36" i="53"/>
  <c r="F25" i="53"/>
  <c r="F24" i="53"/>
  <c r="D18" i="53"/>
  <c r="F15" i="53"/>
  <c r="F27" i="53"/>
  <c r="F29" i="53"/>
  <c r="L12" i="53"/>
  <c r="F31" i="53"/>
  <c r="F33" i="53"/>
  <c r="X16" i="53"/>
  <c r="X20" i="53"/>
  <c r="X21" i="53"/>
  <c r="X22" i="53"/>
  <c r="Z25" i="53"/>
  <c r="X34" i="53"/>
  <c r="X15" i="49"/>
  <c r="N25" i="49"/>
  <c r="N29" i="49"/>
  <c r="N33" i="49"/>
  <c r="N34" i="49"/>
  <c r="N13" i="50"/>
  <c r="N22" i="50"/>
  <c r="N24" i="50"/>
  <c r="Z13" i="52"/>
  <c r="Z16" i="52"/>
  <c r="Z20" i="52"/>
  <c r="X22" i="52"/>
  <c r="X24" i="52"/>
  <c r="J34" i="53"/>
  <c r="J22" i="53"/>
  <c r="J21" i="53"/>
  <c r="J20" i="53"/>
  <c r="J18" i="53"/>
  <c r="J16" i="53"/>
  <c r="J24" i="53"/>
  <c r="H18" i="53"/>
  <c r="J15" i="53"/>
  <c r="J36" i="53"/>
  <c r="J25" i="53"/>
  <c r="J27" i="53"/>
  <c r="J29" i="53"/>
  <c r="N12" i="53"/>
  <c r="J31" i="53"/>
  <c r="J33" i="53"/>
  <c r="X13" i="53"/>
  <c r="Z15" i="53"/>
  <c r="Z24" i="53"/>
  <c r="L29" i="53"/>
  <c r="Z21" i="52"/>
  <c r="X25" i="52"/>
  <c r="X29" i="52"/>
  <c r="X33" i="52"/>
  <c r="X34" i="52"/>
  <c r="Z13" i="53"/>
  <c r="Z16" i="53"/>
  <c r="Z20" i="53"/>
  <c r="Z21" i="53"/>
  <c r="Z22" i="53"/>
  <c r="X33" i="53"/>
  <c r="Z34" i="53"/>
  <c r="N12" i="49"/>
  <c r="J24" i="49"/>
  <c r="J22" i="49"/>
  <c r="J21" i="49"/>
  <c r="J15" i="49"/>
  <c r="J33" i="49"/>
  <c r="J25" i="49"/>
  <c r="J20" i="49"/>
  <c r="J31" i="49"/>
  <c r="J18" i="49"/>
  <c r="H18" i="49"/>
  <c r="J36" i="49"/>
  <c r="J29" i="49"/>
  <c r="J16" i="49"/>
  <c r="J34" i="49"/>
  <c r="J27" i="49"/>
  <c r="X13" i="49"/>
  <c r="Z15" i="49"/>
  <c r="X21" i="49"/>
  <c r="D18" i="50"/>
  <c r="F15" i="50"/>
  <c r="L12" i="50"/>
  <c r="F36" i="50"/>
  <c r="F34" i="50"/>
  <c r="F33" i="50"/>
  <c r="F31" i="50"/>
  <c r="F29" i="50"/>
  <c r="F27" i="50"/>
  <c r="F25" i="50"/>
  <c r="F24" i="50"/>
  <c r="F22" i="50"/>
  <c r="F20" i="50"/>
  <c r="F18" i="50"/>
  <c r="F21" i="50"/>
  <c r="F16" i="50"/>
  <c r="X16" i="50"/>
  <c r="X20" i="50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1" i="50"/>
  <c r="J20" i="50"/>
  <c r="J18" i="50"/>
  <c r="J16" i="50"/>
  <c r="J24" i="50"/>
  <c r="H18" i="50"/>
  <c r="J22" i="50"/>
  <c r="J15" i="50"/>
  <c r="X13" i="50"/>
  <c r="Z15" i="50"/>
  <c r="X21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R27" i="53"/>
  <c r="R29" i="53"/>
  <c r="X12" i="53"/>
  <c r="R31" i="53"/>
  <c r="R33" i="53"/>
  <c r="R34" i="53"/>
  <c r="R22" i="53"/>
  <c r="R21" i="53"/>
  <c r="R20" i="53"/>
  <c r="R18" i="53"/>
  <c r="R16" i="53"/>
  <c r="R24" i="53"/>
  <c r="P18" i="53"/>
  <c r="R15" i="53"/>
  <c r="R25" i="53"/>
  <c r="R36" i="53"/>
  <c r="Z33" i="53"/>
  <c r="X25" i="47"/>
  <c r="X29" i="47"/>
  <c r="X33" i="47"/>
  <c r="X34" i="47"/>
  <c r="Z21" i="49"/>
  <c r="X25" i="49"/>
  <c r="X29" i="49"/>
  <c r="X33" i="49"/>
  <c r="X34" i="49"/>
  <c r="Z13" i="50"/>
  <c r="Z16" i="50"/>
  <c r="Z20" i="50"/>
  <c r="X22" i="50"/>
  <c r="X24" i="50"/>
  <c r="L16" i="52"/>
  <c r="L20" i="52"/>
  <c r="V36" i="53"/>
  <c r="V34" i="53"/>
  <c r="V33" i="53"/>
  <c r="V31" i="53"/>
  <c r="V29" i="53"/>
  <c r="V27" i="53"/>
  <c r="V25" i="53"/>
  <c r="Z12" i="53"/>
  <c r="V22" i="53"/>
  <c r="V21" i="53"/>
  <c r="V20" i="53"/>
  <c r="V18" i="53"/>
  <c r="V16" i="53"/>
  <c r="V24" i="53"/>
  <c r="T18" i="53"/>
  <c r="V15" i="53"/>
  <c r="L15" i="53"/>
  <c r="L24" i="53"/>
  <c r="L25" i="53"/>
  <c r="V24" i="46"/>
  <c r="V22" i="46"/>
  <c r="T18" i="46"/>
  <c r="Z12" i="46"/>
  <c r="V36" i="46"/>
  <c r="V29" i="46"/>
  <c r="V20" i="46"/>
  <c r="V21" i="46"/>
  <c r="V31" i="46"/>
  <c r="V33" i="46"/>
  <c r="V25" i="46"/>
  <c r="V15" i="46"/>
  <c r="V34" i="46"/>
  <c r="V27" i="46"/>
  <c r="V18" i="46"/>
  <c r="V16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1" i="47"/>
  <c r="R22" i="47"/>
  <c r="R15" i="47"/>
  <c r="R16" i="47"/>
  <c r="R24" i="47"/>
  <c r="R18" i="47"/>
  <c r="P18" i="47"/>
  <c r="R20" i="47"/>
  <c r="Z22" i="47"/>
  <c r="Z24" i="47"/>
  <c r="X12" i="49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Z22" i="49"/>
  <c r="Z24" i="49"/>
  <c r="Z21" i="50"/>
  <c r="X25" i="50"/>
  <c r="X29" i="50"/>
  <c r="X33" i="50"/>
  <c r="X34" i="50"/>
  <c r="N15" i="52"/>
  <c r="L21" i="52"/>
  <c r="L16" i="53"/>
  <c r="L20" i="53"/>
  <c r="L21" i="53"/>
  <c r="L22" i="53"/>
  <c r="X29" i="53"/>
  <c r="Z12" i="49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P18" i="50"/>
  <c r="R15" i="50"/>
  <c r="Z22" i="50"/>
  <c r="Z24" i="50"/>
  <c r="N16" i="52"/>
  <c r="N20" i="52"/>
  <c r="L22" i="52"/>
  <c r="L24" i="52"/>
  <c r="N15" i="53"/>
  <c r="N24" i="53"/>
  <c r="L34" i="53"/>
  <c r="L16" i="47"/>
  <c r="L20" i="47"/>
  <c r="L16" i="49"/>
  <c r="L20" i="49"/>
  <c r="V36" i="50"/>
  <c r="V34" i="50"/>
  <c r="V33" i="50"/>
  <c r="V31" i="50"/>
  <c r="V29" i="50"/>
  <c r="V27" i="50"/>
  <c r="V25" i="50"/>
  <c r="V24" i="50"/>
  <c r="V22" i="50"/>
  <c r="V21" i="50"/>
  <c r="V20" i="50"/>
  <c r="V18" i="50"/>
  <c r="V16" i="50"/>
  <c r="T18" i="50"/>
  <c r="V15" i="50"/>
  <c r="Z12" i="50"/>
  <c r="L15" i="50"/>
  <c r="Z25" i="50"/>
  <c r="Z29" i="50"/>
  <c r="Z33" i="50"/>
  <c r="Z34" i="50"/>
  <c r="L13" i="52"/>
  <c r="N21" i="52"/>
  <c r="L25" i="52"/>
  <c r="L29" i="52"/>
  <c r="L33" i="52"/>
  <c r="L34" i="52"/>
  <c r="N16" i="53"/>
  <c r="N20" i="53"/>
  <c r="N21" i="53"/>
  <c r="N22" i="53"/>
  <c r="Z29" i="53"/>
  <c r="N15" i="49"/>
  <c r="L21" i="49"/>
  <c r="L16" i="50"/>
  <c r="L20" i="50"/>
  <c r="N13" i="52"/>
  <c r="N22" i="52"/>
  <c r="N24" i="52"/>
  <c r="L13" i="53"/>
  <c r="L33" i="53"/>
  <c r="N25" i="53"/>
  <c r="N29" i="53"/>
  <c r="N33" i="53"/>
  <c r="N34" i="53"/>
  <c r="Z13" i="111"/>
  <c r="Z16" i="111"/>
  <c r="N22" i="113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N24" i="113"/>
  <c r="Z20" i="111"/>
  <c r="X22" i="111"/>
  <c r="X16" i="112"/>
  <c r="X24" i="111"/>
  <c r="X20" i="112"/>
  <c r="N13" i="113"/>
  <c r="Z21" i="111"/>
  <c r="X25" i="111"/>
  <c r="X29" i="111"/>
  <c r="X33" i="111"/>
  <c r="X34" i="111"/>
  <c r="J24" i="112"/>
  <c r="J22" i="112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X13" i="112"/>
  <c r="Z15" i="112"/>
  <c r="X21" i="112"/>
  <c r="X15" i="113"/>
  <c r="N25" i="113"/>
  <c r="N29" i="113"/>
  <c r="N33" i="113"/>
  <c r="N34" i="113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Z22" i="111"/>
  <c r="Z24" i="111"/>
  <c r="Z13" i="112"/>
  <c r="Z16" i="112"/>
  <c r="Z20" i="112"/>
  <c r="X22" i="112"/>
  <c r="X24" i="112"/>
  <c r="F24" i="113"/>
  <c r="F22" i="113"/>
  <c r="F21" i="113"/>
  <c r="F20" i="113"/>
  <c r="F18" i="113"/>
  <c r="F16" i="113"/>
  <c r="D18" i="113"/>
  <c r="F15" i="113"/>
  <c r="L12" i="113"/>
  <c r="F36" i="113"/>
  <c r="F34" i="113"/>
  <c r="F33" i="113"/>
  <c r="F31" i="113"/>
  <c r="F29" i="113"/>
  <c r="F27" i="113"/>
  <c r="F25" i="113"/>
  <c r="X16" i="113"/>
  <c r="X20" i="113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J20" i="113"/>
  <c r="J18" i="113"/>
  <c r="J16" i="113"/>
  <c r="H18" i="113"/>
  <c r="J15" i="113"/>
  <c r="N12" i="113"/>
  <c r="J36" i="113"/>
  <c r="J34" i="113"/>
  <c r="J33" i="113"/>
  <c r="J31" i="113"/>
  <c r="J29" i="113"/>
  <c r="J27" i="113"/>
  <c r="J25" i="113"/>
  <c r="J24" i="113"/>
  <c r="J22" i="113"/>
  <c r="J21" i="113"/>
  <c r="X13" i="113"/>
  <c r="Z15" i="113"/>
  <c r="X21" i="113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P18" i="113"/>
  <c r="R15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X236" i="3"/>
  <c r="Z236" i="3" s="1"/>
  <c r="J302" i="3"/>
  <c r="Z137" i="3"/>
  <c r="L213" i="3"/>
  <c r="N213" i="3" s="1"/>
  <c r="N243" i="3"/>
  <c r="L259" i="3"/>
  <c r="N259" i="3" s="1"/>
  <c r="V282" i="3"/>
  <c r="X330" i="3"/>
  <c r="Z330" i="3" s="1"/>
  <c r="F102" i="9"/>
  <c r="F100" i="9"/>
  <c r="F87" i="9"/>
  <c r="F75" i="9"/>
  <c r="F74" i="9"/>
  <c r="F51" i="9"/>
  <c r="F104" i="9"/>
  <c r="F70" i="9"/>
  <c r="F69" i="9"/>
  <c r="F62" i="9"/>
  <c r="F61" i="9"/>
  <c r="F42" i="9"/>
  <c r="F38" i="9"/>
  <c r="F34" i="9"/>
  <c r="F93" i="9"/>
  <c r="F81" i="9"/>
  <c r="F53" i="9"/>
  <c r="F52" i="9"/>
  <c r="F29" i="9"/>
  <c r="F25" i="9"/>
  <c r="F21" i="9"/>
  <c r="F20" i="9"/>
  <c r="F88" i="9"/>
  <c r="F76" i="9"/>
  <c r="F64" i="9"/>
  <c r="F63" i="9"/>
  <c r="F44" i="9"/>
  <c r="F43" i="9"/>
  <c r="F19" i="9"/>
  <c r="F17" i="9"/>
  <c r="F15" i="9"/>
  <c r="F109" i="9"/>
  <c r="F106" i="9"/>
  <c r="F95" i="9"/>
  <c r="F94" i="9"/>
  <c r="F83" i="9"/>
  <c r="F82" i="9"/>
  <c r="F71" i="9"/>
  <c r="F39" i="9"/>
  <c r="F35" i="9"/>
  <c r="D17" i="9"/>
  <c r="F66" i="9"/>
  <c r="F65" i="9"/>
  <c r="F54" i="9"/>
  <c r="F46" i="9"/>
  <c r="F45" i="9"/>
  <c r="F30" i="9"/>
  <c r="F26" i="9"/>
  <c r="F22" i="9"/>
  <c r="L12" i="9"/>
  <c r="F97" i="9"/>
  <c r="F96" i="9"/>
  <c r="F89" i="9"/>
  <c r="F77" i="9"/>
  <c r="F84" i="9"/>
  <c r="F72" i="9"/>
  <c r="F56" i="9"/>
  <c r="F55" i="9"/>
  <c r="F48" i="9"/>
  <c r="F47" i="9"/>
  <c r="F40" i="9"/>
  <c r="F36" i="9"/>
  <c r="F67" i="9"/>
  <c r="F31" i="9"/>
  <c r="F27" i="9"/>
  <c r="F23" i="9"/>
  <c r="F73" i="9"/>
  <c r="F41" i="9"/>
  <c r="F37" i="9"/>
  <c r="F33" i="9"/>
  <c r="F32" i="9"/>
  <c r="N20" i="9"/>
  <c r="N52" i="9"/>
  <c r="Z59" i="9"/>
  <c r="Z61" i="9"/>
  <c r="Z79" i="9"/>
  <c r="F86" i="9"/>
  <c r="N96" i="9"/>
  <c r="V202" i="12"/>
  <c r="J230" i="3"/>
  <c r="J208" i="3"/>
  <c r="J212" i="3"/>
  <c r="N239" i="3"/>
  <c r="N257" i="3"/>
  <c r="N261" i="3"/>
  <c r="J267" i="3"/>
  <c r="Z275" i="3"/>
  <c r="N296" i="3"/>
  <c r="J308" i="3"/>
  <c r="Z69" i="9"/>
  <c r="V317" i="3"/>
  <c r="V305" i="3"/>
  <c r="V297" i="3"/>
  <c r="V281" i="3"/>
  <c r="V277" i="3"/>
  <c r="V257" i="3"/>
  <c r="V233" i="3"/>
  <c r="V225" i="3"/>
  <c r="V201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318" i="3"/>
  <c r="V304" i="3"/>
  <c r="V292" i="3"/>
  <c r="V288" i="3"/>
  <c r="V272" i="3"/>
  <c r="V256" i="3"/>
  <c r="V248" i="3"/>
  <c r="V240" i="3"/>
  <c r="V220" i="3"/>
  <c r="V216" i="3"/>
  <c r="T199" i="3"/>
  <c r="V199" i="3" s="1"/>
  <c r="V319" i="3"/>
  <c r="V299" i="3"/>
  <c r="V283" i="3"/>
  <c r="V267" i="3"/>
  <c r="V259" i="3"/>
  <c r="V227" i="3"/>
  <c r="V211" i="3"/>
  <c r="V207" i="3"/>
  <c r="V203" i="3"/>
  <c r="V138" i="3"/>
  <c r="V320" i="3"/>
  <c r="V308" i="3"/>
  <c r="V306" i="3"/>
  <c r="V298" i="3"/>
  <c r="V278" i="3"/>
  <c r="V258" i="3"/>
  <c r="V250" i="3"/>
  <c r="V234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321" i="3"/>
  <c r="V309" i="3"/>
  <c r="V301" i="3"/>
  <c r="V293" i="3"/>
  <c r="V289" i="3"/>
  <c r="V285" i="3"/>
  <c r="V273" i="3"/>
  <c r="V261" i="3"/>
  <c r="V249" i="3"/>
  <c r="V241" i="3"/>
  <c r="V229" i="3"/>
  <c r="V221" i="3"/>
  <c r="V217" i="3"/>
  <c r="V213" i="3"/>
  <c r="V310" i="3"/>
  <c r="V300" i="3"/>
  <c r="V284" i="3"/>
  <c r="V268" i="3"/>
  <c r="V260" i="3"/>
  <c r="V236" i="3"/>
  <c r="V228" i="3"/>
  <c r="V312" i="3"/>
  <c r="V302" i="3"/>
  <c r="V294" i="3"/>
  <c r="V290" i="3"/>
  <c r="V286" i="3"/>
  <c r="V274" i="3"/>
  <c r="V270" i="3"/>
  <c r="V262" i="3"/>
  <c r="V242" i="3"/>
  <c r="V230" i="3"/>
  <c r="V222" i="3"/>
  <c r="V218" i="3"/>
  <c r="V214" i="3"/>
  <c r="V330" i="3"/>
  <c r="V329" i="3"/>
  <c r="V325" i="3"/>
  <c r="V313" i="3"/>
  <c r="V269" i="3"/>
  <c r="V265" i="3"/>
  <c r="V253" i="3"/>
  <c r="V245" i="3"/>
  <c r="V237" i="3"/>
  <c r="V209" i="3"/>
  <c r="V205" i="3"/>
  <c r="V315" i="3"/>
  <c r="V303" i="3"/>
  <c r="V295" i="3"/>
  <c r="V291" i="3"/>
  <c r="V287" i="3"/>
  <c r="V271" i="3"/>
  <c r="V255" i="3"/>
  <c r="V247" i="3"/>
  <c r="V239" i="3"/>
  <c r="V223" i="3"/>
  <c r="V219" i="3"/>
  <c r="V215" i="3"/>
  <c r="J199" i="3"/>
  <c r="L202" i="3"/>
  <c r="N202" i="3" s="1"/>
  <c r="J204" i="3"/>
  <c r="Z224" i="3"/>
  <c r="Z243" i="3"/>
  <c r="V251" i="3"/>
  <c r="J257" i="3"/>
  <c r="L261" i="3"/>
  <c r="N265" i="3"/>
  <c r="V275" i="3"/>
  <c r="J294" i="3"/>
  <c r="L299" i="3"/>
  <c r="N299" i="3" s="1"/>
  <c r="P308" i="3"/>
  <c r="X308" i="3" s="1"/>
  <c r="Z308" i="3" s="1"/>
  <c r="J321" i="3"/>
  <c r="N74" i="9"/>
  <c r="X82" i="9"/>
  <c r="Z94" i="9"/>
  <c r="X96" i="9"/>
  <c r="Z96" i="9" s="1"/>
  <c r="N47" i="9"/>
  <c r="Z82" i="9"/>
  <c r="V273" i="12"/>
  <c r="V271" i="12"/>
  <c r="V263" i="12"/>
  <c r="V247" i="12"/>
  <c r="V243" i="12"/>
  <c r="V223" i="12"/>
  <c r="V211" i="12"/>
  <c r="V203" i="12"/>
  <c r="V199" i="12"/>
  <c r="V286" i="12"/>
  <c r="V274" i="12"/>
  <c r="V266" i="12"/>
  <c r="V258" i="12"/>
  <c r="V254" i="12"/>
  <c r="V238" i="12"/>
  <c r="V275" i="12"/>
  <c r="V265" i="12"/>
  <c r="V249" i="12"/>
  <c r="V233" i="12"/>
  <c r="V225" i="12"/>
  <c r="V213" i="12"/>
  <c r="V205" i="12"/>
  <c r="V177" i="12"/>
  <c r="V173" i="12"/>
  <c r="V276" i="12"/>
  <c r="V244" i="12"/>
  <c r="V224" i="12"/>
  <c r="V200" i="12"/>
  <c r="V192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277" i="12"/>
  <c r="V267" i="12"/>
  <c r="V259" i="12"/>
  <c r="V255" i="12"/>
  <c r="V251" i="12"/>
  <c r="V239" i="12"/>
  <c r="V227" i="12"/>
  <c r="V215" i="12"/>
  <c r="V207" i="12"/>
  <c r="V191" i="12"/>
  <c r="V187" i="12"/>
  <c r="V183" i="12"/>
  <c r="V278" i="12"/>
  <c r="V250" i="12"/>
  <c r="V234" i="12"/>
  <c r="V226" i="12"/>
  <c r="V206" i="12"/>
  <c r="V194" i="12"/>
  <c r="V178" i="12"/>
  <c r="V174" i="12"/>
  <c r="V170" i="12"/>
  <c r="V280" i="12"/>
  <c r="V268" i="12"/>
  <c r="V260" i="12"/>
  <c r="V256" i="12"/>
  <c r="V252" i="12"/>
  <c r="V240" i="12"/>
  <c r="V236" i="12"/>
  <c r="V228" i="12"/>
  <c r="V216" i="12"/>
  <c r="V208" i="12"/>
  <c r="V188" i="12"/>
  <c r="V184" i="12"/>
  <c r="V281" i="12"/>
  <c r="V235" i="12"/>
  <c r="V231" i="12"/>
  <c r="V219" i="12"/>
  <c r="V195" i="12"/>
  <c r="V179" i="12"/>
  <c r="V175" i="12"/>
  <c r="V171" i="12"/>
  <c r="V269" i="12"/>
  <c r="V257" i="12"/>
  <c r="V253" i="12"/>
  <c r="V237" i="12"/>
  <c r="V221" i="12"/>
  <c r="V209" i="12"/>
  <c r="V197" i="12"/>
  <c r="V189" i="12"/>
  <c r="V185" i="12"/>
  <c r="V181" i="12"/>
  <c r="V229" i="12"/>
  <c r="V220" i="12"/>
  <c r="V162" i="12"/>
  <c r="V145" i="12"/>
  <c r="V131" i="12"/>
  <c r="V114" i="12"/>
  <c r="V218" i="12"/>
  <c r="V165" i="12"/>
  <c r="V151" i="12"/>
  <c r="V134" i="12"/>
  <c r="V117" i="12"/>
  <c r="V214" i="12"/>
  <c r="V190" i="12"/>
  <c r="V186" i="12"/>
  <c r="V182" i="12"/>
  <c r="V154" i="12"/>
  <c r="V137" i="12"/>
  <c r="V123" i="12"/>
  <c r="V279" i="12"/>
  <c r="V157" i="12"/>
  <c r="V143" i="12"/>
  <c r="V126" i="12"/>
  <c r="V282" i="12"/>
  <c r="V270" i="12"/>
  <c r="V245" i="12"/>
  <c r="V212" i="12"/>
  <c r="V210" i="12"/>
  <c r="V201" i="12"/>
  <c r="V180" i="12"/>
  <c r="V167" i="12"/>
  <c r="V163" i="12"/>
  <c r="V146" i="12"/>
  <c r="V129" i="12"/>
  <c r="V115" i="12"/>
  <c r="V264" i="12"/>
  <c r="V262" i="12"/>
  <c r="T167" i="12"/>
  <c r="V149" i="12"/>
  <c r="V135" i="12"/>
  <c r="V118" i="12"/>
  <c r="V242" i="12"/>
  <c r="V232" i="12"/>
  <c r="V217" i="12"/>
  <c r="V193" i="12"/>
  <c r="V176" i="12"/>
  <c r="V155" i="12"/>
  <c r="V138" i="12"/>
  <c r="V121" i="12"/>
  <c r="V230" i="12"/>
  <c r="V204" i="12"/>
  <c r="V169" i="12"/>
  <c r="V158" i="12"/>
  <c r="V141" i="12"/>
  <c r="V127" i="12"/>
  <c r="V172" i="12"/>
  <c r="V161" i="12"/>
  <c r="V147" i="12"/>
  <c r="V130" i="12"/>
  <c r="V113" i="12"/>
  <c r="V248" i="12"/>
  <c r="V246" i="12"/>
  <c r="V241" i="12"/>
  <c r="V196" i="12"/>
  <c r="V153" i="12"/>
  <c r="V139" i="12"/>
  <c r="V122" i="12"/>
  <c r="J274" i="3"/>
  <c r="L285" i="3"/>
  <c r="N285" i="3" s="1"/>
  <c r="J305" i="3"/>
  <c r="P22" i="6"/>
  <c r="X16" i="6"/>
  <c r="V198" i="12"/>
  <c r="J258" i="15"/>
  <c r="J250" i="15"/>
  <c r="J240" i="15"/>
  <c r="J234" i="15"/>
  <c r="J212" i="15"/>
  <c r="J190" i="15"/>
  <c r="J174" i="15"/>
  <c r="J170" i="15"/>
  <c r="J166" i="15"/>
  <c r="J164" i="15"/>
  <c r="J273" i="15"/>
  <c r="J251" i="15"/>
  <c r="J245" i="15"/>
  <c r="J241" i="15"/>
  <c r="J229" i="15"/>
  <c r="J213" i="15"/>
  <c r="J197" i="15"/>
  <c r="H162" i="15"/>
  <c r="J157" i="15"/>
  <c r="J153" i="15"/>
  <c r="J149" i="15"/>
  <c r="J145" i="15"/>
  <c r="J141" i="15"/>
  <c r="J137" i="15"/>
  <c r="J133" i="15"/>
  <c r="J129" i="15"/>
  <c r="J125" i="15"/>
  <c r="J121" i="15"/>
  <c r="J117" i="15"/>
  <c r="J113" i="15"/>
  <c r="J261" i="15"/>
  <c r="J260" i="15"/>
  <c r="J252" i="15"/>
  <c r="J224" i="15"/>
  <c r="J214" i="15"/>
  <c r="J204" i="15"/>
  <c r="J184" i="15"/>
  <c r="J180" i="15"/>
  <c r="J262" i="15"/>
  <c r="J253" i="15"/>
  <c r="J235" i="15"/>
  <c r="J215" i="15"/>
  <c r="J205" i="15"/>
  <c r="J191" i="15"/>
  <c r="J175" i="15"/>
  <c r="J171" i="15"/>
  <c r="J167" i="15"/>
  <c r="J109" i="15"/>
  <c r="J263" i="15"/>
  <c r="J254" i="15"/>
  <c r="J246" i="15"/>
  <c r="J242" i="15"/>
  <c r="J230" i="15"/>
  <c r="J216" i="15"/>
  <c r="J206" i="15"/>
  <c r="J198" i="15"/>
  <c r="J192" i="15"/>
  <c r="J176" i="15"/>
  <c r="J158" i="15"/>
  <c r="J154" i="15"/>
  <c r="J150" i="15"/>
  <c r="J146" i="15"/>
  <c r="J142" i="15"/>
  <c r="J138" i="15"/>
  <c r="J134" i="15"/>
  <c r="J130" i="15"/>
  <c r="J126" i="15"/>
  <c r="J122" i="15"/>
  <c r="J118" i="15"/>
  <c r="J114" i="15"/>
  <c r="J110" i="15"/>
  <c r="J264" i="15"/>
  <c r="J225" i="15"/>
  <c r="J217" i="15"/>
  <c r="J207" i="15"/>
  <c r="J199" i="15"/>
  <c r="J193" i="15"/>
  <c r="J185" i="15"/>
  <c r="J181" i="15"/>
  <c r="J177" i="15"/>
  <c r="J265" i="15"/>
  <c r="J236" i="15"/>
  <c r="J218" i="15"/>
  <c r="J208" i="15"/>
  <c r="J200" i="15"/>
  <c r="J194" i="15"/>
  <c r="J172" i="15"/>
  <c r="J168" i="15"/>
  <c r="J266" i="15"/>
  <c r="J255" i="15"/>
  <c r="J247" i="15"/>
  <c r="J243" i="15"/>
  <c r="J237" i="15"/>
  <c r="J231" i="15"/>
  <c r="J219" i="15"/>
  <c r="J209" i="15"/>
  <c r="J195" i="15"/>
  <c r="J159" i="15"/>
  <c r="J155" i="15"/>
  <c r="J151" i="15"/>
  <c r="J147" i="15"/>
  <c r="J143" i="15"/>
  <c r="J139" i="15"/>
  <c r="J135" i="15"/>
  <c r="J131" i="15"/>
  <c r="J127" i="15"/>
  <c r="J123" i="15"/>
  <c r="J119" i="15"/>
  <c r="J115" i="15"/>
  <c r="J111" i="15"/>
  <c r="J267" i="15"/>
  <c r="J248" i="15"/>
  <c r="J238" i="15"/>
  <c r="J232" i="15"/>
  <c r="J226" i="15"/>
  <c r="J220" i="15"/>
  <c r="J210" i="15"/>
  <c r="J186" i="15"/>
  <c r="J182" i="15"/>
  <c r="J178" i="15"/>
  <c r="J269" i="15"/>
  <c r="J256" i="15"/>
  <c r="J244" i="15"/>
  <c r="J228" i="15"/>
  <c r="J222" i="15"/>
  <c r="J202" i="15"/>
  <c r="J196" i="15"/>
  <c r="J188" i="15"/>
  <c r="J160" i="15"/>
  <c r="J156" i="15"/>
  <c r="J152" i="15"/>
  <c r="J148" i="15"/>
  <c r="J144" i="15"/>
  <c r="J140" i="15"/>
  <c r="J136" i="15"/>
  <c r="J132" i="15"/>
  <c r="J128" i="15"/>
  <c r="J124" i="15"/>
  <c r="J120" i="15"/>
  <c r="J116" i="15"/>
  <c r="J112" i="15"/>
  <c r="J179" i="15"/>
  <c r="J165" i="15"/>
  <c r="J257" i="15"/>
  <c r="J233" i="15"/>
  <c r="J221" i="15"/>
  <c r="J183" i="15"/>
  <c r="J187" i="15"/>
  <c r="J169" i="15"/>
  <c r="J223" i="15"/>
  <c r="J203" i="15"/>
  <c r="J201" i="15"/>
  <c r="J189" i="15"/>
  <c r="J268" i="15"/>
  <c r="J239" i="15"/>
  <c r="J227" i="15"/>
  <c r="J211" i="15"/>
  <c r="J173" i="15"/>
  <c r="J218" i="3"/>
  <c r="J202" i="3"/>
  <c r="Z247" i="3"/>
  <c r="Z255" i="3"/>
  <c r="J283" i="3"/>
  <c r="N229" i="3"/>
  <c r="X247" i="3"/>
  <c r="X255" i="3"/>
  <c r="V206" i="3"/>
  <c r="V208" i="3"/>
  <c r="V210" i="3"/>
  <c r="V212" i="3"/>
  <c r="L229" i="3"/>
  <c r="J242" i="3"/>
  <c r="J260" i="3"/>
  <c r="V263" i="3"/>
  <c r="J268" i="3"/>
  <c r="J290" i="3"/>
  <c r="V296" i="3"/>
  <c r="L301" i="3"/>
  <c r="N301" i="3" s="1"/>
  <c r="D308" i="3"/>
  <c r="L308" i="3" s="1"/>
  <c r="N308" i="3" s="1"/>
  <c r="L309" i="3"/>
  <c r="N329" i="3"/>
  <c r="V31" i="6"/>
  <c r="V29" i="6"/>
  <c r="V28" i="6"/>
  <c r="V26" i="6"/>
  <c r="V24" i="6"/>
  <c r="Z12" i="6"/>
  <c r="X12" i="6"/>
  <c r="T16" i="6"/>
  <c r="V16" i="6"/>
  <c r="D12" i="12"/>
  <c r="V150" i="12"/>
  <c r="P12" i="3"/>
  <c r="J227" i="3"/>
  <c r="X239" i="3"/>
  <c r="Z239" i="3" s="1"/>
  <c r="Z263" i="3"/>
  <c r="N201" i="3"/>
  <c r="V202" i="3"/>
  <c r="V204" i="3"/>
  <c r="J236" i="3"/>
  <c r="V276" i="3"/>
  <c r="Z299" i="3"/>
  <c r="X329" i="3"/>
  <c r="Z329" i="3" s="1"/>
  <c r="F59" i="9"/>
  <c r="Z74" i="9"/>
  <c r="F79" i="9"/>
  <c r="V133" i="12"/>
  <c r="N202" i="15"/>
  <c r="L202" i="15"/>
  <c r="J325" i="3"/>
  <c r="J312" i="3"/>
  <c r="J275" i="3"/>
  <c r="J269" i="3"/>
  <c r="J263" i="3"/>
  <c r="J243" i="3"/>
  <c r="J237" i="3"/>
  <c r="J231" i="3"/>
  <c r="J209" i="3"/>
  <c r="J205" i="3"/>
  <c r="J313" i="3"/>
  <c r="J280" i="3"/>
  <c r="J276" i="3"/>
  <c r="J270" i="3"/>
  <c r="J264" i="3"/>
  <c r="J252" i="3"/>
  <c r="J244" i="3"/>
  <c r="J232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330" i="3"/>
  <c r="J329" i="3"/>
  <c r="J314" i="3"/>
  <c r="J303" i="3"/>
  <c r="J295" i="3"/>
  <c r="J291" i="3"/>
  <c r="J287" i="3"/>
  <c r="J271" i="3"/>
  <c r="J265" i="3"/>
  <c r="J253" i="3"/>
  <c r="J245" i="3"/>
  <c r="J223" i="3"/>
  <c r="J219" i="3"/>
  <c r="J215" i="3"/>
  <c r="J315" i="3"/>
  <c r="J296" i="3"/>
  <c r="J266" i="3"/>
  <c r="J254" i="3"/>
  <c r="J246" i="3"/>
  <c r="J238" i="3"/>
  <c r="J224" i="3"/>
  <c r="J210" i="3"/>
  <c r="J206" i="3"/>
  <c r="J316" i="3"/>
  <c r="J297" i="3"/>
  <c r="J281" i="3"/>
  <c r="J277" i="3"/>
  <c r="J255" i="3"/>
  <c r="J247" i="3"/>
  <c r="J239" i="3"/>
  <c r="J233" i="3"/>
  <c r="J225" i="3"/>
  <c r="J19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317" i="3"/>
  <c r="J304" i="3"/>
  <c r="J292" i="3"/>
  <c r="J288" i="3"/>
  <c r="J282" i="3"/>
  <c r="J272" i="3"/>
  <c r="J256" i="3"/>
  <c r="J248" i="3"/>
  <c r="J240" i="3"/>
  <c r="J226" i="3"/>
  <c r="J220" i="3"/>
  <c r="J216" i="3"/>
  <c r="J319" i="3"/>
  <c r="J306" i="3"/>
  <c r="J298" i="3"/>
  <c r="J278" i="3"/>
  <c r="J258" i="3"/>
  <c r="J234" i="3"/>
  <c r="H199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320" i="3"/>
  <c r="J299" i="3"/>
  <c r="J293" i="3"/>
  <c r="J289" i="3"/>
  <c r="J273" i="3"/>
  <c r="J259" i="3"/>
  <c r="J249" i="3"/>
  <c r="J241" i="3"/>
  <c r="J221" i="3"/>
  <c r="J217" i="3"/>
  <c r="J310" i="3"/>
  <c r="J301" i="3"/>
  <c r="J285" i="3"/>
  <c r="J279" i="3"/>
  <c r="J261" i="3"/>
  <c r="J251" i="3"/>
  <c r="J235" i="3"/>
  <c r="J229" i="3"/>
  <c r="J213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201" i="3"/>
  <c r="V238" i="3"/>
  <c r="V244" i="3"/>
  <c r="V246" i="3"/>
  <c r="V252" i="3"/>
  <c r="V254" i="3"/>
  <c r="J262" i="3"/>
  <c r="V279" i="3"/>
  <c r="J284" i="3"/>
  <c r="V316" i="3"/>
  <c r="P102" i="9"/>
  <c r="V222" i="12"/>
  <c r="V261" i="12"/>
  <c r="J203" i="3"/>
  <c r="J222" i="3"/>
  <c r="D12" i="3"/>
  <c r="L13" i="3"/>
  <c r="N13" i="3" s="1"/>
  <c r="J137" i="3"/>
  <c r="J228" i="3"/>
  <c r="V231" i="3"/>
  <c r="J250" i="3"/>
  <c r="L282" i="3"/>
  <c r="N282" i="3" s="1"/>
  <c r="J300" i="3"/>
  <c r="J311" i="3"/>
  <c r="J318" i="3"/>
  <c r="V20" i="6"/>
  <c r="H284" i="12"/>
  <c r="N204" i="12"/>
  <c r="L204" i="12"/>
  <c r="J214" i="3"/>
  <c r="J207" i="3"/>
  <c r="J211" i="3"/>
  <c r="L226" i="3"/>
  <c r="N226" i="3" s="1"/>
  <c r="V264" i="3"/>
  <c r="V266" i="3"/>
  <c r="J286" i="3"/>
  <c r="V314" i="3"/>
  <c r="L32" i="9"/>
  <c r="N32" i="9" s="1"/>
  <c r="V142" i="12"/>
  <c r="V159" i="12"/>
  <c r="Z192" i="15"/>
  <c r="X192" i="15"/>
  <c r="N222" i="15"/>
  <c r="L222" i="15"/>
  <c r="J249" i="15"/>
  <c r="R21" i="9"/>
  <c r="J24" i="9"/>
  <c r="R25" i="9"/>
  <c r="J28" i="9"/>
  <c r="R29" i="9"/>
  <c r="V44" i="9"/>
  <c r="R53" i="9"/>
  <c r="J60" i="9"/>
  <c r="V64" i="9"/>
  <c r="J68" i="9"/>
  <c r="J74" i="9"/>
  <c r="V76" i="9"/>
  <c r="J80" i="9"/>
  <c r="R81" i="9"/>
  <c r="R82" i="9"/>
  <c r="V88" i="9"/>
  <c r="J92" i="9"/>
  <c r="R93" i="9"/>
  <c r="R94" i="9"/>
  <c r="V96" i="9"/>
  <c r="J100" i="9"/>
  <c r="J102" i="9"/>
  <c r="R106" i="9"/>
  <c r="R109" i="9"/>
  <c r="P12" i="12"/>
  <c r="J124" i="12"/>
  <c r="J155" i="12"/>
  <c r="J158" i="12"/>
  <c r="Z170" i="12"/>
  <c r="J174" i="12"/>
  <c r="N217" i="12"/>
  <c r="J230" i="12"/>
  <c r="P285" i="18"/>
  <c r="X285" i="18" s="1"/>
  <c r="Z285" i="18" s="1"/>
  <c r="T17" i="9"/>
  <c r="X17" i="9" s="1"/>
  <c r="J32" i="9"/>
  <c r="V34" i="9"/>
  <c r="V38" i="9"/>
  <c r="V42" i="9"/>
  <c r="J50" i="9"/>
  <c r="R51" i="9"/>
  <c r="R52" i="9"/>
  <c r="J58" i="9"/>
  <c r="V62" i="9"/>
  <c r="V70" i="9"/>
  <c r="R75" i="9"/>
  <c r="J78" i="9"/>
  <c r="V82" i="9"/>
  <c r="J86" i="9"/>
  <c r="R87" i="9"/>
  <c r="J90" i="9"/>
  <c r="V94" i="9"/>
  <c r="J98" i="9"/>
  <c r="V104" i="9"/>
  <c r="J115" i="12"/>
  <c r="J118" i="12"/>
  <c r="J132" i="12"/>
  <c r="J163" i="12"/>
  <c r="J167" i="12"/>
  <c r="J178" i="12"/>
  <c r="X194" i="12"/>
  <c r="Z194" i="12" s="1"/>
  <c r="N212" i="12"/>
  <c r="L212" i="12"/>
  <c r="J240" i="12"/>
  <c r="L264" i="12"/>
  <c r="N264" i="12" s="1"/>
  <c r="Z273" i="12"/>
  <c r="Z202" i="15"/>
  <c r="N220" i="15"/>
  <c r="Z222" i="15"/>
  <c r="N58" i="21"/>
  <c r="J26" i="6"/>
  <c r="J28" i="6"/>
  <c r="J29" i="6"/>
  <c r="J31" i="6"/>
  <c r="V15" i="9"/>
  <c r="V19" i="9"/>
  <c r="J23" i="9"/>
  <c r="R24" i="9"/>
  <c r="J27" i="9"/>
  <c r="R28" i="9"/>
  <c r="J31" i="9"/>
  <c r="V43" i="9"/>
  <c r="J49" i="9"/>
  <c r="V51" i="9"/>
  <c r="J57" i="9"/>
  <c r="R60" i="9"/>
  <c r="R61" i="9"/>
  <c r="V63" i="9"/>
  <c r="J67" i="9"/>
  <c r="R68" i="9"/>
  <c r="R69" i="9"/>
  <c r="V75" i="9"/>
  <c r="R80" i="9"/>
  <c r="J85" i="9"/>
  <c r="V87" i="9"/>
  <c r="R92" i="9"/>
  <c r="J143" i="12"/>
  <c r="J146" i="12"/>
  <c r="J160" i="12"/>
  <c r="Z181" i="12"/>
  <c r="J236" i="12"/>
  <c r="J249" i="12"/>
  <c r="N251" i="12"/>
  <c r="J260" i="12"/>
  <c r="N232" i="15"/>
  <c r="Z230" i="18"/>
  <c r="L135" i="36"/>
  <c r="N135" i="36" s="1"/>
  <c r="D134" i="36"/>
  <c r="L134" i="36" s="1"/>
  <c r="D16" i="6"/>
  <c r="J36" i="9"/>
  <c r="J40" i="9"/>
  <c r="J48" i="9"/>
  <c r="J56" i="9"/>
  <c r="J72" i="9"/>
  <c r="J84" i="9"/>
  <c r="P12" i="15"/>
  <c r="R113" i="21"/>
  <c r="R112" i="21"/>
  <c r="R114" i="21"/>
  <c r="R95" i="21"/>
  <c r="R94" i="21"/>
  <c r="R90" i="21"/>
  <c r="R62" i="21"/>
  <c r="R26" i="21"/>
  <c r="X12" i="21"/>
  <c r="Z12" i="21" s="1"/>
  <c r="R109" i="21"/>
  <c r="R101" i="21"/>
  <c r="R74" i="21"/>
  <c r="R73" i="21"/>
  <c r="R54" i="21"/>
  <c r="R53" i="21"/>
  <c r="R49" i="21"/>
  <c r="R45" i="21"/>
  <c r="R116" i="21"/>
  <c r="R105" i="21"/>
  <c r="R97" i="21"/>
  <c r="R96" i="21"/>
  <c r="R84" i="21"/>
  <c r="R40" i="21"/>
  <c r="R36" i="21"/>
  <c r="R91" i="21"/>
  <c r="R76" i="21"/>
  <c r="R75" i="21"/>
  <c r="R64" i="21"/>
  <c r="R63" i="21"/>
  <c r="R56" i="21"/>
  <c r="R55" i="21"/>
  <c r="R27" i="21"/>
  <c r="R110" i="21"/>
  <c r="R102" i="21"/>
  <c r="R98" i="21"/>
  <c r="R50" i="21"/>
  <c r="R46" i="21"/>
  <c r="R111" i="21"/>
  <c r="R86" i="21"/>
  <c r="R85" i="21"/>
  <c r="R78" i="21"/>
  <c r="R77" i="21"/>
  <c r="R66" i="21"/>
  <c r="R65" i="21"/>
  <c r="R58" i="21"/>
  <c r="R57" i="21"/>
  <c r="R41" i="21"/>
  <c r="R37" i="21"/>
  <c r="R106" i="21"/>
  <c r="R92" i="21"/>
  <c r="R33" i="21"/>
  <c r="R28" i="21"/>
  <c r="R99" i="21"/>
  <c r="R87" i="21"/>
  <c r="R80" i="21"/>
  <c r="R79" i="21"/>
  <c r="R68" i="21"/>
  <c r="R67" i="21"/>
  <c r="R60" i="21"/>
  <c r="R59" i="21"/>
  <c r="R51" i="21"/>
  <c r="R47" i="21"/>
  <c r="R120" i="21"/>
  <c r="R107" i="21"/>
  <c r="R103" i="21"/>
  <c r="R43" i="21"/>
  <c r="R42" i="21"/>
  <c r="R38" i="21"/>
  <c r="R34" i="21"/>
  <c r="P30" i="21"/>
  <c r="R93" i="21"/>
  <c r="R82" i="21"/>
  <c r="R81" i="21"/>
  <c r="R70" i="21"/>
  <c r="R69" i="21"/>
  <c r="R61" i="21"/>
  <c r="R30" i="21"/>
  <c r="R25" i="21"/>
  <c r="R71" i="21"/>
  <c r="R35" i="21"/>
  <c r="R39" i="21"/>
  <c r="R32" i="21"/>
  <c r="R88" i="21"/>
  <c r="R72" i="21"/>
  <c r="R52" i="21"/>
  <c r="R108" i="21"/>
  <c r="R100" i="21"/>
  <c r="R89" i="21"/>
  <c r="R44" i="21"/>
  <c r="R83" i="21"/>
  <c r="J47" i="9"/>
  <c r="J55" i="9"/>
  <c r="V61" i="9"/>
  <c r="V69" i="9"/>
  <c r="J77" i="9"/>
  <c r="J89" i="9"/>
  <c r="J97" i="9"/>
  <c r="J223" i="12"/>
  <c r="L227" i="12"/>
  <c r="J277" i="12"/>
  <c r="Z164" i="15"/>
  <c r="P12" i="18"/>
  <c r="Z214" i="18"/>
  <c r="R48" i="21"/>
  <c r="H16" i="6"/>
  <c r="N12" i="9"/>
  <c r="J22" i="9"/>
  <c r="J26" i="9"/>
  <c r="J30" i="9"/>
  <c r="J46" i="9"/>
  <c r="L47" i="9"/>
  <c r="V50" i="9"/>
  <c r="J54" i="9"/>
  <c r="L55" i="9"/>
  <c r="N55" i="9" s="1"/>
  <c r="V58" i="9"/>
  <c r="X61" i="9"/>
  <c r="J66" i="9"/>
  <c r="R67" i="9"/>
  <c r="X69" i="9"/>
  <c r="V74" i="9"/>
  <c r="V78" i="9"/>
  <c r="V86" i="9"/>
  <c r="V90" i="9"/>
  <c r="J96" i="9"/>
  <c r="V98" i="9"/>
  <c r="V100" i="9"/>
  <c r="L13" i="12"/>
  <c r="N13" i="12" s="1"/>
  <c r="J131" i="12"/>
  <c r="J134" i="12"/>
  <c r="J148" i="12"/>
  <c r="J173" i="12"/>
  <c r="J205" i="12"/>
  <c r="J216" i="12"/>
  <c r="J218" i="12"/>
  <c r="Z221" i="12"/>
  <c r="J256" i="12"/>
  <c r="J274" i="12"/>
  <c r="N216" i="15"/>
  <c r="Z227" i="15"/>
  <c r="Z260" i="15"/>
  <c r="X213" i="3"/>
  <c r="Z213" i="3" s="1"/>
  <c r="X229" i="3"/>
  <c r="Z229" i="3" s="1"/>
  <c r="L239" i="3"/>
  <c r="L247" i="3"/>
  <c r="N247" i="3" s="1"/>
  <c r="L255" i="3"/>
  <c r="N255" i="3" s="1"/>
  <c r="X261" i="3"/>
  <c r="Z261" i="3" s="1"/>
  <c r="X285" i="3"/>
  <c r="Z285" i="3" s="1"/>
  <c r="X301" i="3"/>
  <c r="Z301" i="3" s="1"/>
  <c r="J16" i="6"/>
  <c r="J18" i="6"/>
  <c r="J20" i="6"/>
  <c r="R26" i="6"/>
  <c r="R28" i="6"/>
  <c r="R29" i="6"/>
  <c r="R31" i="6"/>
  <c r="V23" i="9"/>
  <c r="V27" i="9"/>
  <c r="V31" i="9"/>
  <c r="J35" i="9"/>
  <c r="R36" i="9"/>
  <c r="J39" i="9"/>
  <c r="R40" i="9"/>
  <c r="J45" i="9"/>
  <c r="R48" i="9"/>
  <c r="R49" i="9"/>
  <c r="R56" i="9"/>
  <c r="R57" i="9"/>
  <c r="V59" i="9"/>
  <c r="J65" i="9"/>
  <c r="V67" i="9"/>
  <c r="J71" i="9"/>
  <c r="R72" i="9"/>
  <c r="V79" i="9"/>
  <c r="J83" i="9"/>
  <c r="R84" i="9"/>
  <c r="R85" i="9"/>
  <c r="V91" i="9"/>
  <c r="J95" i="9"/>
  <c r="J114" i="12"/>
  <c r="J128" i="12"/>
  <c r="J159" i="12"/>
  <c r="J162" i="12"/>
  <c r="J175" i="12"/>
  <c r="J184" i="12"/>
  <c r="J188" i="12"/>
  <c r="J199" i="12"/>
  <c r="N207" i="12"/>
  <c r="Z223" i="12"/>
  <c r="L229" i="12"/>
  <c r="N229" i="12" s="1"/>
  <c r="N176" i="15"/>
  <c r="Z187" i="15"/>
  <c r="Z189" i="15"/>
  <c r="N199" i="15"/>
  <c r="N248" i="15"/>
  <c r="L252" i="18"/>
  <c r="R104" i="21"/>
  <c r="T108" i="33"/>
  <c r="V108" i="33" s="1"/>
  <c r="R24" i="6"/>
  <c r="H17" i="9"/>
  <c r="V32" i="9"/>
  <c r="V36" i="9"/>
  <c r="V40" i="9"/>
  <c r="J44" i="9"/>
  <c r="V48" i="9"/>
  <c r="V56" i="9"/>
  <c r="J64" i="9"/>
  <c r="V72" i="9"/>
  <c r="J76" i="9"/>
  <c r="R77" i="9"/>
  <c r="J82" i="9"/>
  <c r="V84" i="9"/>
  <c r="J88" i="9"/>
  <c r="R89" i="9"/>
  <c r="J94" i="9"/>
  <c r="R97" i="9"/>
  <c r="J106" i="9"/>
  <c r="J109" i="9"/>
  <c r="J139" i="12"/>
  <c r="J142" i="12"/>
  <c r="J156" i="12"/>
  <c r="J177" i="12"/>
  <c r="Z197" i="12"/>
  <c r="J233" i="12"/>
  <c r="N241" i="12"/>
  <c r="J250" i="12"/>
  <c r="N252" i="18"/>
  <c r="X12" i="9"/>
  <c r="Z12" i="9" s="1"/>
  <c r="J15" i="9"/>
  <c r="J17" i="9"/>
  <c r="J19" i="9"/>
  <c r="J21" i="9"/>
  <c r="R22" i="9"/>
  <c r="J25" i="9"/>
  <c r="R26" i="9"/>
  <c r="J29" i="9"/>
  <c r="R30" i="9"/>
  <c r="J43" i="9"/>
  <c r="R46" i="9"/>
  <c r="R47" i="9"/>
  <c r="V49" i="9"/>
  <c r="J53" i="9"/>
  <c r="R54" i="9"/>
  <c r="R55" i="9"/>
  <c r="V57" i="9"/>
  <c r="J63" i="9"/>
  <c r="R66" i="9"/>
  <c r="V77" i="9"/>
  <c r="J81" i="9"/>
  <c r="V85" i="9"/>
  <c r="V89" i="9"/>
  <c r="J93" i="9"/>
  <c r="V97" i="9"/>
  <c r="J280" i="12"/>
  <c r="J261" i="12"/>
  <c r="J241" i="12"/>
  <c r="J235" i="12"/>
  <c r="J229" i="12"/>
  <c r="J217" i="12"/>
  <c r="J195" i="12"/>
  <c r="J281" i="12"/>
  <c r="J262" i="12"/>
  <c r="J246" i="12"/>
  <c r="J242" i="12"/>
  <c r="J282" i="12"/>
  <c r="J269" i="12"/>
  <c r="J257" i="12"/>
  <c r="J253" i="12"/>
  <c r="J237" i="12"/>
  <c r="J231" i="12"/>
  <c r="J219" i="12"/>
  <c r="J209" i="12"/>
  <c r="J189" i="12"/>
  <c r="J185" i="12"/>
  <c r="J284" i="12"/>
  <c r="J270" i="12"/>
  <c r="J232" i="12"/>
  <c r="J220" i="12"/>
  <c r="J210" i="12"/>
  <c r="J196" i="12"/>
  <c r="J180" i="12"/>
  <c r="J176" i="12"/>
  <c r="J172" i="12"/>
  <c r="J271" i="12"/>
  <c r="J263" i="12"/>
  <c r="J247" i="12"/>
  <c r="J243" i="12"/>
  <c r="J221" i="12"/>
  <c r="J211" i="12"/>
  <c r="J203" i="12"/>
  <c r="J197" i="12"/>
  <c r="J181" i="12"/>
  <c r="J286" i="12"/>
  <c r="J264" i="12"/>
  <c r="J258" i="12"/>
  <c r="J254" i="12"/>
  <c r="J248" i="12"/>
  <c r="J238" i="12"/>
  <c r="J222" i="12"/>
  <c r="J212" i="12"/>
  <c r="J204" i="12"/>
  <c r="J198" i="12"/>
  <c r="J190" i="12"/>
  <c r="J186" i="12"/>
  <c r="J182" i="12"/>
  <c r="J275" i="12"/>
  <c r="J266" i="12"/>
  <c r="J244" i="12"/>
  <c r="J224" i="12"/>
  <c r="J214" i="12"/>
  <c r="J200" i="12"/>
  <c r="J276" i="12"/>
  <c r="J267" i="12"/>
  <c r="J259" i="12"/>
  <c r="J255" i="12"/>
  <c r="J239" i="12"/>
  <c r="J225" i="12"/>
  <c r="J215" i="12"/>
  <c r="J191" i="12"/>
  <c r="J187" i="12"/>
  <c r="J183" i="12"/>
  <c r="J278" i="12"/>
  <c r="J251" i="12"/>
  <c r="J245" i="12"/>
  <c r="J227" i="12"/>
  <c r="J207" i="12"/>
  <c r="J201" i="12"/>
  <c r="J193" i="12"/>
  <c r="J165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J119" i="12"/>
  <c r="J122" i="12"/>
  <c r="J136" i="12"/>
  <c r="J170" i="12"/>
  <c r="J179" i="12"/>
  <c r="J192" i="12"/>
  <c r="J213" i="12"/>
  <c r="J226" i="12"/>
  <c r="L248" i="12"/>
  <c r="N248" i="12" s="1"/>
  <c r="J252" i="12"/>
  <c r="Z176" i="15"/>
  <c r="N192" i="15"/>
  <c r="Z214" i="15"/>
  <c r="X216" i="15"/>
  <c r="Z216" i="15" s="1"/>
  <c r="D12" i="18"/>
  <c r="J20" i="9"/>
  <c r="V22" i="9"/>
  <c r="V26" i="9"/>
  <c r="V30" i="9"/>
  <c r="J34" i="9"/>
  <c r="J38" i="9"/>
  <c r="J42" i="9"/>
  <c r="V46" i="9"/>
  <c r="J52" i="9"/>
  <c r="V54" i="9"/>
  <c r="J62" i="9"/>
  <c r="J70" i="9"/>
  <c r="R71" i="9"/>
  <c r="R83" i="9"/>
  <c r="R95" i="9"/>
  <c r="J116" i="12"/>
  <c r="J147" i="12"/>
  <c r="J150" i="12"/>
  <c r="J164" i="12"/>
  <c r="N169" i="12"/>
  <c r="X199" i="12"/>
  <c r="Z199" i="12" s="1"/>
  <c r="J202" i="12"/>
  <c r="X231" i="12"/>
  <c r="Z231" i="12" s="1"/>
  <c r="X176" i="15"/>
  <c r="N253" i="15"/>
  <c r="Z257" i="15"/>
  <c r="V176" i="15"/>
  <c r="V180" i="15"/>
  <c r="V184" i="15"/>
  <c r="V192" i="15"/>
  <c r="V204" i="15"/>
  <c r="V216" i="15"/>
  <c r="V224" i="15"/>
  <c r="V252" i="15"/>
  <c r="V262" i="15"/>
  <c r="V301" i="18"/>
  <c r="V289" i="18"/>
  <c r="V279" i="18"/>
  <c r="V271" i="18"/>
  <c r="V267" i="18"/>
  <c r="V255" i="18"/>
  <c r="V243" i="18"/>
  <c r="V231" i="18"/>
  <c r="V223" i="18"/>
  <c r="V219" i="18"/>
  <c r="V183" i="18"/>
  <c r="V179" i="18"/>
  <c r="V175" i="18"/>
  <c r="V171" i="18"/>
  <c r="V167" i="18"/>
  <c r="V163" i="18"/>
  <c r="V290" i="18"/>
  <c r="V262" i="18"/>
  <c r="V250" i="18"/>
  <c r="V242" i="18"/>
  <c r="V234" i="18"/>
  <c r="V218" i="18"/>
  <c r="V210" i="18"/>
  <c r="V206" i="18"/>
  <c r="V202" i="18"/>
  <c r="V291" i="18"/>
  <c r="V273" i="18"/>
  <c r="V261" i="18"/>
  <c r="V257" i="18"/>
  <c r="V245" i="18"/>
  <c r="V233" i="18"/>
  <c r="V225" i="18"/>
  <c r="V197" i="18"/>
  <c r="V193" i="18"/>
  <c r="V292" i="18"/>
  <c r="V280" i="18"/>
  <c r="V272" i="18"/>
  <c r="V268" i="18"/>
  <c r="V256" i="18"/>
  <c r="V252" i="18"/>
  <c r="V244" i="18"/>
  <c r="V220" i="18"/>
  <c r="V212" i="18"/>
  <c r="V184" i="18"/>
  <c r="V180" i="18"/>
  <c r="V176" i="18"/>
  <c r="V172" i="18"/>
  <c r="V168" i="18"/>
  <c r="V164" i="18"/>
  <c r="V160" i="18"/>
  <c r="V156" i="18"/>
  <c r="V152" i="18"/>
  <c r="V148" i="18"/>
  <c r="V144" i="18"/>
  <c r="V140" i="18"/>
  <c r="V293" i="18"/>
  <c r="V263" i="18"/>
  <c r="V251" i="18"/>
  <c r="V247" i="18"/>
  <c r="V235" i="18"/>
  <c r="V227" i="18"/>
  <c r="V211" i="18"/>
  <c r="V207" i="18"/>
  <c r="V203" i="18"/>
  <c r="V294" i="18"/>
  <c r="V282" i="18"/>
  <c r="V274" i="18"/>
  <c r="V258" i="18"/>
  <c r="V246" i="18"/>
  <c r="V226" i="18"/>
  <c r="V214" i="18"/>
  <c r="V198" i="18"/>
  <c r="V194" i="18"/>
  <c r="V190" i="18"/>
  <c r="V295" i="18"/>
  <c r="V281" i="18"/>
  <c r="V269" i="18"/>
  <c r="V265" i="18"/>
  <c r="V253" i="18"/>
  <c r="V297" i="18"/>
  <c r="V285" i="18"/>
  <c r="V283" i="18"/>
  <c r="V275" i="18"/>
  <c r="V259" i="18"/>
  <c r="V239" i="18"/>
  <c r="V215" i="18"/>
  <c r="V199" i="18"/>
  <c r="V195" i="18"/>
  <c r="V191" i="18"/>
  <c r="V286" i="18"/>
  <c r="V278" i="18"/>
  <c r="V270" i="18"/>
  <c r="V266" i="18"/>
  <c r="V254" i="18"/>
  <c r="V238" i="18"/>
  <c r="V230" i="18"/>
  <c r="V222" i="18"/>
  <c r="V182" i="18"/>
  <c r="V178" i="18"/>
  <c r="V174" i="18"/>
  <c r="V170" i="18"/>
  <c r="V166" i="18"/>
  <c r="V162" i="18"/>
  <c r="V158" i="18"/>
  <c r="N127" i="18"/>
  <c r="J130" i="18"/>
  <c r="J133" i="18"/>
  <c r="V134" i="18"/>
  <c r="J136" i="18"/>
  <c r="V137" i="18"/>
  <c r="V161" i="18"/>
  <c r="J180" i="18"/>
  <c r="X189" i="18"/>
  <c r="Z189" i="18" s="1"/>
  <c r="X201" i="18"/>
  <c r="Z201" i="18" s="1"/>
  <c r="V205" i="18"/>
  <c r="L219" i="18"/>
  <c r="N219" i="18" s="1"/>
  <c r="Z224" i="18"/>
  <c r="J244" i="18"/>
  <c r="J264" i="18"/>
  <c r="N282" i="18"/>
  <c r="J294" i="18"/>
  <c r="Z33" i="21"/>
  <c r="N54" i="21"/>
  <c r="N56" i="21"/>
  <c r="N66" i="21"/>
  <c r="N68" i="21"/>
  <c r="L78" i="21"/>
  <c r="R120" i="24"/>
  <c r="V166" i="15"/>
  <c r="V170" i="15"/>
  <c r="V174" i="15"/>
  <c r="V190" i="15"/>
  <c r="V214" i="15"/>
  <c r="V234" i="15"/>
  <c r="V250" i="15"/>
  <c r="V258" i="15"/>
  <c r="V260" i="15"/>
  <c r="J144" i="18"/>
  <c r="J152" i="18"/>
  <c r="J184" i="18"/>
  <c r="V189" i="18"/>
  <c r="V201" i="18"/>
  <c r="J204" i="18"/>
  <c r="J208" i="18"/>
  <c r="J248" i="18"/>
  <c r="J262" i="18"/>
  <c r="V264" i="18"/>
  <c r="V276" i="18"/>
  <c r="Z54" i="21"/>
  <c r="N106" i="24"/>
  <c r="L106" i="24"/>
  <c r="D12" i="15"/>
  <c r="T162" i="15"/>
  <c r="V179" i="15"/>
  <c r="V183" i="15"/>
  <c r="V203" i="15"/>
  <c r="V211" i="15"/>
  <c r="V223" i="15"/>
  <c r="V239" i="15"/>
  <c r="V251" i="15"/>
  <c r="J141" i="18"/>
  <c r="J149" i="18"/>
  <c r="V150" i="18"/>
  <c r="J157" i="18"/>
  <c r="V165" i="18"/>
  <c r="J173" i="18"/>
  <c r="Z217" i="18"/>
  <c r="V228" i="18"/>
  <c r="X230" i="18"/>
  <c r="N232" i="18"/>
  <c r="V260" i="18"/>
  <c r="X72" i="21"/>
  <c r="Z72" i="21" s="1"/>
  <c r="Z74" i="21"/>
  <c r="N80" i="21"/>
  <c r="N86" i="21"/>
  <c r="F107" i="24"/>
  <c r="F106" i="24"/>
  <c r="F79" i="24"/>
  <c r="F75" i="24"/>
  <c r="F71" i="24"/>
  <c r="F67" i="24"/>
  <c r="F63" i="24"/>
  <c r="F59" i="24"/>
  <c r="F134" i="24"/>
  <c r="F133" i="24"/>
  <c r="F126" i="24"/>
  <c r="F118" i="24"/>
  <c r="F117" i="24"/>
  <c r="F102" i="24"/>
  <c r="F98" i="24"/>
  <c r="F109" i="24"/>
  <c r="F108" i="24"/>
  <c r="F93" i="24"/>
  <c r="F89" i="24"/>
  <c r="F136" i="24"/>
  <c r="F135" i="24"/>
  <c r="F128" i="24"/>
  <c r="F127" i="24"/>
  <c r="F120" i="24"/>
  <c r="F119" i="24"/>
  <c r="F80" i="24"/>
  <c r="F76" i="24"/>
  <c r="F72" i="24"/>
  <c r="F68" i="24"/>
  <c r="F64" i="24"/>
  <c r="F60" i="24"/>
  <c r="F111" i="24"/>
  <c r="F110" i="24"/>
  <c r="F103" i="24"/>
  <c r="F99" i="24"/>
  <c r="F138" i="24"/>
  <c r="F137" i="24"/>
  <c r="F130" i="24"/>
  <c r="F129" i="24"/>
  <c r="F122" i="24"/>
  <c r="F121" i="24"/>
  <c r="F94" i="24"/>
  <c r="F90" i="24"/>
  <c r="F86" i="24"/>
  <c r="F85" i="24"/>
  <c r="F141" i="24"/>
  <c r="F112" i="24"/>
  <c r="F104" i="24"/>
  <c r="F100" i="24"/>
  <c r="F96" i="24"/>
  <c r="F95" i="24"/>
  <c r="D82" i="24"/>
  <c r="F140" i="24"/>
  <c r="F131" i="24"/>
  <c r="F123" i="24"/>
  <c r="F91" i="24"/>
  <c r="F87" i="24"/>
  <c r="F145" i="24"/>
  <c r="F125" i="24"/>
  <c r="F124" i="24"/>
  <c r="F105" i="24"/>
  <c r="F101" i="24"/>
  <c r="F97" i="24"/>
  <c r="F115" i="24"/>
  <c r="F78" i="24"/>
  <c r="F74" i="24"/>
  <c r="F70" i="24"/>
  <c r="F66" i="24"/>
  <c r="F62" i="24"/>
  <c r="F113" i="24"/>
  <c r="F84" i="24"/>
  <c r="F58" i="24"/>
  <c r="F56" i="24"/>
  <c r="F116" i="24"/>
  <c r="F132" i="24"/>
  <c r="F77" i="24"/>
  <c r="F73" i="24"/>
  <c r="F69" i="24"/>
  <c r="F65" i="24"/>
  <c r="F114" i="24"/>
  <c r="F88" i="24"/>
  <c r="F61" i="24"/>
  <c r="F57" i="24"/>
  <c r="L12" i="24"/>
  <c r="N12" i="24" s="1"/>
  <c r="R68" i="24"/>
  <c r="F101" i="33"/>
  <c r="F99" i="33"/>
  <c r="F86" i="33"/>
  <c r="F78" i="33"/>
  <c r="F77" i="33"/>
  <c r="F102" i="33"/>
  <c r="F69" i="33"/>
  <c r="F68" i="33"/>
  <c r="F61" i="33"/>
  <c r="F57" i="33"/>
  <c r="F103" i="33"/>
  <c r="F104" i="33"/>
  <c r="F71" i="33"/>
  <c r="F70" i="33"/>
  <c r="F42" i="33"/>
  <c r="F35" i="33"/>
  <c r="F105" i="33"/>
  <c r="F94" i="33"/>
  <c r="F93" i="33"/>
  <c r="F82" i="33"/>
  <c r="F81" i="33"/>
  <c r="F106" i="33"/>
  <c r="F89" i="33"/>
  <c r="F73" i="33"/>
  <c r="F72" i="33"/>
  <c r="F95" i="33"/>
  <c r="F83" i="33"/>
  <c r="F76" i="33"/>
  <c r="F60" i="33"/>
  <c r="F56" i="33"/>
  <c r="F85" i="33"/>
  <c r="F64" i="33"/>
  <c r="F90" i="33"/>
  <c r="F88" i="33"/>
  <c r="F34" i="33"/>
  <c r="F92" i="33"/>
  <c r="F75" i="33"/>
  <c r="F65" i="33"/>
  <c r="F52" i="33"/>
  <c r="F38" i="33"/>
  <c r="F100" i="33"/>
  <c r="F59" i="33"/>
  <c r="F49" i="33"/>
  <c r="F46" i="33"/>
  <c r="F97" i="33"/>
  <c r="F66" i="33"/>
  <c r="F62" i="33"/>
  <c r="F53" i="33"/>
  <c r="F79" i="33"/>
  <c r="F67" i="33"/>
  <c r="F54" i="33"/>
  <c r="F50" i="33"/>
  <c r="F43" i="33"/>
  <c r="D40" i="33"/>
  <c r="F84" i="33"/>
  <c r="F47" i="33"/>
  <c r="F44" i="33"/>
  <c r="L12" i="33"/>
  <c r="N12" i="33" s="1"/>
  <c r="F36" i="33"/>
  <c r="F80" i="33"/>
  <c r="F74" i="33"/>
  <c r="F55" i="33"/>
  <c r="F51" i="33"/>
  <c r="F33" i="33"/>
  <c r="F45" i="33"/>
  <c r="F91" i="33"/>
  <c r="F110" i="33"/>
  <c r="F63" i="33"/>
  <c r="F32" i="33"/>
  <c r="F87" i="33"/>
  <c r="F58" i="33"/>
  <c r="V212" i="15"/>
  <c r="V228" i="15"/>
  <c r="V240" i="15"/>
  <c r="V244" i="15"/>
  <c r="V256" i="15"/>
  <c r="X237" i="18"/>
  <c r="Z237" i="18" s="1"/>
  <c r="J269" i="18"/>
  <c r="J281" i="18"/>
  <c r="D285" i="18"/>
  <c r="L285" i="18" s="1"/>
  <c r="N285" i="18" s="1"/>
  <c r="J291" i="18"/>
  <c r="V165" i="15"/>
  <c r="V169" i="15"/>
  <c r="V173" i="15"/>
  <c r="V189" i="15"/>
  <c r="V201" i="15"/>
  <c r="V221" i="15"/>
  <c r="V233" i="15"/>
  <c r="V249" i="15"/>
  <c r="V257" i="15"/>
  <c r="D260" i="15"/>
  <c r="L260" i="15" s="1"/>
  <c r="N260" i="15" s="1"/>
  <c r="V269" i="15"/>
  <c r="L13" i="18"/>
  <c r="N13" i="18" s="1"/>
  <c r="J146" i="18"/>
  <c r="J154" i="18"/>
  <c r="J177" i="18"/>
  <c r="V204" i="18"/>
  <c r="V221" i="18"/>
  <c r="J225" i="18"/>
  <c r="N234" i="18"/>
  <c r="V237" i="18"/>
  <c r="L243" i="18"/>
  <c r="N243" i="18" s="1"/>
  <c r="V248" i="18"/>
  <c r="V296" i="18"/>
  <c r="Z60" i="21"/>
  <c r="N95" i="21"/>
  <c r="X165" i="15"/>
  <c r="Z165" i="15" s="1"/>
  <c r="V178" i="15"/>
  <c r="V182" i="15"/>
  <c r="V186" i="15"/>
  <c r="X189" i="15"/>
  <c r="L199" i="15"/>
  <c r="V202" i="15"/>
  <c r="L207" i="15"/>
  <c r="N207" i="15" s="1"/>
  <c r="V210" i="15"/>
  <c r="V222" i="15"/>
  <c r="V226" i="15"/>
  <c r="V238" i="15"/>
  <c r="X257" i="15"/>
  <c r="V268" i="15"/>
  <c r="J168" i="18"/>
  <c r="T187" i="18"/>
  <c r="J190" i="18"/>
  <c r="V196" i="18"/>
  <c r="V200" i="18"/>
  <c r="N214" i="18"/>
  <c r="V232" i="18"/>
  <c r="J234" i="18"/>
  <c r="J236" i="18"/>
  <c r="J243" i="18"/>
  <c r="J295" i="18"/>
  <c r="Z32" i="21"/>
  <c r="V111" i="15"/>
  <c r="V115" i="15"/>
  <c r="V119" i="15"/>
  <c r="V123" i="15"/>
  <c r="V127" i="15"/>
  <c r="V131" i="15"/>
  <c r="V135" i="15"/>
  <c r="V139" i="15"/>
  <c r="V143" i="15"/>
  <c r="V147" i="15"/>
  <c r="V151" i="15"/>
  <c r="V155" i="15"/>
  <c r="V159" i="15"/>
  <c r="V187" i="15"/>
  <c r="V195" i="15"/>
  <c r="V219" i="15"/>
  <c r="V227" i="15"/>
  <c r="V231" i="15"/>
  <c r="V243" i="15"/>
  <c r="V247" i="15"/>
  <c r="V255" i="15"/>
  <c r="V267" i="15"/>
  <c r="V132" i="18"/>
  <c r="V135" i="18"/>
  <c r="V141" i="18"/>
  <c r="V149" i="18"/>
  <c r="V157" i="18"/>
  <c r="V173" i="18"/>
  <c r="J181" i="18"/>
  <c r="V187" i="18"/>
  <c r="V192" i="18"/>
  <c r="J214" i="18"/>
  <c r="J220" i="18"/>
  <c r="N227" i="18"/>
  <c r="X241" i="18"/>
  <c r="V277" i="18"/>
  <c r="H122" i="21"/>
  <c r="J118" i="21"/>
  <c r="Z80" i="21"/>
  <c r="Z95" i="21"/>
  <c r="V168" i="15"/>
  <c r="V172" i="15"/>
  <c r="V200" i="15"/>
  <c r="V208" i="15"/>
  <c r="V220" i="15"/>
  <c r="V232" i="15"/>
  <c r="V236" i="15"/>
  <c r="V248" i="15"/>
  <c r="V266" i="15"/>
  <c r="J296" i="18"/>
  <c r="J283" i="18"/>
  <c r="J275" i="18"/>
  <c r="J265" i="18"/>
  <c r="J259" i="18"/>
  <c r="J237" i="18"/>
  <c r="J215" i="18"/>
  <c r="J199" i="18"/>
  <c r="J195" i="18"/>
  <c r="J191" i="18"/>
  <c r="J189" i="18"/>
  <c r="J297" i="18"/>
  <c r="J276" i="18"/>
  <c r="J270" i="18"/>
  <c r="J266" i="18"/>
  <c r="J254" i="18"/>
  <c r="J238" i="18"/>
  <c r="J222" i="18"/>
  <c r="H187" i="18"/>
  <c r="J187" i="18" s="1"/>
  <c r="J182" i="18"/>
  <c r="J178" i="18"/>
  <c r="J174" i="18"/>
  <c r="J170" i="18"/>
  <c r="J166" i="18"/>
  <c r="J286" i="18"/>
  <c r="J285" i="18"/>
  <c r="J277" i="18"/>
  <c r="J249" i="18"/>
  <c r="J239" i="18"/>
  <c r="J229" i="18"/>
  <c r="J209" i="18"/>
  <c r="J205" i="18"/>
  <c r="J287" i="18"/>
  <c r="J278" i="18"/>
  <c r="J260" i="18"/>
  <c r="J240" i="18"/>
  <c r="J230" i="18"/>
  <c r="J216" i="18"/>
  <c r="J200" i="18"/>
  <c r="J196" i="18"/>
  <c r="J192" i="18"/>
  <c r="J301" i="18"/>
  <c r="J288" i="18"/>
  <c r="J279" i="18"/>
  <c r="J271" i="18"/>
  <c r="J267" i="18"/>
  <c r="J255" i="18"/>
  <c r="J241" i="18"/>
  <c r="J231" i="18"/>
  <c r="J223" i="18"/>
  <c r="J217" i="18"/>
  <c r="J201" i="18"/>
  <c r="J183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289" i="18"/>
  <c r="J250" i="18"/>
  <c r="J242" i="18"/>
  <c r="J232" i="18"/>
  <c r="J224" i="18"/>
  <c r="J218" i="18"/>
  <c r="J210" i="18"/>
  <c r="J206" i="18"/>
  <c r="J202" i="18"/>
  <c r="J290" i="18"/>
  <c r="J261" i="18"/>
  <c r="J292" i="18"/>
  <c r="J273" i="18"/>
  <c r="J263" i="18"/>
  <c r="J257" i="18"/>
  <c r="J251" i="18"/>
  <c r="J245" i="18"/>
  <c r="J235" i="18"/>
  <c r="J211" i="18"/>
  <c r="J207" i="18"/>
  <c r="J203" i="18"/>
  <c r="J293" i="18"/>
  <c r="J274" i="18"/>
  <c r="J258" i="18"/>
  <c r="J252" i="18"/>
  <c r="J246" i="18"/>
  <c r="J226" i="18"/>
  <c r="J212" i="18"/>
  <c r="J198" i="18"/>
  <c r="J194" i="18"/>
  <c r="J134" i="18"/>
  <c r="J137" i="18"/>
  <c r="J140" i="18"/>
  <c r="J148" i="18"/>
  <c r="J156" i="18"/>
  <c r="J161" i="18"/>
  <c r="J172" i="18"/>
  <c r="V216" i="18"/>
  <c r="J227" i="18"/>
  <c r="V236" i="18"/>
  <c r="Z241" i="18"/>
  <c r="L15" i="21"/>
  <c r="D12" i="21"/>
  <c r="V177" i="15"/>
  <c r="V181" i="15"/>
  <c r="V185" i="15"/>
  <c r="V193" i="15"/>
  <c r="V209" i="15"/>
  <c r="V217" i="15"/>
  <c r="V225" i="15"/>
  <c r="V237" i="15"/>
  <c r="V265" i="15"/>
  <c r="J128" i="18"/>
  <c r="J145" i="18"/>
  <c r="V146" i="18"/>
  <c r="J153" i="18"/>
  <c r="V154" i="18"/>
  <c r="V159" i="18"/>
  <c r="V177" i="18"/>
  <c r="J185" i="18"/>
  <c r="J213" i="18"/>
  <c r="X214" i="18"/>
  <c r="V229" i="18"/>
  <c r="V241" i="18"/>
  <c r="N247" i="18"/>
  <c r="N33" i="21"/>
  <c r="N64" i="27"/>
  <c r="L64" i="27"/>
  <c r="X102" i="27"/>
  <c r="Z102" i="27" s="1"/>
  <c r="X53" i="33"/>
  <c r="Z53" i="33" s="1"/>
  <c r="V110" i="15"/>
  <c r="V114" i="15"/>
  <c r="V118" i="15"/>
  <c r="V122" i="15"/>
  <c r="V126" i="15"/>
  <c r="V130" i="15"/>
  <c r="V134" i="15"/>
  <c r="V138" i="15"/>
  <c r="V142" i="15"/>
  <c r="V146" i="15"/>
  <c r="V150" i="15"/>
  <c r="V154" i="15"/>
  <c r="V158" i="15"/>
  <c r="V194" i="15"/>
  <c r="V198" i="15"/>
  <c r="V206" i="15"/>
  <c r="V218" i="15"/>
  <c r="V230" i="15"/>
  <c r="V242" i="15"/>
  <c r="V246" i="15"/>
  <c r="V254" i="15"/>
  <c r="V151" i="18"/>
  <c r="J176" i="18"/>
  <c r="Z190" i="18"/>
  <c r="V209" i="18"/>
  <c r="N224" i="18"/>
  <c r="J233" i="18"/>
  <c r="J247" i="18"/>
  <c r="X265" i="18"/>
  <c r="Z265" i="18" s="1"/>
  <c r="J272" i="18"/>
  <c r="V288" i="18"/>
  <c r="J33" i="21"/>
  <c r="R111" i="24"/>
  <c r="R103" i="24"/>
  <c r="R99" i="24"/>
  <c r="R84" i="24"/>
  <c r="R82" i="24"/>
  <c r="R56" i="24"/>
  <c r="R138" i="24"/>
  <c r="R130" i="24"/>
  <c r="R122" i="24"/>
  <c r="R95" i="24"/>
  <c r="R94" i="24"/>
  <c r="R90" i="24"/>
  <c r="R86" i="24"/>
  <c r="P82" i="24"/>
  <c r="R141" i="24"/>
  <c r="R140" i="24"/>
  <c r="R77" i="24"/>
  <c r="R73" i="24"/>
  <c r="R69" i="24"/>
  <c r="R65" i="24"/>
  <c r="R61" i="24"/>
  <c r="R57" i="24"/>
  <c r="R113" i="24"/>
  <c r="R112" i="24"/>
  <c r="R104" i="24"/>
  <c r="R100" i="24"/>
  <c r="R96" i="24"/>
  <c r="X12" i="24"/>
  <c r="Z12" i="24" s="1"/>
  <c r="R131" i="24"/>
  <c r="R124" i="24"/>
  <c r="R123" i="24"/>
  <c r="R91" i="24"/>
  <c r="R87" i="24"/>
  <c r="R115" i="24"/>
  <c r="R114" i="24"/>
  <c r="R78" i="24"/>
  <c r="R74" i="24"/>
  <c r="R70" i="24"/>
  <c r="R66" i="24"/>
  <c r="R62" i="24"/>
  <c r="R58" i="24"/>
  <c r="R133" i="24"/>
  <c r="R132" i="24"/>
  <c r="R117" i="24"/>
  <c r="R116" i="24"/>
  <c r="R92" i="24"/>
  <c r="R88" i="24"/>
  <c r="R108" i="24"/>
  <c r="R107" i="24"/>
  <c r="R79" i="24"/>
  <c r="R75" i="24"/>
  <c r="R71" i="24"/>
  <c r="R67" i="24"/>
  <c r="R63" i="24"/>
  <c r="R59" i="24"/>
  <c r="R110" i="24"/>
  <c r="R109" i="24"/>
  <c r="R93" i="24"/>
  <c r="R89" i="24"/>
  <c r="R136" i="24"/>
  <c r="R145" i="24"/>
  <c r="R128" i="24"/>
  <c r="R118" i="24"/>
  <c r="R101" i="24"/>
  <c r="R134" i="24"/>
  <c r="R105" i="24"/>
  <c r="R97" i="24"/>
  <c r="R126" i="24"/>
  <c r="R121" i="24"/>
  <c r="R119" i="24"/>
  <c r="R137" i="24"/>
  <c r="R135" i="24"/>
  <c r="R85" i="24"/>
  <c r="R129" i="24"/>
  <c r="R106" i="24"/>
  <c r="R127" i="24"/>
  <c r="R125" i="24"/>
  <c r="R102" i="24"/>
  <c r="R98" i="24"/>
  <c r="Z56" i="24"/>
  <c r="T82" i="24"/>
  <c r="N114" i="30"/>
  <c r="Z118" i="30"/>
  <c r="Z120" i="30"/>
  <c r="X146" i="30"/>
  <c r="Z146" i="30" s="1"/>
  <c r="J28" i="21"/>
  <c r="V44" i="21"/>
  <c r="V48" i="21"/>
  <c r="V52" i="21"/>
  <c r="J58" i="21"/>
  <c r="J66" i="21"/>
  <c r="V72" i="21"/>
  <c r="J78" i="21"/>
  <c r="J86" i="21"/>
  <c r="V88" i="21"/>
  <c r="J92" i="21"/>
  <c r="V100" i="21"/>
  <c r="J106" i="21"/>
  <c r="J134" i="24"/>
  <c r="J126" i="24"/>
  <c r="J118" i="24"/>
  <c r="J108" i="24"/>
  <c r="J102" i="24"/>
  <c r="J98" i="24"/>
  <c r="J135" i="24"/>
  <c r="J127" i="24"/>
  <c r="J119" i="24"/>
  <c r="J109" i="24"/>
  <c r="J93" i="24"/>
  <c r="J89" i="24"/>
  <c r="J136" i="24"/>
  <c r="J128" i="24"/>
  <c r="J120" i="24"/>
  <c r="J110" i="24"/>
  <c r="J80" i="24"/>
  <c r="J76" i="24"/>
  <c r="J72" i="24"/>
  <c r="J68" i="24"/>
  <c r="J64" i="24"/>
  <c r="J60" i="24"/>
  <c r="J137" i="24"/>
  <c r="J129" i="24"/>
  <c r="J121" i="24"/>
  <c r="J111" i="24"/>
  <c r="J103" i="24"/>
  <c r="J99" i="24"/>
  <c r="J85" i="24"/>
  <c r="J138" i="24"/>
  <c r="J130" i="24"/>
  <c r="J122" i="24"/>
  <c r="J94" i="24"/>
  <c r="J90" i="24"/>
  <c r="J86" i="24"/>
  <c r="J84" i="24"/>
  <c r="J82" i="24"/>
  <c r="J95" i="24"/>
  <c r="H82" i="24"/>
  <c r="J77" i="24"/>
  <c r="J73" i="24"/>
  <c r="J69" i="24"/>
  <c r="J65" i="24"/>
  <c r="J61" i="24"/>
  <c r="J57" i="24"/>
  <c r="J131" i="24"/>
  <c r="J123" i="24"/>
  <c r="J113" i="24"/>
  <c r="J91" i="24"/>
  <c r="J87" i="24"/>
  <c r="J124" i="24"/>
  <c r="J114" i="24"/>
  <c r="J78" i="24"/>
  <c r="J74" i="24"/>
  <c r="J70" i="24"/>
  <c r="J66" i="24"/>
  <c r="J62" i="24"/>
  <c r="J58" i="24"/>
  <c r="J132" i="24"/>
  <c r="J116" i="24"/>
  <c r="J106" i="24"/>
  <c r="J92" i="24"/>
  <c r="J88" i="24"/>
  <c r="N129" i="24"/>
  <c r="J133" i="24"/>
  <c r="P12" i="27"/>
  <c r="X13" i="27"/>
  <c r="L86" i="27"/>
  <c r="N86" i="27" s="1"/>
  <c r="N88" i="27"/>
  <c r="X108" i="27"/>
  <c r="Z108" i="27" s="1"/>
  <c r="N115" i="27"/>
  <c r="Z105" i="30"/>
  <c r="Z116" i="30"/>
  <c r="X144" i="30"/>
  <c r="N152" i="30"/>
  <c r="Z64" i="33"/>
  <c r="J57" i="21"/>
  <c r="V61" i="21"/>
  <c r="J65" i="21"/>
  <c r="V69" i="21"/>
  <c r="J77" i="21"/>
  <c r="V81" i="21"/>
  <c r="J85" i="21"/>
  <c r="V89" i="21"/>
  <c r="V93" i="21"/>
  <c r="J111" i="21"/>
  <c r="Z144" i="30"/>
  <c r="T127" i="27"/>
  <c r="V127" i="27" s="1"/>
  <c r="N72" i="30"/>
  <c r="V43" i="21"/>
  <c r="V59" i="21"/>
  <c r="V67" i="21"/>
  <c r="V79" i="21"/>
  <c r="V87" i="21"/>
  <c r="V99" i="21"/>
  <c r="V107" i="21"/>
  <c r="N95" i="24"/>
  <c r="Z133" i="24"/>
  <c r="V78" i="27"/>
  <c r="V82" i="27"/>
  <c r="V99" i="27"/>
  <c r="L72" i="30"/>
  <c r="N134" i="30"/>
  <c r="L74" i="33"/>
  <c r="J114" i="21"/>
  <c r="J109" i="21"/>
  <c r="X13" i="21"/>
  <c r="Z13" i="21" s="1"/>
  <c r="V28" i="21"/>
  <c r="V30" i="21"/>
  <c r="V32" i="21"/>
  <c r="J36" i="21"/>
  <c r="J40" i="21"/>
  <c r="X43" i="21"/>
  <c r="Z43" i="21" s="1"/>
  <c r="J54" i="21"/>
  <c r="V60" i="21"/>
  <c r="V68" i="21"/>
  <c r="J74" i="21"/>
  <c r="V80" i="21"/>
  <c r="J84" i="21"/>
  <c r="V92" i="21"/>
  <c r="J96" i="21"/>
  <c r="L97" i="21"/>
  <c r="N97" i="21" s="1"/>
  <c r="J105" i="21"/>
  <c r="J116" i="21"/>
  <c r="V140" i="24"/>
  <c r="V138" i="24"/>
  <c r="V130" i="24"/>
  <c r="V122" i="24"/>
  <c r="V94" i="24"/>
  <c r="V90" i="24"/>
  <c r="V86" i="24"/>
  <c r="V141" i="24"/>
  <c r="V113" i="24"/>
  <c r="V77" i="24"/>
  <c r="V73" i="24"/>
  <c r="V69" i="24"/>
  <c r="V65" i="24"/>
  <c r="V61" i="24"/>
  <c r="V57" i="24"/>
  <c r="V124" i="24"/>
  <c r="V112" i="24"/>
  <c r="V104" i="24"/>
  <c r="V100" i="24"/>
  <c r="V96" i="24"/>
  <c r="V131" i="24"/>
  <c r="V123" i="24"/>
  <c r="V115" i="24"/>
  <c r="V91" i="24"/>
  <c r="V87" i="24"/>
  <c r="V114" i="24"/>
  <c r="V106" i="24"/>
  <c r="V78" i="24"/>
  <c r="V74" i="24"/>
  <c r="V70" i="24"/>
  <c r="V66" i="24"/>
  <c r="V145" i="24"/>
  <c r="V133" i="24"/>
  <c r="V125" i="24"/>
  <c r="V117" i="24"/>
  <c r="V105" i="24"/>
  <c r="V101" i="24"/>
  <c r="V97" i="24"/>
  <c r="V135" i="24"/>
  <c r="V127" i="24"/>
  <c r="V119" i="24"/>
  <c r="V107" i="24"/>
  <c r="V79" i="24"/>
  <c r="V75" i="24"/>
  <c r="V71" i="24"/>
  <c r="V67" i="24"/>
  <c r="V63" i="24"/>
  <c r="V134" i="24"/>
  <c r="V126" i="24"/>
  <c r="V118" i="24"/>
  <c r="V110" i="24"/>
  <c r="V102" i="24"/>
  <c r="V98" i="24"/>
  <c r="V136" i="24"/>
  <c r="V128" i="24"/>
  <c r="V120" i="24"/>
  <c r="V84" i="24"/>
  <c r="V80" i="24"/>
  <c r="V76" i="24"/>
  <c r="V72" i="24"/>
  <c r="V68" i="24"/>
  <c r="V64" i="24"/>
  <c r="V60" i="24"/>
  <c r="V56" i="24"/>
  <c r="V59" i="24"/>
  <c r="V88" i="24"/>
  <c r="Z117" i="24"/>
  <c r="L124" i="24"/>
  <c r="N124" i="24" s="1"/>
  <c r="V129" i="24"/>
  <c r="Z135" i="24"/>
  <c r="V49" i="27"/>
  <c r="V115" i="27"/>
  <c r="V117" i="27"/>
  <c r="P12" i="30"/>
  <c r="T69" i="30"/>
  <c r="Z44" i="30"/>
  <c r="P12" i="33"/>
  <c r="X13" i="33"/>
  <c r="Z13" i="33" s="1"/>
  <c r="N74" i="33"/>
  <c r="V33" i="21"/>
  <c r="V37" i="21"/>
  <c r="V41" i="21"/>
  <c r="J45" i="21"/>
  <c r="J49" i="21"/>
  <c r="J53" i="21"/>
  <c r="V57" i="21"/>
  <c r="V65" i="21"/>
  <c r="J73" i="21"/>
  <c r="V77" i="21"/>
  <c r="V85" i="21"/>
  <c r="J95" i="21"/>
  <c r="J101" i="21"/>
  <c r="V85" i="24"/>
  <c r="V103" i="24"/>
  <c r="V137" i="24"/>
  <c r="D12" i="27"/>
  <c r="V109" i="27"/>
  <c r="Z72" i="30"/>
  <c r="Z98" i="30"/>
  <c r="Z100" i="30"/>
  <c r="Z110" i="30"/>
  <c r="J26" i="21"/>
  <c r="V46" i="21"/>
  <c r="V50" i="21"/>
  <c r="V58" i="21"/>
  <c r="J62" i="21"/>
  <c r="V66" i="21"/>
  <c r="J72" i="21"/>
  <c r="V78" i="21"/>
  <c r="V86" i="21"/>
  <c r="J90" i="21"/>
  <c r="J94" i="21"/>
  <c r="V98" i="21"/>
  <c r="V110" i="21"/>
  <c r="V111" i="21"/>
  <c r="X116" i="21"/>
  <c r="J122" i="21"/>
  <c r="V93" i="24"/>
  <c r="V95" i="24"/>
  <c r="V99" i="24"/>
  <c r="V121" i="24"/>
  <c r="V132" i="24"/>
  <c r="J145" i="24"/>
  <c r="L42" i="27"/>
  <c r="N42" i="27" s="1"/>
  <c r="V53" i="27"/>
  <c r="V107" i="27"/>
  <c r="X123" i="27"/>
  <c r="P121" i="27"/>
  <c r="X121" i="27" s="1"/>
  <c r="Z121" i="27" s="1"/>
  <c r="X110" i="30"/>
  <c r="X134" i="30"/>
  <c r="Z134" i="30" s="1"/>
  <c r="Z149" i="30"/>
  <c r="V27" i="21"/>
  <c r="J35" i="21"/>
  <c r="J39" i="21"/>
  <c r="V55" i="21"/>
  <c r="V63" i="21"/>
  <c r="J71" i="21"/>
  <c r="V75" i="21"/>
  <c r="J83" i="21"/>
  <c r="J89" i="21"/>
  <c r="V91" i="21"/>
  <c r="J104" i="21"/>
  <c r="J108" i="21"/>
  <c r="X109" i="21"/>
  <c r="Z109" i="21" s="1"/>
  <c r="N56" i="24"/>
  <c r="N84" i="24"/>
  <c r="V111" i="24"/>
  <c r="N113" i="24"/>
  <c r="V116" i="24"/>
  <c r="H61" i="27"/>
  <c r="J42" i="27"/>
  <c r="X63" i="27"/>
  <c r="F131" i="42"/>
  <c r="F122" i="42"/>
  <c r="F121" i="42"/>
  <c r="F114" i="42"/>
  <c r="F110" i="42"/>
  <c r="F106" i="42"/>
  <c r="F105" i="42"/>
  <c r="F123" i="42"/>
  <c r="F115" i="42"/>
  <c r="F111" i="42"/>
  <c r="F107" i="42"/>
  <c r="F95" i="42"/>
  <c r="F83" i="42"/>
  <c r="F82" i="42"/>
  <c r="F55" i="42"/>
  <c r="F51" i="42"/>
  <c r="F47" i="42"/>
  <c r="F117" i="42"/>
  <c r="F116" i="42"/>
  <c r="F101" i="42"/>
  <c r="F126" i="42"/>
  <c r="F125" i="42"/>
  <c r="F118" i="42"/>
  <c r="F98" i="42"/>
  <c r="F129" i="42"/>
  <c r="F120" i="42"/>
  <c r="F119" i="42"/>
  <c r="F104" i="42"/>
  <c r="F88" i="42"/>
  <c r="F68" i="42"/>
  <c r="F67" i="42"/>
  <c r="F44" i="42"/>
  <c r="F40" i="42"/>
  <c r="F36" i="42"/>
  <c r="F130" i="42"/>
  <c r="F91" i="42"/>
  <c r="F78" i="42"/>
  <c r="F73" i="42"/>
  <c r="F58" i="42"/>
  <c r="D31" i="42"/>
  <c r="F79" i="42"/>
  <c r="F74" i="42"/>
  <c r="F64" i="42"/>
  <c r="F54" i="42"/>
  <c r="F35" i="42"/>
  <c r="F103" i="42"/>
  <c r="F100" i="42"/>
  <c r="F84" i="42"/>
  <c r="F59" i="42"/>
  <c r="F38" i="42"/>
  <c r="F27" i="42"/>
  <c r="F26" i="42"/>
  <c r="F124" i="42"/>
  <c r="F92" i="42"/>
  <c r="F85" i="42"/>
  <c r="F41" i="42"/>
  <c r="F112" i="42"/>
  <c r="F80" i="42"/>
  <c r="F75" i="42"/>
  <c r="F69" i="42"/>
  <c r="F48" i="42"/>
  <c r="F108" i="42"/>
  <c r="F89" i="42"/>
  <c r="F65" i="42"/>
  <c r="F60" i="42"/>
  <c r="F28" i="42"/>
  <c r="F136" i="42"/>
  <c r="F86" i="42"/>
  <c r="F81" i="42"/>
  <c r="F76" i="42"/>
  <c r="F70" i="42"/>
  <c r="F61" i="42"/>
  <c r="F52" i="42"/>
  <c r="F45" i="42"/>
  <c r="F42" i="42"/>
  <c r="F39" i="42"/>
  <c r="F93" i="42"/>
  <c r="F49" i="42"/>
  <c r="F132" i="42"/>
  <c r="F87" i="42"/>
  <c r="F71" i="42"/>
  <c r="F62" i="42"/>
  <c r="F56" i="42"/>
  <c r="F46" i="42"/>
  <c r="F29" i="42"/>
  <c r="F113" i="42"/>
  <c r="F99" i="42"/>
  <c r="F96" i="42"/>
  <c r="F90" i="42"/>
  <c r="F72" i="42"/>
  <c r="F66" i="42"/>
  <c r="F63" i="42"/>
  <c r="F57" i="42"/>
  <c r="L12" i="42"/>
  <c r="N12" i="42" s="1"/>
  <c r="F77" i="42"/>
  <c r="F102" i="42"/>
  <c r="F33" i="42"/>
  <c r="F109" i="42"/>
  <c r="F97" i="42"/>
  <c r="F37" i="42"/>
  <c r="F53" i="42"/>
  <c r="F34" i="42"/>
  <c r="F50" i="42"/>
  <c r="F43" i="42"/>
  <c r="F94" i="42"/>
  <c r="T134" i="42"/>
  <c r="V120" i="21"/>
  <c r="V106" i="21"/>
  <c r="V102" i="21"/>
  <c r="V36" i="21"/>
  <c r="V40" i="21"/>
  <c r="J52" i="21"/>
  <c r="V56" i="21"/>
  <c r="V64" i="21"/>
  <c r="J70" i="21"/>
  <c r="V76" i="21"/>
  <c r="J82" i="21"/>
  <c r="V84" i="21"/>
  <c r="J88" i="21"/>
  <c r="V96" i="21"/>
  <c r="J100" i="21"/>
  <c r="V105" i="21"/>
  <c r="V109" i="24"/>
  <c r="V116" i="27"/>
  <c r="V92" i="27"/>
  <c r="V84" i="27"/>
  <c r="V80" i="27"/>
  <c r="V76" i="27"/>
  <c r="V129" i="27"/>
  <c r="V103" i="27"/>
  <c r="V95" i="27"/>
  <c r="V71" i="27"/>
  <c r="V67" i="27"/>
  <c r="V118" i="27"/>
  <c r="V110" i="27"/>
  <c r="V94" i="27"/>
  <c r="V86" i="27"/>
  <c r="V58" i="27"/>
  <c r="V54" i="27"/>
  <c r="V50" i="27"/>
  <c r="V46" i="27"/>
  <c r="V42" i="27"/>
  <c r="V85" i="27"/>
  <c r="V81" i="27"/>
  <c r="V77" i="27"/>
  <c r="V112" i="27"/>
  <c r="V104" i="27"/>
  <c r="V96" i="27"/>
  <c r="V88" i="27"/>
  <c r="V72" i="27"/>
  <c r="V68" i="27"/>
  <c r="V64" i="27"/>
  <c r="V121" i="27"/>
  <c r="V119" i="27"/>
  <c r="V111" i="27"/>
  <c r="V87" i="27"/>
  <c r="V63" i="27"/>
  <c r="V61" i="27"/>
  <c r="V59" i="27"/>
  <c r="V55" i="27"/>
  <c r="V51" i="27"/>
  <c r="V47" i="27"/>
  <c r="V43" i="27"/>
  <c r="V122" i="27"/>
  <c r="V123" i="27"/>
  <c r="V113" i="27"/>
  <c r="V105" i="27"/>
  <c r="V97" i="27"/>
  <c r="V89" i="27"/>
  <c r="V73" i="27"/>
  <c r="V69" i="27"/>
  <c r="V65" i="27"/>
  <c r="V124" i="27"/>
  <c r="V108" i="27"/>
  <c r="V100" i="27"/>
  <c r="V56" i="27"/>
  <c r="V52" i="27"/>
  <c r="V48" i="27"/>
  <c r="V44" i="27"/>
  <c r="V114" i="27"/>
  <c r="V102" i="27"/>
  <c r="V90" i="27"/>
  <c r="V74" i="27"/>
  <c r="V70" i="27"/>
  <c r="V66" i="27"/>
  <c r="V57" i="27"/>
  <c r="Z63" i="27"/>
  <c r="N93" i="27"/>
  <c r="J93" i="27"/>
  <c r="N112" i="27"/>
  <c r="Z141" i="30"/>
  <c r="V45" i="21"/>
  <c r="V49" i="21"/>
  <c r="V53" i="21"/>
  <c r="J61" i="21"/>
  <c r="J69" i="21"/>
  <c r="V73" i="21"/>
  <c r="J81" i="21"/>
  <c r="J93" i="21"/>
  <c r="V97" i="21"/>
  <c r="V101" i="21"/>
  <c r="J107" i="21"/>
  <c r="J113" i="21"/>
  <c r="V116" i="21"/>
  <c r="V58" i="24"/>
  <c r="Z84" i="24"/>
  <c r="V83" i="27"/>
  <c r="X100" i="27"/>
  <c r="Z100" i="27" s="1"/>
  <c r="N106" i="27"/>
  <c r="N146" i="30"/>
  <c r="N64" i="33"/>
  <c r="L19" i="36"/>
  <c r="N19" i="36" s="1"/>
  <c r="D12" i="36"/>
  <c r="J64" i="27"/>
  <c r="J78" i="27"/>
  <c r="J82" i="27"/>
  <c r="J88" i="27"/>
  <c r="J112" i="27"/>
  <c r="J72" i="30"/>
  <c r="V74" i="30"/>
  <c r="V78" i="30"/>
  <c r="J86" i="30"/>
  <c r="J90" i="30"/>
  <c r="J106" i="30"/>
  <c r="V110" i="30"/>
  <c r="J116" i="30"/>
  <c r="V126" i="30"/>
  <c r="J130" i="30"/>
  <c r="V134" i="30"/>
  <c r="V138" i="30"/>
  <c r="J142" i="30"/>
  <c r="V146" i="30"/>
  <c r="J150" i="30"/>
  <c r="J37" i="33"/>
  <c r="V40" i="33"/>
  <c r="J45" i="33"/>
  <c r="J48" i="33"/>
  <c r="V49" i="33"/>
  <c r="V52" i="33"/>
  <c r="V53" i="33"/>
  <c r="V56" i="33"/>
  <c r="L68" i="33"/>
  <c r="N68" i="33" s="1"/>
  <c r="V69" i="33"/>
  <c r="V75" i="33"/>
  <c r="V88" i="33"/>
  <c r="N33" i="36"/>
  <c r="N58" i="36"/>
  <c r="V44" i="30"/>
  <c r="V48" i="30"/>
  <c r="V52" i="30"/>
  <c r="V56" i="30"/>
  <c r="V60" i="30"/>
  <c r="V64" i="30"/>
  <c r="J76" i="30"/>
  <c r="J80" i="30"/>
  <c r="J96" i="30"/>
  <c r="V100" i="30"/>
  <c r="J104" i="30"/>
  <c r="V108" i="30"/>
  <c r="J114" i="30"/>
  <c r="V120" i="30"/>
  <c r="J124" i="30"/>
  <c r="V132" i="30"/>
  <c r="J136" i="30"/>
  <c r="J140" i="30"/>
  <c r="V144" i="30"/>
  <c r="J148" i="30"/>
  <c r="V154" i="30"/>
  <c r="J102" i="33"/>
  <c r="J87" i="33"/>
  <c r="J79" i="33"/>
  <c r="J103" i="33"/>
  <c r="J92" i="33"/>
  <c r="J88" i="33"/>
  <c r="J80" i="33"/>
  <c r="J70" i="33"/>
  <c r="J104" i="33"/>
  <c r="J105" i="33"/>
  <c r="J94" i="33"/>
  <c r="J82" i="33"/>
  <c r="J72" i="33"/>
  <c r="J62" i="33"/>
  <c r="J58" i="33"/>
  <c r="J54" i="33"/>
  <c r="J106" i="33"/>
  <c r="J89" i="33"/>
  <c r="J74" i="33"/>
  <c r="J110" i="33"/>
  <c r="J96" i="33"/>
  <c r="J90" i="33"/>
  <c r="J84" i="33"/>
  <c r="J100" i="33"/>
  <c r="J99" i="33"/>
  <c r="J91" i="33"/>
  <c r="J77" i="33"/>
  <c r="J67" i="33"/>
  <c r="J51" i="33"/>
  <c r="J47" i="33"/>
  <c r="V34" i="33"/>
  <c r="J63" i="33"/>
  <c r="J68" i="33"/>
  <c r="V72" i="33"/>
  <c r="N87" i="33"/>
  <c r="X96" i="33"/>
  <c r="P12" i="36"/>
  <c r="X13" i="36"/>
  <c r="Z13" i="36" s="1"/>
  <c r="Z45" i="36"/>
  <c r="J95" i="27"/>
  <c r="D12" i="30"/>
  <c r="V73" i="30"/>
  <c r="V77" i="30"/>
  <c r="V81" i="30"/>
  <c r="J85" i="30"/>
  <c r="J89" i="30"/>
  <c r="J95" i="30"/>
  <c r="V97" i="30"/>
  <c r="J103" i="30"/>
  <c r="J113" i="30"/>
  <c r="V117" i="30"/>
  <c r="J123" i="30"/>
  <c r="V125" i="30"/>
  <c r="J129" i="30"/>
  <c r="V137" i="30"/>
  <c r="V153" i="30"/>
  <c r="V48" i="33"/>
  <c r="V58" i="33"/>
  <c r="J60" i="33"/>
  <c r="V80" i="33"/>
  <c r="V82" i="33"/>
  <c r="J95" i="33"/>
  <c r="J101" i="33"/>
  <c r="Z56" i="36"/>
  <c r="Z58" i="36"/>
  <c r="L82" i="36"/>
  <c r="N82" i="36" s="1"/>
  <c r="T144" i="36"/>
  <c r="V144" i="36" s="1"/>
  <c r="J46" i="30"/>
  <c r="J50" i="30"/>
  <c r="J54" i="30"/>
  <c r="J58" i="30"/>
  <c r="J62" i="30"/>
  <c r="J66" i="30"/>
  <c r="J94" i="30"/>
  <c r="J102" i="30"/>
  <c r="J112" i="30"/>
  <c r="J122" i="30"/>
  <c r="V150" i="30"/>
  <c r="V152" i="30"/>
  <c r="N84" i="33"/>
  <c r="V91" i="33"/>
  <c r="V104" i="33"/>
  <c r="J103" i="27"/>
  <c r="J117" i="27"/>
  <c r="J129" i="27"/>
  <c r="V47" i="30"/>
  <c r="V51" i="30"/>
  <c r="V55" i="30"/>
  <c r="V59" i="30"/>
  <c r="V63" i="30"/>
  <c r="V67" i="30"/>
  <c r="V69" i="30"/>
  <c r="V71" i="30"/>
  <c r="J75" i="30"/>
  <c r="J79" i="30"/>
  <c r="J93" i="30"/>
  <c r="V107" i="30"/>
  <c r="J111" i="30"/>
  <c r="V115" i="30"/>
  <c r="V131" i="30"/>
  <c r="J135" i="30"/>
  <c r="J139" i="30"/>
  <c r="J147" i="30"/>
  <c r="J159" i="30"/>
  <c r="V33" i="33"/>
  <c r="H40" i="33"/>
  <c r="J42" i="33"/>
  <c r="J50" i="33"/>
  <c r="V63" i="33"/>
  <c r="V74" i="33"/>
  <c r="N79" i="33"/>
  <c r="L84" i="33"/>
  <c r="J86" i="33"/>
  <c r="X93" i="33"/>
  <c r="Z93" i="33" s="1"/>
  <c r="X101" i="33"/>
  <c r="P99" i="33"/>
  <c r="X99" i="33" s="1"/>
  <c r="Z99" i="33" s="1"/>
  <c r="Z77" i="36"/>
  <c r="Z122" i="36"/>
  <c r="V72" i="30"/>
  <c r="V76" i="30"/>
  <c r="V80" i="30"/>
  <c r="J84" i="30"/>
  <c r="J88" i="30"/>
  <c r="J92" i="30"/>
  <c r="L93" i="30"/>
  <c r="N93" i="30" s="1"/>
  <c r="V96" i="30"/>
  <c r="V104" i="30"/>
  <c r="X107" i="30"/>
  <c r="Z107" i="30" s="1"/>
  <c r="J110" i="30"/>
  <c r="V116" i="30"/>
  <c r="V124" i="30"/>
  <c r="J128" i="30"/>
  <c r="X131" i="30"/>
  <c r="Z131" i="30" s="1"/>
  <c r="J134" i="30"/>
  <c r="V136" i="30"/>
  <c r="V140" i="30"/>
  <c r="J146" i="30"/>
  <c r="V148" i="30"/>
  <c r="V89" i="33"/>
  <c r="V73" i="33"/>
  <c r="V96" i="33"/>
  <c r="V84" i="33"/>
  <c r="V64" i="33"/>
  <c r="V110" i="33"/>
  <c r="V90" i="33"/>
  <c r="V66" i="33"/>
  <c r="V50" i="33"/>
  <c r="V46" i="33"/>
  <c r="V99" i="33"/>
  <c r="V97" i="33"/>
  <c r="V85" i="33"/>
  <c r="V100" i="33"/>
  <c r="V76" i="33"/>
  <c r="V68" i="33"/>
  <c r="V102" i="33"/>
  <c r="V86" i="33"/>
  <c r="V78" i="33"/>
  <c r="V105" i="33"/>
  <c r="V71" i="33"/>
  <c r="Z68" i="33"/>
  <c r="J73" i="33"/>
  <c r="V77" i="33"/>
  <c r="Z87" i="33"/>
  <c r="V95" i="33"/>
  <c r="V101" i="33"/>
  <c r="N97" i="36"/>
  <c r="Z139" i="39"/>
  <c r="J45" i="27"/>
  <c r="J49" i="27"/>
  <c r="J53" i="27"/>
  <c r="J57" i="27"/>
  <c r="J75" i="27"/>
  <c r="J91" i="27"/>
  <c r="J101" i="27"/>
  <c r="J109" i="27"/>
  <c r="J115" i="27"/>
  <c r="J45" i="30"/>
  <c r="J49" i="30"/>
  <c r="J53" i="30"/>
  <c r="J57" i="30"/>
  <c r="J61" i="30"/>
  <c r="J65" i="30"/>
  <c r="V85" i="30"/>
  <c r="V89" i="30"/>
  <c r="J101" i="30"/>
  <c r="V105" i="30"/>
  <c r="J109" i="30"/>
  <c r="V113" i="30"/>
  <c r="J121" i="30"/>
  <c r="J127" i="30"/>
  <c r="V129" i="30"/>
  <c r="J133" i="30"/>
  <c r="V141" i="30"/>
  <c r="J145" i="30"/>
  <c r="V149" i="30"/>
  <c r="V36" i="33"/>
  <c r="L43" i="33"/>
  <c r="N43" i="33" s="1"/>
  <c r="V44" i="33"/>
  <c r="V47" i="33"/>
  <c r="J53" i="33"/>
  <c r="V57" i="33"/>
  <c r="V60" i="33"/>
  <c r="J83" i="33"/>
  <c r="V87" i="33"/>
  <c r="V93" i="33"/>
  <c r="J97" i="33"/>
  <c r="N34" i="36"/>
  <c r="Z61" i="36"/>
  <c r="Z84" i="36"/>
  <c r="X86" i="36"/>
  <c r="X92" i="36"/>
  <c r="Z92" i="36" s="1"/>
  <c r="X127" i="36"/>
  <c r="Z127" i="36" s="1"/>
  <c r="V60" i="42"/>
  <c r="J114" i="27"/>
  <c r="D121" i="27"/>
  <c r="L121" i="27" s="1"/>
  <c r="N121" i="27" s="1"/>
  <c r="J125" i="27"/>
  <c r="J44" i="30"/>
  <c r="V46" i="30"/>
  <c r="V50" i="30"/>
  <c r="V54" i="30"/>
  <c r="V58" i="30"/>
  <c r="V62" i="30"/>
  <c r="V66" i="30"/>
  <c r="J74" i="30"/>
  <c r="J78" i="30"/>
  <c r="V94" i="30"/>
  <c r="J100" i="30"/>
  <c r="V102" i="30"/>
  <c r="V114" i="30"/>
  <c r="J120" i="30"/>
  <c r="V122" i="30"/>
  <c r="J126" i="30"/>
  <c r="J138" i="30"/>
  <c r="J144" i="30"/>
  <c r="J155" i="30"/>
  <c r="V32" i="33"/>
  <c r="J46" i="33"/>
  <c r="J49" i="33"/>
  <c r="V54" i="33"/>
  <c r="J56" i="33"/>
  <c r="J59" i="33"/>
  <c r="J66" i="33"/>
  <c r="V67" i="33"/>
  <c r="J81" i="33"/>
  <c r="N26" i="36"/>
  <c r="J83" i="27"/>
  <c r="J99" i="27"/>
  <c r="J107" i="27"/>
  <c r="J124" i="27"/>
  <c r="V75" i="30"/>
  <c r="V79" i="30"/>
  <c r="J83" i="30"/>
  <c r="J87" i="30"/>
  <c r="J91" i="30"/>
  <c r="V95" i="30"/>
  <c r="J99" i="30"/>
  <c r="V103" i="30"/>
  <c r="V111" i="30"/>
  <c r="J119" i="30"/>
  <c r="V123" i="30"/>
  <c r="V135" i="30"/>
  <c r="V139" i="30"/>
  <c r="J143" i="30"/>
  <c r="V147" i="30"/>
  <c r="J154" i="30"/>
  <c r="V159" i="30"/>
  <c r="J38" i="33"/>
  <c r="J52" i="33"/>
  <c r="V62" i="33"/>
  <c r="J65" i="33"/>
  <c r="J69" i="33"/>
  <c r="Z70" i="33"/>
  <c r="N72" i="33"/>
  <c r="J75" i="33"/>
  <c r="J78" i="33"/>
  <c r="L26" i="36"/>
  <c r="N113" i="39"/>
  <c r="J48" i="30"/>
  <c r="J52" i="30"/>
  <c r="J56" i="30"/>
  <c r="J60" i="30"/>
  <c r="J64" i="30"/>
  <c r="H69" i="30"/>
  <c r="J82" i="30"/>
  <c r="V84" i="30"/>
  <c r="V88" i="30"/>
  <c r="V92" i="30"/>
  <c r="J98" i="30"/>
  <c r="J108" i="30"/>
  <c r="V112" i="30"/>
  <c r="J118" i="30"/>
  <c r="J132" i="30"/>
  <c r="J152" i="30"/>
  <c r="V35" i="33"/>
  <c r="J61" i="33"/>
  <c r="V70" i="33"/>
  <c r="V79" i="33"/>
  <c r="V83" i="33"/>
  <c r="V103" i="33"/>
  <c r="Z34" i="36"/>
  <c r="Z70" i="36"/>
  <c r="L113" i="39"/>
  <c r="X140" i="39"/>
  <c r="Z140" i="39" s="1"/>
  <c r="P139" i="39"/>
  <c r="X139" i="39" s="1"/>
  <c r="J26" i="36"/>
  <c r="V28" i="36"/>
  <c r="J36" i="36"/>
  <c r="J40" i="36"/>
  <c r="J44" i="36"/>
  <c r="V56" i="36"/>
  <c r="J60" i="36"/>
  <c r="V64" i="36"/>
  <c r="J76" i="36"/>
  <c r="X79" i="36"/>
  <c r="Z79" i="36" s="1"/>
  <c r="J83" i="36"/>
  <c r="V85" i="36"/>
  <c r="V86" i="36"/>
  <c r="N90" i="36"/>
  <c r="V92" i="36"/>
  <c r="J103" i="36"/>
  <c r="J109" i="36"/>
  <c r="V110" i="36"/>
  <c r="V127" i="36"/>
  <c r="J137" i="39"/>
  <c r="J129" i="39"/>
  <c r="J109" i="39"/>
  <c r="J89" i="39"/>
  <c r="J79" i="39"/>
  <c r="J61" i="39"/>
  <c r="J57" i="39"/>
  <c r="J53" i="39"/>
  <c r="J130" i="39"/>
  <c r="J124" i="39"/>
  <c r="J120" i="39"/>
  <c r="J104" i="39"/>
  <c r="J90" i="39"/>
  <c r="J80" i="39"/>
  <c r="J62" i="39"/>
  <c r="J48" i="39"/>
  <c r="J44" i="39"/>
  <c r="J140" i="39"/>
  <c r="J139" i="39"/>
  <c r="J131" i="39"/>
  <c r="J115" i="39"/>
  <c r="J99" i="39"/>
  <c r="J91" i="39"/>
  <c r="J81" i="39"/>
  <c r="J71" i="39"/>
  <c r="J63" i="39"/>
  <c r="J35" i="39"/>
  <c r="J141" i="39"/>
  <c r="J132" i="39"/>
  <c r="J116" i="39"/>
  <c r="J110" i="39"/>
  <c r="J92" i="39"/>
  <c r="J82" i="39"/>
  <c r="J64" i="39"/>
  <c r="J58" i="39"/>
  <c r="J54" i="39"/>
  <c r="J40" i="39"/>
  <c r="J142" i="39"/>
  <c r="J133" i="39"/>
  <c r="J125" i="39"/>
  <c r="J121" i="39"/>
  <c r="J117" i="39"/>
  <c r="J105" i="39"/>
  <c r="J93" i="39"/>
  <c r="J83" i="39"/>
  <c r="J65" i="39"/>
  <c r="J49" i="39"/>
  <c r="J45" i="39"/>
  <c r="J41" i="39"/>
  <c r="J39" i="39"/>
  <c r="J143" i="39"/>
  <c r="J106" i="39"/>
  <c r="J100" i="39"/>
  <c r="J94" i="39"/>
  <c r="J84" i="39"/>
  <c r="J72" i="39"/>
  <c r="J66" i="39"/>
  <c r="H37" i="39"/>
  <c r="J134" i="39"/>
  <c r="J126" i="39"/>
  <c r="J122" i="39"/>
  <c r="J118" i="39"/>
  <c r="J102" i="39"/>
  <c r="J96" i="39"/>
  <c r="J74" i="39"/>
  <c r="J68" i="39"/>
  <c r="J50" i="39"/>
  <c r="J46" i="39"/>
  <c r="J42" i="39"/>
  <c r="J147" i="39"/>
  <c r="J127" i="39"/>
  <c r="J97" i="39"/>
  <c r="J85" i="39"/>
  <c r="J75" i="39"/>
  <c r="J69" i="39"/>
  <c r="J51" i="39"/>
  <c r="J33" i="39"/>
  <c r="V40" i="39"/>
  <c r="V64" i="39"/>
  <c r="V79" i="39"/>
  <c r="X81" i="39"/>
  <c r="J113" i="39"/>
  <c r="V142" i="39"/>
  <c r="X60" i="42"/>
  <c r="Z60" i="42" s="1"/>
  <c r="J83" i="42"/>
  <c r="J132" i="36"/>
  <c r="J124" i="36"/>
  <c r="J104" i="36"/>
  <c r="J82" i="36"/>
  <c r="J106" i="36"/>
  <c r="H31" i="36"/>
  <c r="V50" i="36"/>
  <c r="V54" i="36"/>
  <c r="V62" i="36"/>
  <c r="J66" i="36"/>
  <c r="V70" i="36"/>
  <c r="J74" i="36"/>
  <c r="V78" i="36"/>
  <c r="J89" i="36"/>
  <c r="N102" i="36"/>
  <c r="V106" i="36"/>
  <c r="J113" i="36"/>
  <c r="J120" i="36"/>
  <c r="V121" i="36"/>
  <c r="V122" i="36"/>
  <c r="V131" i="36"/>
  <c r="N134" i="36"/>
  <c r="V137" i="36"/>
  <c r="X88" i="39"/>
  <c r="Z88" i="39" s="1"/>
  <c r="N106" i="39"/>
  <c r="L106" i="39"/>
  <c r="L34" i="42"/>
  <c r="X75" i="42"/>
  <c r="Z75" i="42" s="1"/>
  <c r="J94" i="42"/>
  <c r="N116" i="42"/>
  <c r="V27" i="36"/>
  <c r="J31" i="36"/>
  <c r="J33" i="36"/>
  <c r="J35" i="36"/>
  <c r="J39" i="36"/>
  <c r="J43" i="36"/>
  <c r="J59" i="36"/>
  <c r="V63" i="36"/>
  <c r="V67" i="36"/>
  <c r="J73" i="36"/>
  <c r="V79" i="36"/>
  <c r="J81" i="36"/>
  <c r="J98" i="36"/>
  <c r="V99" i="36"/>
  <c r="J102" i="36"/>
  <c r="V103" i="36"/>
  <c r="J105" i="36"/>
  <c r="J108" i="36"/>
  <c r="J134" i="36"/>
  <c r="V143" i="39"/>
  <c r="V133" i="39"/>
  <c r="V125" i="39"/>
  <c r="V121" i="39"/>
  <c r="V117" i="39"/>
  <c r="V105" i="39"/>
  <c r="V101" i="39"/>
  <c r="V93" i="39"/>
  <c r="V73" i="39"/>
  <c r="V65" i="39"/>
  <c r="V49" i="39"/>
  <c r="V45" i="39"/>
  <c r="V41" i="39"/>
  <c r="V100" i="39"/>
  <c r="V96" i="39"/>
  <c r="V84" i="39"/>
  <c r="V72" i="39"/>
  <c r="V68" i="39"/>
  <c r="V127" i="39"/>
  <c r="V111" i="39"/>
  <c r="V107" i="39"/>
  <c r="V95" i="39"/>
  <c r="V75" i="39"/>
  <c r="V67" i="39"/>
  <c r="V59" i="39"/>
  <c r="V55" i="39"/>
  <c r="V51" i="39"/>
  <c r="V134" i="39"/>
  <c r="V126" i="39"/>
  <c r="V122" i="39"/>
  <c r="V118" i="39"/>
  <c r="V102" i="39"/>
  <c r="V86" i="39"/>
  <c r="V74" i="39"/>
  <c r="V50" i="39"/>
  <c r="V46" i="39"/>
  <c r="V42" i="39"/>
  <c r="V147" i="39"/>
  <c r="V113" i="39"/>
  <c r="V97" i="39"/>
  <c r="V85" i="39"/>
  <c r="V77" i="39"/>
  <c r="V69" i="39"/>
  <c r="V136" i="39"/>
  <c r="V128" i="39"/>
  <c r="V112" i="39"/>
  <c r="V108" i="39"/>
  <c r="V88" i="39"/>
  <c r="V76" i="39"/>
  <c r="V60" i="39"/>
  <c r="V56" i="39"/>
  <c r="V52" i="39"/>
  <c r="V130" i="39"/>
  <c r="V114" i="39"/>
  <c r="V98" i="39"/>
  <c r="V90" i="39"/>
  <c r="V78" i="39"/>
  <c r="V70" i="39"/>
  <c r="V62" i="39"/>
  <c r="V139" i="39"/>
  <c r="V137" i="39"/>
  <c r="V129" i="39"/>
  <c r="V109" i="39"/>
  <c r="V89" i="39"/>
  <c r="V81" i="39"/>
  <c r="V61" i="39"/>
  <c r="V57" i="39"/>
  <c r="V53" i="39"/>
  <c r="Z39" i="39"/>
  <c r="V71" i="39"/>
  <c r="L94" i="39"/>
  <c r="N94" i="39" s="1"/>
  <c r="N139" i="39"/>
  <c r="Z73" i="42"/>
  <c r="N66" i="45"/>
  <c r="J71" i="45"/>
  <c r="J72" i="36"/>
  <c r="J88" i="36"/>
  <c r="J93" i="36"/>
  <c r="J97" i="36"/>
  <c r="J101" i="36"/>
  <c r="V109" i="36"/>
  <c r="J116" i="36"/>
  <c r="V117" i="36"/>
  <c r="V125" i="36"/>
  <c r="V136" i="36"/>
  <c r="V142" i="36"/>
  <c r="Z83" i="39"/>
  <c r="V87" i="39"/>
  <c r="V124" i="39"/>
  <c r="J132" i="42"/>
  <c r="J136" i="42"/>
  <c r="J116" i="42"/>
  <c r="J96" i="42"/>
  <c r="J90" i="42"/>
  <c r="J84" i="42"/>
  <c r="J74" i="42"/>
  <c r="J56" i="42"/>
  <c r="J42" i="42"/>
  <c r="J38" i="42"/>
  <c r="J124" i="42"/>
  <c r="J112" i="42"/>
  <c r="J108" i="42"/>
  <c r="J102" i="42"/>
  <c r="J119" i="42"/>
  <c r="J113" i="42"/>
  <c r="J109" i="42"/>
  <c r="J93" i="42"/>
  <c r="J130" i="42"/>
  <c r="J121" i="42"/>
  <c r="J105" i="42"/>
  <c r="J99" i="42"/>
  <c r="J79" i="42"/>
  <c r="J69" i="42"/>
  <c r="J63" i="42"/>
  <c r="J45" i="42"/>
  <c r="J88" i="42"/>
  <c r="J64" i="42"/>
  <c r="J54" i="42"/>
  <c r="J35" i="42"/>
  <c r="J103" i="42"/>
  <c r="J100" i="42"/>
  <c r="J68" i="42"/>
  <c r="J59" i="42"/>
  <c r="J51" i="42"/>
  <c r="J27" i="42"/>
  <c r="J114" i="42"/>
  <c r="J92" i="42"/>
  <c r="J85" i="42"/>
  <c r="J80" i="42"/>
  <c r="J75" i="42"/>
  <c r="J44" i="42"/>
  <c r="J41" i="42"/>
  <c r="J128" i="42"/>
  <c r="J110" i="42"/>
  <c r="J95" i="42"/>
  <c r="J60" i="42"/>
  <c r="J48" i="42"/>
  <c r="J122" i="42"/>
  <c r="J106" i="42"/>
  <c r="J98" i="42"/>
  <c r="J89" i="42"/>
  <c r="J86" i="42"/>
  <c r="J65" i="42"/>
  <c r="J55" i="42"/>
  <c r="J28" i="42"/>
  <c r="J131" i="42"/>
  <c r="J125" i="42"/>
  <c r="J117" i="42"/>
  <c r="J81" i="42"/>
  <c r="J76" i="42"/>
  <c r="J70" i="42"/>
  <c r="J61" i="42"/>
  <c r="J52" i="42"/>
  <c r="J39" i="42"/>
  <c r="J36" i="42"/>
  <c r="J101" i="42"/>
  <c r="J71" i="42"/>
  <c r="J62" i="42"/>
  <c r="J49" i="42"/>
  <c r="J129" i="42"/>
  <c r="J120" i="42"/>
  <c r="J104" i="42"/>
  <c r="J87" i="42"/>
  <c r="J46" i="42"/>
  <c r="J29" i="42"/>
  <c r="J115" i="42"/>
  <c r="J82" i="42"/>
  <c r="J72" i="42"/>
  <c r="J66" i="42"/>
  <c r="J57" i="42"/>
  <c r="J111" i="42"/>
  <c r="J77" i="42"/>
  <c r="J53" i="42"/>
  <c r="J50" i="42"/>
  <c r="J43" i="42"/>
  <c r="J37" i="42"/>
  <c r="J34" i="42"/>
  <c r="J33" i="42"/>
  <c r="J31" i="42"/>
  <c r="N34" i="42"/>
  <c r="J29" i="36"/>
  <c r="V45" i="36"/>
  <c r="V49" i="36"/>
  <c r="V53" i="36"/>
  <c r="J57" i="36"/>
  <c r="V61" i="36"/>
  <c r="J65" i="36"/>
  <c r="V77" i="36"/>
  <c r="J87" i="36"/>
  <c r="Z90" i="36"/>
  <c r="V94" i="36"/>
  <c r="L97" i="36"/>
  <c r="J119" i="36"/>
  <c r="V124" i="36"/>
  <c r="J128" i="36"/>
  <c r="V129" i="36"/>
  <c r="P134" i="36"/>
  <c r="X134" i="36" s="1"/>
  <c r="Z134" i="36" s="1"/>
  <c r="N77" i="39"/>
  <c r="V80" i="39"/>
  <c r="V83" i="39"/>
  <c r="V104" i="39"/>
  <c r="V106" i="39"/>
  <c r="N64" i="45"/>
  <c r="V138" i="36"/>
  <c r="V128" i="36"/>
  <c r="V120" i="36"/>
  <c r="V116" i="36"/>
  <c r="V112" i="36"/>
  <c r="V100" i="36"/>
  <c r="V88" i="36"/>
  <c r="V130" i="36"/>
  <c r="V118" i="36"/>
  <c r="V114" i="36"/>
  <c r="V98" i="36"/>
  <c r="V26" i="36"/>
  <c r="J38" i="36"/>
  <c r="J42" i="36"/>
  <c r="J56" i="36"/>
  <c r="V66" i="36"/>
  <c r="V74" i="36"/>
  <c r="V89" i="36"/>
  <c r="V90" i="36"/>
  <c r="J96" i="36"/>
  <c r="V105" i="36"/>
  <c r="J107" i="36"/>
  <c r="J112" i="36"/>
  <c r="V113" i="36"/>
  <c r="J123" i="36"/>
  <c r="J127" i="36"/>
  <c r="V32" i="39"/>
  <c r="X83" i="39"/>
  <c r="L86" i="39"/>
  <c r="N86" i="39" s="1"/>
  <c r="V94" i="39"/>
  <c r="V110" i="39"/>
  <c r="V120" i="39"/>
  <c r="Z132" i="39"/>
  <c r="V141" i="39"/>
  <c r="H31" i="42"/>
  <c r="Z69" i="42"/>
  <c r="V35" i="36"/>
  <c r="V39" i="36"/>
  <c r="V43" i="36"/>
  <c r="J47" i="36"/>
  <c r="J51" i="36"/>
  <c r="J55" i="36"/>
  <c r="V59" i="36"/>
  <c r="J71" i="36"/>
  <c r="V75" i="36"/>
  <c r="J80" i="36"/>
  <c r="V81" i="36"/>
  <c r="V82" i="36"/>
  <c r="J86" i="36"/>
  <c r="J92" i="36"/>
  <c r="Z102" i="36"/>
  <c r="J111" i="36"/>
  <c r="J115" i="36"/>
  <c r="J138" i="36"/>
  <c r="D12" i="39"/>
  <c r="V34" i="39"/>
  <c r="V54" i="39"/>
  <c r="V58" i="39"/>
  <c r="L66" i="39"/>
  <c r="N66" i="39" s="1"/>
  <c r="L77" i="39"/>
  <c r="V82" i="39"/>
  <c r="V92" i="39"/>
  <c r="J114" i="39"/>
  <c r="X116" i="39"/>
  <c r="Z116" i="39" s="1"/>
  <c r="J123" i="39"/>
  <c r="V132" i="39"/>
  <c r="J135" i="39"/>
  <c r="J26" i="42"/>
  <c r="L33" i="42"/>
  <c r="N33" i="42" s="1"/>
  <c r="J40" i="42"/>
  <c r="L58" i="42"/>
  <c r="J78" i="42"/>
  <c r="X80" i="42"/>
  <c r="J97" i="42"/>
  <c r="J126" i="42"/>
  <c r="J28" i="36"/>
  <c r="V48" i="36"/>
  <c r="V52" i="36"/>
  <c r="J64" i="36"/>
  <c r="J70" i="36"/>
  <c r="V72" i="36"/>
  <c r="V93" i="36"/>
  <c r="J100" i="36"/>
  <c r="V101" i="36"/>
  <c r="V102" i="36"/>
  <c r="V108" i="36"/>
  <c r="J126" i="36"/>
  <c r="J131" i="36"/>
  <c r="V134" i="36"/>
  <c r="T37" i="39"/>
  <c r="V44" i="39"/>
  <c r="V48" i="39"/>
  <c r="X136" i="39"/>
  <c r="Z136" i="39" s="1"/>
  <c r="N58" i="42"/>
  <c r="V29" i="36"/>
  <c r="V31" i="36"/>
  <c r="V33" i="36"/>
  <c r="J37" i="36"/>
  <c r="J41" i="36"/>
  <c r="V57" i="36"/>
  <c r="J63" i="36"/>
  <c r="V65" i="36"/>
  <c r="J69" i="36"/>
  <c r="V73" i="36"/>
  <c r="J79" i="36"/>
  <c r="J85" i="36"/>
  <c r="V87" i="36"/>
  <c r="J95" i="36"/>
  <c r="V96" i="36"/>
  <c r="V107" i="36"/>
  <c r="J110" i="36"/>
  <c r="J118" i="36"/>
  <c r="V119" i="36"/>
  <c r="J122" i="36"/>
  <c r="V123" i="36"/>
  <c r="P12" i="39"/>
  <c r="X40" i="39"/>
  <c r="Z40" i="39" s="1"/>
  <c r="X64" i="39"/>
  <c r="Z64" i="39" s="1"/>
  <c r="V123" i="39"/>
  <c r="P12" i="42"/>
  <c r="J47" i="42"/>
  <c r="J58" i="42"/>
  <c r="Z78" i="42"/>
  <c r="Z80" i="42"/>
  <c r="L102" i="42"/>
  <c r="N102" i="42" s="1"/>
  <c r="J100" i="45"/>
  <c r="J82" i="45"/>
  <c r="J76" i="45"/>
  <c r="J70" i="45"/>
  <c r="J50" i="45"/>
  <c r="J36" i="45"/>
  <c r="J32" i="45"/>
  <c r="J96" i="45"/>
  <c r="J74" i="45"/>
  <c r="J64" i="45"/>
  <c r="J54" i="45"/>
  <c r="J38" i="45"/>
  <c r="J34" i="45"/>
  <c r="J30" i="45"/>
  <c r="J98" i="45"/>
  <c r="J89" i="45"/>
  <c r="J75" i="45"/>
  <c r="J72" i="45"/>
  <c r="J56" i="45"/>
  <c r="J41" i="45"/>
  <c r="J20" i="45"/>
  <c r="J86" i="45"/>
  <c r="J67" i="45"/>
  <c r="J35" i="45"/>
  <c r="J21" i="45"/>
  <c r="J94" i="45"/>
  <c r="J62" i="45"/>
  <c r="J57" i="45"/>
  <c r="J53" i="45"/>
  <c r="J48" i="45"/>
  <c r="J90" i="45"/>
  <c r="J83" i="45"/>
  <c r="J79" i="45"/>
  <c r="J73" i="45"/>
  <c r="J58" i="45"/>
  <c r="J45" i="45"/>
  <c r="J42" i="45"/>
  <c r="J68" i="45"/>
  <c r="J95" i="45"/>
  <c r="J87" i="45"/>
  <c r="J63" i="45"/>
  <c r="J39" i="45"/>
  <c r="J33" i="45"/>
  <c r="J84" i="45"/>
  <c r="J80" i="45"/>
  <c r="J91" i="45"/>
  <c r="J77" i="45"/>
  <c r="J69" i="45"/>
  <c r="J59" i="45"/>
  <c r="J43" i="45"/>
  <c r="J23" i="45"/>
  <c r="J92" i="45"/>
  <c r="J88" i="45"/>
  <c r="J60" i="45"/>
  <c r="J40" i="45"/>
  <c r="J31" i="45"/>
  <c r="J28" i="45"/>
  <c r="J85" i="45"/>
  <c r="J78" i="45"/>
  <c r="J66" i="45"/>
  <c r="J51" i="45"/>
  <c r="J44" i="45"/>
  <c r="J37" i="45"/>
  <c r="H25" i="45"/>
  <c r="J27" i="45"/>
  <c r="J52" i="45"/>
  <c r="J29" i="45"/>
  <c r="J61" i="45"/>
  <c r="J49" i="45"/>
  <c r="J104" i="45"/>
  <c r="J47" i="45"/>
  <c r="J93" i="45"/>
  <c r="J65" i="45"/>
  <c r="J25" i="45"/>
  <c r="J22" i="45"/>
  <c r="J97" i="45"/>
  <c r="J46" i="45"/>
  <c r="V34" i="36"/>
  <c r="V38" i="36"/>
  <c r="V42" i="36"/>
  <c r="J46" i="36"/>
  <c r="J50" i="36"/>
  <c r="J54" i="36"/>
  <c r="V58" i="36"/>
  <c r="J62" i="36"/>
  <c r="J68" i="36"/>
  <c r="J78" i="36"/>
  <c r="N84" i="36"/>
  <c r="J91" i="36"/>
  <c r="V97" i="36"/>
  <c r="J121" i="36"/>
  <c r="L122" i="36"/>
  <c r="N122" i="36" s="1"/>
  <c r="J130" i="36"/>
  <c r="V132" i="36"/>
  <c r="J137" i="36"/>
  <c r="V66" i="39"/>
  <c r="V91" i="39"/>
  <c r="V103" i="39"/>
  <c r="V116" i="39"/>
  <c r="V135" i="39"/>
  <c r="X13" i="42"/>
  <c r="Z13" i="42" s="1"/>
  <c r="N56" i="42"/>
  <c r="J67" i="42"/>
  <c r="N91" i="42"/>
  <c r="J107" i="42"/>
  <c r="N92" i="45"/>
  <c r="V27" i="42"/>
  <c r="V35" i="42"/>
  <c r="V64" i="42"/>
  <c r="V68" i="42"/>
  <c r="V69" i="42"/>
  <c r="V74" i="42"/>
  <c r="V79" i="42"/>
  <c r="V80" i="42"/>
  <c r="N20" i="45"/>
  <c r="L60" i="45"/>
  <c r="N60" i="45" s="1"/>
  <c r="X100" i="45"/>
  <c r="V54" i="42"/>
  <c r="V88" i="42"/>
  <c r="V116" i="42"/>
  <c r="D128" i="42"/>
  <c r="L128" i="42" s="1"/>
  <c r="N128" i="42" s="1"/>
  <c r="L129" i="42"/>
  <c r="N129" i="42" s="1"/>
  <c r="L28" i="45"/>
  <c r="N28" i="45" s="1"/>
  <c r="Z66" i="45"/>
  <c r="X66" i="45"/>
  <c r="P76" i="48"/>
  <c r="N71" i="42"/>
  <c r="V125" i="42"/>
  <c r="V117" i="42"/>
  <c r="V101" i="42"/>
  <c r="V97" i="42"/>
  <c r="V128" i="42"/>
  <c r="V126" i="42"/>
  <c r="V118" i="42"/>
  <c r="V98" i="42"/>
  <c r="V78" i="42"/>
  <c r="V66" i="42"/>
  <c r="V62" i="42"/>
  <c r="V130" i="42"/>
  <c r="V120" i="42"/>
  <c r="V104" i="42"/>
  <c r="V123" i="42"/>
  <c r="V115" i="42"/>
  <c r="V111" i="42"/>
  <c r="V107" i="42"/>
  <c r="V95" i="42"/>
  <c r="V91" i="42"/>
  <c r="V83" i="42"/>
  <c r="V75" i="42"/>
  <c r="V55" i="42"/>
  <c r="V51" i="42"/>
  <c r="V47" i="42"/>
  <c r="V26" i="42"/>
  <c r="V37" i="42"/>
  <c r="V40" i="42"/>
  <c r="V43" i="42"/>
  <c r="L56" i="42"/>
  <c r="Z91" i="42"/>
  <c r="V99" i="42"/>
  <c r="V113" i="42"/>
  <c r="Z57" i="45"/>
  <c r="X26" i="42"/>
  <c r="Z26" i="42" s="1"/>
  <c r="L71" i="42"/>
  <c r="N86" i="42"/>
  <c r="V102" i="42"/>
  <c r="L55" i="48"/>
  <c r="N55" i="48"/>
  <c r="Z33" i="42"/>
  <c r="V34" i="42"/>
  <c r="V57" i="42"/>
  <c r="V87" i="42"/>
  <c r="V129" i="42"/>
  <c r="V132" i="42"/>
  <c r="L13" i="39"/>
  <c r="N13" i="39" s="1"/>
  <c r="V29" i="42"/>
  <c r="V31" i="42"/>
  <c r="V33" i="42"/>
  <c r="V46" i="42"/>
  <c r="V93" i="42"/>
  <c r="V136" i="42"/>
  <c r="L70" i="45"/>
  <c r="N70" i="45" s="1"/>
  <c r="T112" i="51"/>
  <c r="V108" i="42"/>
  <c r="X107" i="51"/>
  <c r="P106" i="51"/>
  <c r="X106" i="51" s="1"/>
  <c r="Z106" i="51" s="1"/>
  <c r="V56" i="42"/>
  <c r="V61" i="42"/>
  <c r="V70" i="42"/>
  <c r="V71" i="42"/>
  <c r="V89" i="42"/>
  <c r="L91" i="42"/>
  <c r="V106" i="42"/>
  <c r="V112" i="42"/>
  <c r="L116" i="42"/>
  <c r="V122" i="42"/>
  <c r="P128" i="42"/>
  <c r="X128" i="42" s="1"/>
  <c r="Z128" i="42" s="1"/>
  <c r="V131" i="42"/>
  <c r="N96" i="45"/>
  <c r="V65" i="42"/>
  <c r="X69" i="42"/>
  <c r="N105" i="42"/>
  <c r="V110" i="42"/>
  <c r="N121" i="42"/>
  <c r="X125" i="42"/>
  <c r="Z125" i="42" s="1"/>
  <c r="P12" i="45"/>
  <c r="X18" i="45"/>
  <c r="N15" i="48"/>
  <c r="L15" i="48"/>
  <c r="V35" i="45"/>
  <c r="V48" i="45"/>
  <c r="V67" i="45"/>
  <c r="L77" i="45"/>
  <c r="N77" i="45" s="1"/>
  <c r="V109" i="45"/>
  <c r="T17" i="48"/>
  <c r="R30" i="48"/>
  <c r="J34" i="48"/>
  <c r="Z51" i="48"/>
  <c r="N57" i="48"/>
  <c r="V59" i="48"/>
  <c r="D22" i="54"/>
  <c r="V29" i="45"/>
  <c r="L39" i="45"/>
  <c r="N39" i="45" s="1"/>
  <c r="V41" i="45"/>
  <c r="V57" i="45"/>
  <c r="V61" i="45"/>
  <c r="Z72" i="45"/>
  <c r="V89" i="45"/>
  <c r="V93" i="45"/>
  <c r="R21" i="48"/>
  <c r="J27" i="48"/>
  <c r="V30" i="48"/>
  <c r="R44" i="48"/>
  <c r="R65" i="48"/>
  <c r="P12" i="51"/>
  <c r="N59" i="51"/>
  <c r="X70" i="51"/>
  <c r="Z70" i="51" s="1"/>
  <c r="X98" i="51"/>
  <c r="Z19" i="55"/>
  <c r="Z47" i="58"/>
  <c r="Z52" i="45"/>
  <c r="V71" i="45"/>
  <c r="V72" i="45"/>
  <c r="V78" i="45"/>
  <c r="V81" i="45"/>
  <c r="D12" i="48"/>
  <c r="L62" i="48"/>
  <c r="J64" i="48"/>
  <c r="J58" i="48"/>
  <c r="J46" i="48"/>
  <c r="J38" i="48"/>
  <c r="J74" i="48"/>
  <c r="J73" i="48"/>
  <c r="J65" i="48"/>
  <c r="J47" i="48"/>
  <c r="J29" i="48"/>
  <c r="J25" i="48"/>
  <c r="J21" i="48"/>
  <c r="J19" i="48"/>
  <c r="J17" i="48"/>
  <c r="J15" i="48"/>
  <c r="J48" i="48"/>
  <c r="J30" i="48"/>
  <c r="J59" i="48"/>
  <c r="J49" i="48"/>
  <c r="J39" i="48"/>
  <c r="J35" i="48"/>
  <c r="J31" i="48"/>
  <c r="J78" i="48"/>
  <c r="J66" i="48"/>
  <c r="J50" i="48"/>
  <c r="J26" i="48"/>
  <c r="J22" i="48"/>
  <c r="J51" i="48"/>
  <c r="J60" i="48"/>
  <c r="J52" i="48"/>
  <c r="J40" i="48"/>
  <c r="J36" i="48"/>
  <c r="J32" i="48"/>
  <c r="J68" i="48"/>
  <c r="J54" i="48"/>
  <c r="J42" i="48"/>
  <c r="J69" i="48"/>
  <c r="J61" i="48"/>
  <c r="J55" i="48"/>
  <c r="J43" i="48"/>
  <c r="J37" i="48"/>
  <c r="J33" i="48"/>
  <c r="Z98" i="51"/>
  <c r="D12" i="45"/>
  <c r="V31" i="45"/>
  <c r="V65" i="45"/>
  <c r="V66" i="45"/>
  <c r="V97" i="45"/>
  <c r="V78" i="48"/>
  <c r="V66" i="48"/>
  <c r="V50" i="48"/>
  <c r="V53" i="48"/>
  <c r="V41" i="48"/>
  <c r="V68" i="48"/>
  <c r="V60" i="48"/>
  <c r="V52" i="48"/>
  <c r="V40" i="48"/>
  <c r="V36" i="48"/>
  <c r="V32" i="48"/>
  <c r="V67" i="48"/>
  <c r="V55" i="48"/>
  <c r="V43" i="48"/>
  <c r="V27" i="48"/>
  <c r="V23" i="48"/>
  <c r="V70" i="48"/>
  <c r="V62" i="48"/>
  <c r="V54" i="48"/>
  <c r="V42" i="48"/>
  <c r="V69" i="48"/>
  <c r="V61" i="48"/>
  <c r="V57" i="48"/>
  <c r="V45" i="48"/>
  <c r="V37" i="48"/>
  <c r="V33" i="48"/>
  <c r="V64" i="48"/>
  <c r="V56" i="48"/>
  <c r="V44" i="48"/>
  <c r="V74" i="48"/>
  <c r="V58" i="48"/>
  <c r="V46" i="48"/>
  <c r="V38" i="48"/>
  <c r="V65" i="48"/>
  <c r="V49" i="48"/>
  <c r="V29" i="48"/>
  <c r="V25" i="48"/>
  <c r="V21" i="48"/>
  <c r="L19" i="48"/>
  <c r="N19" i="48" s="1"/>
  <c r="V39" i="48"/>
  <c r="J41" i="48"/>
  <c r="J56" i="48"/>
  <c r="Z57" i="48"/>
  <c r="J62" i="48"/>
  <c r="L70" i="48"/>
  <c r="J83" i="51"/>
  <c r="L95" i="51"/>
  <c r="N95" i="51" s="1"/>
  <c r="J103" i="51"/>
  <c r="L27" i="55"/>
  <c r="N27" i="55" s="1"/>
  <c r="Z28" i="45"/>
  <c r="Z60" i="45"/>
  <c r="V74" i="45"/>
  <c r="Z92" i="45"/>
  <c r="J24" i="48"/>
  <c r="N45" i="48"/>
  <c r="V23" i="45"/>
  <c r="V25" i="45"/>
  <c r="V27" i="45"/>
  <c r="V28" i="45"/>
  <c r="X39" i="45"/>
  <c r="Z39" i="45" s="1"/>
  <c r="V43" i="45"/>
  <c r="V46" i="45"/>
  <c r="V54" i="45"/>
  <c r="V59" i="45"/>
  <c r="V60" i="45"/>
  <c r="V69" i="45"/>
  <c r="V80" i="45"/>
  <c r="V91" i="45"/>
  <c r="V92" i="45"/>
  <c r="J28" i="48"/>
  <c r="J45" i="48"/>
  <c r="J70" i="48"/>
  <c r="N58" i="51"/>
  <c r="Z89" i="51"/>
  <c r="J95" i="51"/>
  <c r="X20" i="54"/>
  <c r="X27" i="45"/>
  <c r="Z27" i="45" s="1"/>
  <c r="H17" i="48"/>
  <c r="Z20" i="48"/>
  <c r="X20" i="48"/>
  <c r="V63" i="45"/>
  <c r="N72" i="45"/>
  <c r="V76" i="45"/>
  <c r="V87" i="45"/>
  <c r="V19" i="48"/>
  <c r="V20" i="48"/>
  <c r="Z73" i="48"/>
  <c r="N40" i="51"/>
  <c r="V96" i="45"/>
  <c r="V88" i="45"/>
  <c r="V84" i="45"/>
  <c r="V64" i="45"/>
  <c r="V100" i="45"/>
  <c r="V98" i="45"/>
  <c r="V90" i="45"/>
  <c r="V86" i="45"/>
  <c r="V82" i="45"/>
  <c r="V70" i="45"/>
  <c r="V58" i="45"/>
  <c r="V50" i="45"/>
  <c r="V22" i="45"/>
  <c r="V30" i="45"/>
  <c r="V39" i="45"/>
  <c r="N52" i="45"/>
  <c r="V73" i="45"/>
  <c r="R59" i="48"/>
  <c r="R39" i="48"/>
  <c r="R35" i="48"/>
  <c r="R78" i="48"/>
  <c r="R66" i="48"/>
  <c r="R51" i="48"/>
  <c r="R50" i="48"/>
  <c r="R26" i="48"/>
  <c r="R22" i="48"/>
  <c r="X12" i="48"/>
  <c r="Z12" i="48" s="1"/>
  <c r="R60" i="48"/>
  <c r="R53" i="48"/>
  <c r="R52" i="48"/>
  <c r="R41" i="48"/>
  <c r="R40" i="48"/>
  <c r="R36" i="48"/>
  <c r="R32" i="48"/>
  <c r="R68" i="48"/>
  <c r="R67" i="48"/>
  <c r="R27" i="48"/>
  <c r="R23" i="48"/>
  <c r="R55" i="48"/>
  <c r="R54" i="48"/>
  <c r="R43" i="48"/>
  <c r="R42" i="48"/>
  <c r="R70" i="48"/>
  <c r="R69" i="48"/>
  <c r="R62" i="48"/>
  <c r="R61" i="48"/>
  <c r="R37" i="48"/>
  <c r="R33" i="48"/>
  <c r="R71" i="48"/>
  <c r="R64" i="48"/>
  <c r="R63" i="48"/>
  <c r="R74" i="48"/>
  <c r="R73" i="48"/>
  <c r="R58" i="48"/>
  <c r="R47" i="48"/>
  <c r="R46" i="48"/>
  <c r="R38" i="48"/>
  <c r="R34" i="48"/>
  <c r="R19" i="48"/>
  <c r="R17" i="48"/>
  <c r="R15" i="48"/>
  <c r="X19" i="48"/>
  <c r="Z19" i="48" s="1"/>
  <c r="V24" i="48"/>
  <c r="R28" i="48"/>
  <c r="R45" i="48"/>
  <c r="Z47" i="48"/>
  <c r="N51" i="48"/>
  <c r="N53" i="48"/>
  <c r="J63" i="48"/>
  <c r="X64" i="48"/>
  <c r="Z64" i="48" s="1"/>
  <c r="V73" i="48"/>
  <c r="L15" i="51"/>
  <c r="D12" i="51"/>
  <c r="P33" i="55"/>
  <c r="Z40" i="51"/>
  <c r="J42" i="51"/>
  <c r="J46" i="51"/>
  <c r="J50" i="51"/>
  <c r="J54" i="51"/>
  <c r="V70" i="51"/>
  <c r="V74" i="51"/>
  <c r="V78" i="51"/>
  <c r="J82" i="51"/>
  <c r="V86" i="51"/>
  <c r="J94" i="51"/>
  <c r="V98" i="51"/>
  <c r="J102" i="51"/>
  <c r="V108" i="51"/>
  <c r="J16" i="54"/>
  <c r="R24" i="54"/>
  <c r="V35" i="55"/>
  <c r="F21" i="56"/>
  <c r="N49" i="56"/>
  <c r="Z55" i="56"/>
  <c r="X57" i="56"/>
  <c r="Z57" i="56" s="1"/>
  <c r="L67" i="56"/>
  <c r="Z29" i="57"/>
  <c r="N73" i="57"/>
  <c r="V18" i="58"/>
  <c r="V20" i="58"/>
  <c r="Z53" i="58"/>
  <c r="V64" i="58"/>
  <c r="J63" i="51"/>
  <c r="J67" i="51"/>
  <c r="J81" i="51"/>
  <c r="V87" i="51"/>
  <c r="J93" i="51"/>
  <c r="J101" i="51"/>
  <c r="V107" i="51"/>
  <c r="R29" i="54"/>
  <c r="N18" i="56"/>
  <c r="L51" i="56"/>
  <c r="N67" i="56"/>
  <c r="N16" i="57"/>
  <c r="H78" i="57"/>
  <c r="V44" i="58"/>
  <c r="V71" i="58"/>
  <c r="J100" i="51"/>
  <c r="J114" i="51"/>
  <c r="F28" i="55"/>
  <c r="F27" i="55"/>
  <c r="F29" i="55"/>
  <c r="F20" i="55"/>
  <c r="F19" i="55"/>
  <c r="F18" i="55"/>
  <c r="F16" i="55"/>
  <c r="F14" i="55"/>
  <c r="F24" i="55"/>
  <c r="F23" i="55"/>
  <c r="F40" i="55"/>
  <c r="F37" i="55"/>
  <c r="F26" i="55"/>
  <c r="F25" i="55"/>
  <c r="N18" i="55"/>
  <c r="F21" i="55"/>
  <c r="Z19" i="56"/>
  <c r="V73" i="57"/>
  <c r="V45" i="57"/>
  <c r="V37" i="57"/>
  <c r="V33" i="57"/>
  <c r="V29" i="57"/>
  <c r="T16" i="57"/>
  <c r="V72" i="57"/>
  <c r="V64" i="57"/>
  <c r="V56" i="57"/>
  <c r="V48" i="57"/>
  <c r="V28" i="57"/>
  <c r="V24" i="57"/>
  <c r="V20" i="57"/>
  <c r="V63" i="57"/>
  <c r="V47" i="57"/>
  <c r="V78" i="57"/>
  <c r="V76" i="57"/>
  <c r="V74" i="57"/>
  <c r="V66" i="57"/>
  <c r="V58" i="57"/>
  <c r="V50" i="57"/>
  <c r="V38" i="57"/>
  <c r="V34" i="57"/>
  <c r="V30" i="57"/>
  <c r="V65" i="57"/>
  <c r="V57" i="57"/>
  <c r="V49" i="57"/>
  <c r="V25" i="57"/>
  <c r="V21" i="57"/>
  <c r="V68" i="57"/>
  <c r="V60" i="57"/>
  <c r="V52" i="57"/>
  <c r="V40" i="57"/>
  <c r="V67" i="57"/>
  <c r="V59" i="57"/>
  <c r="V51" i="57"/>
  <c r="V39" i="57"/>
  <c r="V35" i="57"/>
  <c r="V31" i="57"/>
  <c r="V85" i="57"/>
  <c r="V82" i="57"/>
  <c r="V80" i="57"/>
  <c r="V54" i="57"/>
  <c r="V42" i="57"/>
  <c r="V26" i="57"/>
  <c r="V22" i="57"/>
  <c r="V69" i="57"/>
  <c r="V61" i="57"/>
  <c r="V53" i="57"/>
  <c r="V41" i="57"/>
  <c r="V71" i="57"/>
  <c r="V55" i="57"/>
  <c r="V43" i="57"/>
  <c r="V27" i="57"/>
  <c r="V23" i="57"/>
  <c r="V19" i="57"/>
  <c r="Z71" i="57"/>
  <c r="Z55" i="58"/>
  <c r="L20" i="59"/>
  <c r="Z18" i="61"/>
  <c r="J45" i="51"/>
  <c r="J49" i="51"/>
  <c r="J53" i="51"/>
  <c r="V73" i="51"/>
  <c r="V77" i="51"/>
  <c r="V85" i="51"/>
  <c r="J91" i="51"/>
  <c r="P16" i="54"/>
  <c r="F33" i="55"/>
  <c r="F28" i="56"/>
  <c r="X29" i="56"/>
  <c r="N42" i="56"/>
  <c r="X79" i="56"/>
  <c r="Z12" i="57"/>
  <c r="V16" i="57"/>
  <c r="N44" i="57"/>
  <c r="Z50" i="57"/>
  <c r="X71" i="57"/>
  <c r="Z73" i="57"/>
  <c r="V14" i="58"/>
  <c r="N20" i="59"/>
  <c r="X13" i="51"/>
  <c r="Z13" i="51" s="1"/>
  <c r="J40" i="51"/>
  <c r="V46" i="51"/>
  <c r="V50" i="51"/>
  <c r="V54" i="51"/>
  <c r="V56" i="51"/>
  <c r="V58" i="51"/>
  <c r="J62" i="51"/>
  <c r="J66" i="51"/>
  <c r="V82" i="51"/>
  <c r="X85" i="51"/>
  <c r="Z85" i="51" s="1"/>
  <c r="J90" i="51"/>
  <c r="L91" i="51"/>
  <c r="V94" i="51"/>
  <c r="V102" i="51"/>
  <c r="J14" i="54"/>
  <c r="R28" i="54"/>
  <c r="X29" i="54"/>
  <c r="Z29" i="54" s="1"/>
  <c r="L12" i="55"/>
  <c r="V54" i="58"/>
  <c r="V70" i="58"/>
  <c r="P80" i="58"/>
  <c r="V63" i="59"/>
  <c r="V55" i="59"/>
  <c r="V47" i="59"/>
  <c r="V39" i="59"/>
  <c r="V72" i="59"/>
  <c r="V70" i="59"/>
  <c r="V62" i="59"/>
  <c r="V46" i="59"/>
  <c r="V30" i="59"/>
  <c r="V26" i="59"/>
  <c r="V22" i="59"/>
  <c r="V49" i="59"/>
  <c r="V51" i="59"/>
  <c r="V27" i="59"/>
  <c r="V65" i="59"/>
  <c r="V57" i="59"/>
  <c r="V53" i="59"/>
  <c r="V41" i="59"/>
  <c r="V37" i="59"/>
  <c r="V33" i="59"/>
  <c r="V68" i="59"/>
  <c r="V60" i="59"/>
  <c r="V52" i="59"/>
  <c r="V44" i="59"/>
  <c r="V28" i="59"/>
  <c r="V24" i="59"/>
  <c r="V67" i="59"/>
  <c r="V59" i="59"/>
  <c r="V43" i="59"/>
  <c r="V19" i="59"/>
  <c r="V15" i="59"/>
  <c r="V35" i="59"/>
  <c r="V31" i="59"/>
  <c r="V42" i="59"/>
  <c r="V66" i="59"/>
  <c r="V45" i="59"/>
  <c r="V29" i="59"/>
  <c r="V20" i="59"/>
  <c r="V64" i="59"/>
  <c r="V40" i="59"/>
  <c r="V38" i="59"/>
  <c r="V58" i="59"/>
  <c r="V36" i="59"/>
  <c r="V34" i="59"/>
  <c r="V32" i="59"/>
  <c r="V25" i="59"/>
  <c r="V69" i="59"/>
  <c r="V54" i="59"/>
  <c r="V61" i="59"/>
  <c r="V50" i="59"/>
  <c r="V76" i="59"/>
  <c r="D65" i="68"/>
  <c r="V59" i="51"/>
  <c r="V63" i="51"/>
  <c r="V67" i="51"/>
  <c r="J71" i="51"/>
  <c r="J75" i="51"/>
  <c r="J79" i="51"/>
  <c r="V83" i="51"/>
  <c r="J89" i="51"/>
  <c r="V95" i="51"/>
  <c r="J99" i="51"/>
  <c r="V103" i="51"/>
  <c r="J110" i="51"/>
  <c r="Z28" i="54"/>
  <c r="X14" i="55"/>
  <c r="N23" i="55"/>
  <c r="F63" i="56"/>
  <c r="F18" i="56"/>
  <c r="F16" i="56"/>
  <c r="F14" i="56"/>
  <c r="F81" i="56"/>
  <c r="F79" i="56"/>
  <c r="F70" i="56"/>
  <c r="F58" i="56"/>
  <c r="F57" i="56"/>
  <c r="F46" i="56"/>
  <c r="F38" i="56"/>
  <c r="F34" i="56"/>
  <c r="F30" i="56"/>
  <c r="F29" i="56"/>
  <c r="D16" i="56"/>
  <c r="F83" i="56"/>
  <c r="F72" i="56"/>
  <c r="F71" i="56"/>
  <c r="F64" i="56"/>
  <c r="F48" i="56"/>
  <c r="F47" i="56"/>
  <c r="F59" i="56"/>
  <c r="F39" i="56"/>
  <c r="F35" i="56"/>
  <c r="F31" i="56"/>
  <c r="F88" i="56"/>
  <c r="F85" i="56"/>
  <c r="F74" i="56"/>
  <c r="F73" i="56"/>
  <c r="F66" i="56"/>
  <c r="F65" i="56"/>
  <c r="F50" i="56"/>
  <c r="F49" i="56"/>
  <c r="F26" i="56"/>
  <c r="F22" i="56"/>
  <c r="F76" i="56"/>
  <c r="F75" i="56"/>
  <c r="F68" i="56"/>
  <c r="F67" i="56"/>
  <c r="F60" i="56"/>
  <c r="F52" i="56"/>
  <c r="F51" i="56"/>
  <c r="F36" i="56"/>
  <c r="F43" i="56"/>
  <c r="F42" i="56"/>
  <c r="F27" i="56"/>
  <c r="F23" i="56"/>
  <c r="F77" i="56"/>
  <c r="F69" i="56"/>
  <c r="F45" i="56"/>
  <c r="F44" i="56"/>
  <c r="F37" i="56"/>
  <c r="F33" i="56"/>
  <c r="F20" i="56"/>
  <c r="Z29" i="56"/>
  <c r="F62" i="56"/>
  <c r="L18" i="57"/>
  <c r="N18" i="57" s="1"/>
  <c r="V70" i="57"/>
  <c r="J44" i="51"/>
  <c r="J48" i="51"/>
  <c r="J52" i="51"/>
  <c r="J70" i="51"/>
  <c r="V72" i="51"/>
  <c r="V76" i="51"/>
  <c r="V80" i="51"/>
  <c r="J88" i="51"/>
  <c r="V92" i="51"/>
  <c r="J98" i="51"/>
  <c r="V100" i="51"/>
  <c r="J109" i="51"/>
  <c r="V114" i="51"/>
  <c r="F31" i="54"/>
  <c r="F29" i="54"/>
  <c r="F28" i="54"/>
  <c r="F26" i="54"/>
  <c r="T22" i="54"/>
  <c r="F32" i="56"/>
  <c r="X40" i="56"/>
  <c r="Z40" i="56" s="1"/>
  <c r="F55" i="56"/>
  <c r="N75" i="56"/>
  <c r="V32" i="57"/>
  <c r="V16" i="58"/>
  <c r="N47" i="58"/>
  <c r="N49" i="58"/>
  <c r="N67" i="58"/>
  <c r="V23" i="59"/>
  <c r="J61" i="51"/>
  <c r="J65" i="51"/>
  <c r="J69" i="51"/>
  <c r="V81" i="51"/>
  <c r="J87" i="51"/>
  <c r="V93" i="51"/>
  <c r="J97" i="51"/>
  <c r="V101" i="51"/>
  <c r="J108" i="51"/>
  <c r="J31" i="54"/>
  <c r="J29" i="54"/>
  <c r="J28" i="54"/>
  <c r="J26" i="54"/>
  <c r="N12" i="54"/>
  <c r="H16" i="54"/>
  <c r="L16" i="54" s="1"/>
  <c r="R26" i="54"/>
  <c r="V22" i="55"/>
  <c r="V24" i="55"/>
  <c r="V27" i="55"/>
  <c r="V26" i="55"/>
  <c r="V19" i="55"/>
  <c r="V33" i="55"/>
  <c r="V31" i="55"/>
  <c r="V29" i="55"/>
  <c r="V21" i="55"/>
  <c r="T16" i="55"/>
  <c r="D16" i="55"/>
  <c r="V18" i="55"/>
  <c r="F31" i="55"/>
  <c r="H16" i="56"/>
  <c r="Z19" i="57"/>
  <c r="V44" i="57"/>
  <c r="X19" i="58"/>
  <c r="Z41" i="58"/>
  <c r="N51" i="58"/>
  <c r="Z61" i="58"/>
  <c r="V62" i="51"/>
  <c r="V66" i="51"/>
  <c r="J74" i="51"/>
  <c r="J78" i="51"/>
  <c r="J86" i="51"/>
  <c r="V90" i="51"/>
  <c r="J106" i="51"/>
  <c r="J107" i="51"/>
  <c r="L12" i="54"/>
  <c r="X12" i="55"/>
  <c r="X21" i="55"/>
  <c r="Z21" i="55" s="1"/>
  <c r="F35" i="55"/>
  <c r="V37" i="55"/>
  <c r="F41" i="56"/>
  <c r="L47" i="56"/>
  <c r="Z71" i="56"/>
  <c r="P78" i="57"/>
  <c r="X16" i="57"/>
  <c r="X19" i="57"/>
  <c r="N29" i="57"/>
  <c r="V46" i="57"/>
  <c r="Z19" i="58"/>
  <c r="X43" i="58"/>
  <c r="Z43" i="58" s="1"/>
  <c r="N53" i="58"/>
  <c r="X63" i="58"/>
  <c r="T17" i="59"/>
  <c r="V48" i="59"/>
  <c r="P16" i="61"/>
  <c r="X14" i="61"/>
  <c r="J47" i="51"/>
  <c r="J51" i="51"/>
  <c r="H56" i="51"/>
  <c r="V71" i="51"/>
  <c r="V75" i="51"/>
  <c r="V79" i="51"/>
  <c r="V91" i="51"/>
  <c r="R22" i="54"/>
  <c r="R20" i="54"/>
  <c r="R18" i="54"/>
  <c r="R16" i="54"/>
  <c r="R14" i="54"/>
  <c r="Z23" i="55"/>
  <c r="X16" i="56"/>
  <c r="P81" i="56"/>
  <c r="V83" i="58"/>
  <c r="V80" i="58"/>
  <c r="V78" i="58"/>
  <c r="V47" i="58"/>
  <c r="V58" i="58"/>
  <c r="V46" i="58"/>
  <c r="V38" i="58"/>
  <c r="V34" i="58"/>
  <c r="V30" i="58"/>
  <c r="V65" i="58"/>
  <c r="V57" i="58"/>
  <c r="V49" i="58"/>
  <c r="V29" i="58"/>
  <c r="V25" i="58"/>
  <c r="V21" i="58"/>
  <c r="V72" i="58"/>
  <c r="V48" i="58"/>
  <c r="V74" i="58"/>
  <c r="V67" i="58"/>
  <c r="V59" i="58"/>
  <c r="V51" i="58"/>
  <c r="V39" i="58"/>
  <c r="V35" i="58"/>
  <c r="V31" i="58"/>
  <c r="V66" i="58"/>
  <c r="V50" i="58"/>
  <c r="V26" i="58"/>
  <c r="V22" i="58"/>
  <c r="V76" i="58"/>
  <c r="V61" i="58"/>
  <c r="V53" i="58"/>
  <c r="V41" i="58"/>
  <c r="V69" i="58"/>
  <c r="V68" i="58"/>
  <c r="V60" i="58"/>
  <c r="V52" i="58"/>
  <c r="V40" i="58"/>
  <c r="V36" i="58"/>
  <c r="V32" i="58"/>
  <c r="Z12" i="58"/>
  <c r="V63" i="58"/>
  <c r="V55" i="58"/>
  <c r="V43" i="58"/>
  <c r="V27" i="58"/>
  <c r="V23" i="58"/>
  <c r="V19" i="58"/>
  <c r="X12" i="58"/>
  <c r="V45" i="58"/>
  <c r="V37" i="58"/>
  <c r="V33" i="58"/>
  <c r="T16" i="58"/>
  <c r="Z45" i="58"/>
  <c r="Z63" i="58"/>
  <c r="R19" i="55"/>
  <c r="J27" i="55"/>
  <c r="J14" i="56"/>
  <c r="J16" i="56"/>
  <c r="J18" i="56"/>
  <c r="J20" i="56"/>
  <c r="R21" i="56"/>
  <c r="J24" i="56"/>
  <c r="R25" i="56"/>
  <c r="J28" i="56"/>
  <c r="V40" i="56"/>
  <c r="V48" i="56"/>
  <c r="J56" i="56"/>
  <c r="V64" i="56"/>
  <c r="V72" i="56"/>
  <c r="R83" i="56"/>
  <c r="X12" i="57"/>
  <c r="X14" i="57"/>
  <c r="R32" i="57"/>
  <c r="R36" i="57"/>
  <c r="J51" i="57"/>
  <c r="J59" i="57"/>
  <c r="J67" i="57"/>
  <c r="R71" i="58"/>
  <c r="R70" i="58"/>
  <c r="R19" i="58"/>
  <c r="F22" i="58"/>
  <c r="F26" i="58"/>
  <c r="R42" i="58"/>
  <c r="R43" i="58"/>
  <c r="F49" i="58"/>
  <c r="F50" i="58"/>
  <c r="J51" i="58"/>
  <c r="R54" i="58"/>
  <c r="R55" i="58"/>
  <c r="R62" i="58"/>
  <c r="R63" i="58"/>
  <c r="F66" i="58"/>
  <c r="J67" i="58"/>
  <c r="X12" i="59"/>
  <c r="Z12" i="59" s="1"/>
  <c r="R23" i="59"/>
  <c r="J25" i="59"/>
  <c r="R30" i="59"/>
  <c r="R67" i="59"/>
  <c r="J105" i="64"/>
  <c r="J96" i="64"/>
  <c r="J88" i="64"/>
  <c r="J108" i="64"/>
  <c r="J84" i="64"/>
  <c r="J78" i="64"/>
  <c r="J72" i="64"/>
  <c r="J60" i="64"/>
  <c r="J52" i="64"/>
  <c r="J46" i="64"/>
  <c r="J97" i="64"/>
  <c r="J89" i="64"/>
  <c r="J85" i="64"/>
  <c r="J73" i="64"/>
  <c r="J61" i="64"/>
  <c r="J53" i="64"/>
  <c r="J47" i="64"/>
  <c r="J115" i="64"/>
  <c r="J112" i="64"/>
  <c r="J98" i="64"/>
  <c r="J90" i="64"/>
  <c r="J86" i="64"/>
  <c r="J100" i="64"/>
  <c r="J92" i="64"/>
  <c r="J80" i="64"/>
  <c r="J66" i="64"/>
  <c r="J56" i="64"/>
  <c r="J42" i="64"/>
  <c r="J93" i="64"/>
  <c r="J87" i="64"/>
  <c r="J81" i="64"/>
  <c r="J75" i="64"/>
  <c r="J67" i="64"/>
  <c r="J43" i="64"/>
  <c r="J94" i="64"/>
  <c r="J54" i="64"/>
  <c r="J41" i="64"/>
  <c r="J37" i="64"/>
  <c r="J33" i="64"/>
  <c r="J19" i="64"/>
  <c r="J103" i="64"/>
  <c r="J69" i="64"/>
  <c r="J65" i="64"/>
  <c r="J62" i="64"/>
  <c r="J48" i="64"/>
  <c r="J28" i="64"/>
  <c r="J24" i="64"/>
  <c r="J20" i="64"/>
  <c r="J18" i="64"/>
  <c r="J16" i="64"/>
  <c r="J14" i="64"/>
  <c r="J110" i="64"/>
  <c r="J106" i="64"/>
  <c r="J82" i="64"/>
  <c r="J79" i="64"/>
  <c r="J58" i="64"/>
  <c r="J51" i="64"/>
  <c r="J45" i="64"/>
  <c r="J29" i="64"/>
  <c r="H16" i="64"/>
  <c r="J95" i="64"/>
  <c r="J76" i="64"/>
  <c r="J34" i="64"/>
  <c r="J30" i="64"/>
  <c r="J55" i="64"/>
  <c r="J25" i="64"/>
  <c r="J21" i="64"/>
  <c r="J70" i="64"/>
  <c r="J59" i="64"/>
  <c r="J49" i="64"/>
  <c r="J38" i="64"/>
  <c r="J74" i="64"/>
  <c r="J63" i="64"/>
  <c r="J35" i="64"/>
  <c r="J31" i="64"/>
  <c r="J104" i="64"/>
  <c r="J83" i="64"/>
  <c r="J77" i="64"/>
  <c r="J26" i="64"/>
  <c r="J22" i="64"/>
  <c r="J102" i="64"/>
  <c r="J71" i="64"/>
  <c r="J68" i="64"/>
  <c r="J39" i="64"/>
  <c r="J50" i="64"/>
  <c r="J36" i="64"/>
  <c r="J32" i="64"/>
  <c r="N12" i="64"/>
  <c r="J99" i="64"/>
  <c r="J64" i="64"/>
  <c r="J44" i="64"/>
  <c r="J40" i="64"/>
  <c r="J27" i="64"/>
  <c r="J23" i="64"/>
  <c r="P16" i="64"/>
  <c r="J37" i="55"/>
  <c r="J40" i="55"/>
  <c r="V30" i="56"/>
  <c r="V34" i="56"/>
  <c r="V38" i="56"/>
  <c r="J44" i="56"/>
  <c r="V46" i="56"/>
  <c r="J54" i="56"/>
  <c r="V58" i="56"/>
  <c r="J62" i="56"/>
  <c r="R63" i="56"/>
  <c r="V70" i="56"/>
  <c r="D16" i="57"/>
  <c r="R22" i="57"/>
  <c r="R26" i="57"/>
  <c r="F29" i="57"/>
  <c r="F30" i="57"/>
  <c r="F34" i="57"/>
  <c r="F38" i="57"/>
  <c r="F73" i="57"/>
  <c r="F74" i="57"/>
  <c r="R80" i="57"/>
  <c r="X14" i="58"/>
  <c r="J31" i="58"/>
  <c r="J35" i="58"/>
  <c r="J39" i="58"/>
  <c r="F47" i="58"/>
  <c r="F48" i="58"/>
  <c r="J49" i="58"/>
  <c r="J59" i="58"/>
  <c r="R68" i="58"/>
  <c r="R76" i="58"/>
  <c r="J80" i="58"/>
  <c r="R83" i="58"/>
  <c r="F65" i="59"/>
  <c r="F57" i="59"/>
  <c r="F41" i="59"/>
  <c r="F37" i="59"/>
  <c r="F33" i="59"/>
  <c r="F52" i="59"/>
  <c r="F51" i="59"/>
  <c r="F81" i="59"/>
  <c r="F78" i="59"/>
  <c r="F67" i="59"/>
  <c r="F66" i="59"/>
  <c r="F59" i="59"/>
  <c r="F58" i="59"/>
  <c r="F43" i="59"/>
  <c r="F42" i="59"/>
  <c r="F54" i="59"/>
  <c r="F53" i="59"/>
  <c r="F70" i="59"/>
  <c r="F62" i="59"/>
  <c r="F46" i="59"/>
  <c r="F30" i="59"/>
  <c r="F26" i="59"/>
  <c r="F22" i="59"/>
  <c r="L12" i="59"/>
  <c r="F64" i="59"/>
  <c r="F63" i="59"/>
  <c r="F56" i="59"/>
  <c r="F48" i="59"/>
  <c r="F47" i="59"/>
  <c r="F40" i="59"/>
  <c r="F36" i="59"/>
  <c r="F32" i="59"/>
  <c r="F31" i="59"/>
  <c r="F19" i="59"/>
  <c r="F29" i="59"/>
  <c r="R34" i="59"/>
  <c r="F38" i="59"/>
  <c r="L49" i="59"/>
  <c r="F60" i="59"/>
  <c r="N29" i="60"/>
  <c r="L42" i="60"/>
  <c r="J39" i="61"/>
  <c r="J44" i="61"/>
  <c r="N50" i="61"/>
  <c r="L50" i="61"/>
  <c r="Z81" i="64"/>
  <c r="J53" i="56"/>
  <c r="R56" i="56"/>
  <c r="R57" i="56"/>
  <c r="J61" i="56"/>
  <c r="V63" i="56"/>
  <c r="V71" i="56"/>
  <c r="R79" i="56"/>
  <c r="R81" i="56"/>
  <c r="R59" i="57"/>
  <c r="R60" i="57"/>
  <c r="F63" i="57"/>
  <c r="R67" i="57"/>
  <c r="R68" i="57"/>
  <c r="F21" i="58"/>
  <c r="F25" i="58"/>
  <c r="F29" i="58"/>
  <c r="F57" i="58"/>
  <c r="F65" i="58"/>
  <c r="F72" i="58"/>
  <c r="J29" i="59"/>
  <c r="J62" i="59"/>
  <c r="N42" i="60"/>
  <c r="D16" i="58"/>
  <c r="F38" i="58"/>
  <c r="F45" i="58"/>
  <c r="F46" i="58"/>
  <c r="F71" i="58"/>
  <c r="L17" i="59"/>
  <c r="J19" i="59"/>
  <c r="J22" i="59"/>
  <c r="N49" i="59"/>
  <c r="J57" i="59"/>
  <c r="N49" i="60"/>
  <c r="J55" i="61"/>
  <c r="J45" i="61"/>
  <c r="J37" i="61"/>
  <c r="J33" i="61"/>
  <c r="J19" i="61"/>
  <c r="J56" i="61"/>
  <c r="J46" i="61"/>
  <c r="J28" i="61"/>
  <c r="J24" i="61"/>
  <c r="J20" i="61"/>
  <c r="J18" i="61"/>
  <c r="J16" i="61"/>
  <c r="J14" i="61"/>
  <c r="J57" i="61"/>
  <c r="J47" i="61"/>
  <c r="J29" i="61"/>
  <c r="H16" i="61"/>
  <c r="J58" i="61"/>
  <c r="J48" i="61"/>
  <c r="J38" i="61"/>
  <c r="J34" i="61"/>
  <c r="J30" i="61"/>
  <c r="J49" i="61"/>
  <c r="J25" i="61"/>
  <c r="J21" i="61"/>
  <c r="J62" i="61"/>
  <c r="J60" i="61"/>
  <c r="J50" i="61"/>
  <c r="J64" i="61"/>
  <c r="J40" i="61"/>
  <c r="J26" i="61"/>
  <c r="J22" i="61"/>
  <c r="J41" i="61"/>
  <c r="J69" i="61"/>
  <c r="J66" i="61"/>
  <c r="J52" i="61"/>
  <c r="J42" i="61"/>
  <c r="J36" i="61"/>
  <c r="J32" i="61"/>
  <c r="N12" i="61"/>
  <c r="N40" i="64"/>
  <c r="J22" i="55"/>
  <c r="T16" i="56"/>
  <c r="R19" i="56"/>
  <c r="V29" i="56"/>
  <c r="V33" i="56"/>
  <c r="V37" i="56"/>
  <c r="J41" i="56"/>
  <c r="V45" i="56"/>
  <c r="J51" i="56"/>
  <c r="R54" i="56"/>
  <c r="R55" i="56"/>
  <c r="V57" i="56"/>
  <c r="R62" i="56"/>
  <c r="J67" i="56"/>
  <c r="V69" i="56"/>
  <c r="J75" i="56"/>
  <c r="V77" i="56"/>
  <c r="V79" i="56"/>
  <c r="V81" i="56"/>
  <c r="R21" i="57"/>
  <c r="R25" i="57"/>
  <c r="F33" i="57"/>
  <c r="F37" i="57"/>
  <c r="F44" i="57"/>
  <c r="F45" i="57"/>
  <c r="R49" i="57"/>
  <c r="R50" i="57"/>
  <c r="R57" i="57"/>
  <c r="R58" i="57"/>
  <c r="R65" i="57"/>
  <c r="R66" i="57"/>
  <c r="R76" i="57"/>
  <c r="R78" i="57"/>
  <c r="F14" i="58"/>
  <c r="F16" i="58"/>
  <c r="F18" i="58"/>
  <c r="J34" i="58"/>
  <c r="J38" i="58"/>
  <c r="J46" i="58"/>
  <c r="R59" i="58"/>
  <c r="R80" i="58"/>
  <c r="F17" i="59"/>
  <c r="F24" i="59"/>
  <c r="X49" i="59"/>
  <c r="Z49" i="59" s="1"/>
  <c r="R60" i="59"/>
  <c r="J70" i="59"/>
  <c r="D74" i="59"/>
  <c r="P61" i="60"/>
  <c r="X16" i="60"/>
  <c r="Z29" i="60"/>
  <c r="N51" i="60"/>
  <c r="L12" i="61"/>
  <c r="J43" i="61"/>
  <c r="X44" i="61"/>
  <c r="Z44" i="61" s="1"/>
  <c r="J54" i="61"/>
  <c r="Z18" i="64"/>
  <c r="H16" i="55"/>
  <c r="J21" i="55"/>
  <c r="J31" i="55"/>
  <c r="J33" i="55"/>
  <c r="V14" i="56"/>
  <c r="V16" i="56"/>
  <c r="V18" i="56"/>
  <c r="J22" i="56"/>
  <c r="R23" i="56"/>
  <c r="J26" i="56"/>
  <c r="R27" i="56"/>
  <c r="J40" i="56"/>
  <c r="R43" i="56"/>
  <c r="R44" i="56"/>
  <c r="J50" i="56"/>
  <c r="V54" i="56"/>
  <c r="V62" i="56"/>
  <c r="J66" i="56"/>
  <c r="J74" i="56"/>
  <c r="R30" i="57"/>
  <c r="R34" i="57"/>
  <c r="R38" i="57"/>
  <c r="X40" i="57"/>
  <c r="Z40" i="57" s="1"/>
  <c r="L46" i="57"/>
  <c r="N46" i="57" s="1"/>
  <c r="X52" i="57"/>
  <c r="Z52" i="57" s="1"/>
  <c r="X60" i="57"/>
  <c r="Z60" i="57" s="1"/>
  <c r="F62" i="57"/>
  <c r="X68" i="57"/>
  <c r="Z68" i="57" s="1"/>
  <c r="F70" i="57"/>
  <c r="R74" i="57"/>
  <c r="H16" i="58"/>
  <c r="F19" i="58"/>
  <c r="F20" i="58"/>
  <c r="F24" i="58"/>
  <c r="F28" i="58"/>
  <c r="F43" i="58"/>
  <c r="F44" i="58"/>
  <c r="J45" i="58"/>
  <c r="R48" i="58"/>
  <c r="R49" i="58"/>
  <c r="F55" i="58"/>
  <c r="F56" i="58"/>
  <c r="F63" i="58"/>
  <c r="F64" i="58"/>
  <c r="J71" i="58"/>
  <c r="R72" i="58"/>
  <c r="J78" i="58"/>
  <c r="H17" i="59"/>
  <c r="J26" i="59"/>
  <c r="J51" i="59"/>
  <c r="F55" i="59"/>
  <c r="F74" i="59"/>
  <c r="J23" i="61"/>
  <c r="Z48" i="61"/>
  <c r="V14" i="54"/>
  <c r="V16" i="54"/>
  <c r="V18" i="54"/>
  <c r="V20" i="54"/>
  <c r="J14" i="55"/>
  <c r="J16" i="55"/>
  <c r="J18" i="55"/>
  <c r="X12" i="56"/>
  <c r="V19" i="56"/>
  <c r="V23" i="56"/>
  <c r="V27" i="56"/>
  <c r="J31" i="56"/>
  <c r="R32" i="56"/>
  <c r="J35" i="56"/>
  <c r="R36" i="56"/>
  <c r="J39" i="56"/>
  <c r="V43" i="56"/>
  <c r="J49" i="56"/>
  <c r="R52" i="56"/>
  <c r="R53" i="56"/>
  <c r="V55" i="56"/>
  <c r="J59" i="56"/>
  <c r="R60" i="56"/>
  <c r="R61" i="56"/>
  <c r="J65" i="56"/>
  <c r="R68" i="56"/>
  <c r="J73" i="56"/>
  <c r="R76" i="56"/>
  <c r="J85" i="56"/>
  <c r="J88" i="56"/>
  <c r="F23" i="57"/>
  <c r="F27" i="57"/>
  <c r="F42" i="57"/>
  <c r="F43" i="57"/>
  <c r="J44" i="57"/>
  <c r="R47" i="57"/>
  <c r="R48" i="57"/>
  <c r="F54" i="57"/>
  <c r="F55" i="57"/>
  <c r="J62" i="57"/>
  <c r="R63" i="57"/>
  <c r="R64" i="57"/>
  <c r="J70" i="57"/>
  <c r="F82" i="57"/>
  <c r="F85" i="57"/>
  <c r="J14" i="58"/>
  <c r="J16" i="58"/>
  <c r="J18" i="58"/>
  <c r="J20" i="58"/>
  <c r="R21" i="58"/>
  <c r="J24" i="58"/>
  <c r="R25" i="58"/>
  <c r="J28" i="58"/>
  <c r="R29" i="58"/>
  <c r="R30" i="58"/>
  <c r="F33" i="58"/>
  <c r="F37" i="58"/>
  <c r="J44" i="58"/>
  <c r="J56" i="58"/>
  <c r="R57" i="58"/>
  <c r="R58" i="58"/>
  <c r="J64" i="58"/>
  <c r="R65" i="58"/>
  <c r="F70" i="58"/>
  <c r="L15" i="59"/>
  <c r="J17" i="59"/>
  <c r="R19" i="59"/>
  <c r="R22" i="59"/>
  <c r="F35" i="59"/>
  <c r="R68" i="59"/>
  <c r="Z51" i="60"/>
  <c r="X56" i="60"/>
  <c r="N64" i="64"/>
  <c r="L64" i="64"/>
  <c r="J91" i="64"/>
  <c r="P102" i="64"/>
  <c r="X102" i="64" s="1"/>
  <c r="Z106" i="69"/>
  <c r="J72" i="56"/>
  <c r="V76" i="56"/>
  <c r="R72" i="57"/>
  <c r="R73" i="57"/>
  <c r="F41" i="58"/>
  <c r="F42" i="58"/>
  <c r="F53" i="58"/>
  <c r="F54" i="58"/>
  <c r="F61" i="58"/>
  <c r="F62" i="58"/>
  <c r="F69" i="58"/>
  <c r="J81" i="59"/>
  <c r="J78" i="59"/>
  <c r="J66" i="59"/>
  <c r="J58" i="59"/>
  <c r="J52" i="59"/>
  <c r="J42" i="59"/>
  <c r="J28" i="59"/>
  <c r="J24" i="59"/>
  <c r="J67" i="59"/>
  <c r="J59" i="59"/>
  <c r="J53" i="59"/>
  <c r="J43" i="59"/>
  <c r="J68" i="59"/>
  <c r="J60" i="59"/>
  <c r="J54" i="59"/>
  <c r="J44" i="59"/>
  <c r="J38" i="59"/>
  <c r="J34" i="59"/>
  <c r="J20" i="59"/>
  <c r="J69" i="59"/>
  <c r="J61" i="59"/>
  <c r="J45" i="59"/>
  <c r="J55" i="59"/>
  <c r="J39" i="59"/>
  <c r="J35" i="59"/>
  <c r="J63" i="59"/>
  <c r="J47" i="59"/>
  <c r="J31" i="59"/>
  <c r="J74" i="59"/>
  <c r="J72" i="59"/>
  <c r="J64" i="59"/>
  <c r="J56" i="59"/>
  <c r="J48" i="59"/>
  <c r="J40" i="59"/>
  <c r="J36" i="59"/>
  <c r="J32" i="59"/>
  <c r="J49" i="59"/>
  <c r="J27" i="59"/>
  <c r="J23" i="59"/>
  <c r="J37" i="59"/>
  <c r="J65" i="59"/>
  <c r="J51" i="61"/>
  <c r="Z19" i="68"/>
  <c r="J21" i="56"/>
  <c r="R22" i="56"/>
  <c r="J25" i="56"/>
  <c r="R26" i="56"/>
  <c r="V41" i="56"/>
  <c r="J47" i="56"/>
  <c r="R50" i="56"/>
  <c r="R51" i="56"/>
  <c r="V53" i="56"/>
  <c r="V61" i="56"/>
  <c r="R66" i="56"/>
  <c r="R67" i="56"/>
  <c r="J71" i="56"/>
  <c r="R74" i="56"/>
  <c r="R75" i="56"/>
  <c r="J83" i="56"/>
  <c r="R14" i="57"/>
  <c r="R16" i="57"/>
  <c r="R18" i="57"/>
  <c r="R33" i="57"/>
  <c r="R37" i="57"/>
  <c r="F40" i="57"/>
  <c r="F41" i="57"/>
  <c r="R45" i="57"/>
  <c r="R46" i="57"/>
  <c r="F52" i="57"/>
  <c r="F53" i="57"/>
  <c r="F60" i="57"/>
  <c r="F61" i="57"/>
  <c r="F68" i="57"/>
  <c r="F69" i="57"/>
  <c r="J82" i="57"/>
  <c r="F23" i="58"/>
  <c r="F27" i="58"/>
  <c r="J42" i="58"/>
  <c r="J54" i="58"/>
  <c r="J62" i="58"/>
  <c r="F76" i="58"/>
  <c r="R78" i="58"/>
  <c r="N12" i="59"/>
  <c r="P17" i="59"/>
  <c r="X19" i="59"/>
  <c r="Z19" i="59" s="1"/>
  <c r="F21" i="59"/>
  <c r="J30" i="59"/>
  <c r="F39" i="59"/>
  <c r="J41" i="59"/>
  <c r="L44" i="59"/>
  <c r="N44" i="59" s="1"/>
  <c r="J46" i="59"/>
  <c r="J50" i="59"/>
  <c r="Z51" i="59"/>
  <c r="F61" i="59"/>
  <c r="F76" i="59"/>
  <c r="Z19" i="60"/>
  <c r="N40" i="61"/>
  <c r="L42" i="61"/>
  <c r="N42" i="61" s="1"/>
  <c r="N53" i="61"/>
  <c r="J30" i="56"/>
  <c r="J34" i="56"/>
  <c r="J38" i="56"/>
  <c r="R39" i="56"/>
  <c r="R40" i="56"/>
  <c r="V42" i="56"/>
  <c r="J46" i="56"/>
  <c r="V50" i="56"/>
  <c r="J58" i="56"/>
  <c r="V66" i="56"/>
  <c r="R19" i="57"/>
  <c r="F22" i="57"/>
  <c r="F26" i="57"/>
  <c r="R62" i="57"/>
  <c r="R70" i="57"/>
  <c r="L12" i="58"/>
  <c r="J23" i="58"/>
  <c r="J27" i="58"/>
  <c r="F32" i="58"/>
  <c r="F36" i="58"/>
  <c r="F40" i="58"/>
  <c r="J41" i="58"/>
  <c r="F51" i="58"/>
  <c r="F52" i="58"/>
  <c r="J53" i="58"/>
  <c r="F60" i="58"/>
  <c r="J61" i="58"/>
  <c r="R64" i="58"/>
  <c r="F67" i="58"/>
  <c r="F68" i="58"/>
  <c r="J69" i="58"/>
  <c r="F83" i="58"/>
  <c r="R69" i="59"/>
  <c r="R61" i="59"/>
  <c r="R45" i="59"/>
  <c r="R29" i="59"/>
  <c r="R25" i="59"/>
  <c r="R21" i="59"/>
  <c r="R55" i="59"/>
  <c r="R39" i="59"/>
  <c r="R35" i="59"/>
  <c r="R70" i="59"/>
  <c r="R63" i="59"/>
  <c r="R62" i="59"/>
  <c r="R47" i="59"/>
  <c r="R46" i="59"/>
  <c r="R64" i="59"/>
  <c r="R56" i="59"/>
  <c r="R49" i="59"/>
  <c r="R48" i="59"/>
  <c r="R40" i="59"/>
  <c r="R36" i="59"/>
  <c r="R32" i="59"/>
  <c r="R76" i="59"/>
  <c r="R51" i="59"/>
  <c r="R50" i="59"/>
  <c r="R81" i="59"/>
  <c r="R78" i="59"/>
  <c r="R66" i="59"/>
  <c r="R65" i="59"/>
  <c r="R58" i="59"/>
  <c r="R57" i="59"/>
  <c r="R42" i="59"/>
  <c r="R41" i="59"/>
  <c r="R37" i="59"/>
  <c r="R33" i="59"/>
  <c r="R53" i="59"/>
  <c r="R52" i="59"/>
  <c r="R28" i="59"/>
  <c r="R24" i="59"/>
  <c r="J15" i="59"/>
  <c r="R17" i="59"/>
  <c r="J21" i="59"/>
  <c r="F23" i="59"/>
  <c r="R59" i="59"/>
  <c r="J76" i="59"/>
  <c r="J53" i="61"/>
  <c r="N99" i="69"/>
  <c r="N115" i="69"/>
  <c r="X124" i="69"/>
  <c r="Z124" i="69" s="1"/>
  <c r="T16" i="60"/>
  <c r="R19" i="60"/>
  <c r="F22" i="60"/>
  <c r="F26" i="60"/>
  <c r="V29" i="60"/>
  <c r="V33" i="60"/>
  <c r="V37" i="60"/>
  <c r="J41" i="60"/>
  <c r="V45" i="60"/>
  <c r="F49" i="60"/>
  <c r="F50" i="60"/>
  <c r="J51" i="60"/>
  <c r="V53" i="60"/>
  <c r="F59" i="60"/>
  <c r="F61" i="60"/>
  <c r="J63" i="60"/>
  <c r="R14" i="61"/>
  <c r="R16" i="61"/>
  <c r="R18" i="61"/>
  <c r="V20" i="61"/>
  <c r="V24" i="61"/>
  <c r="V28" i="61"/>
  <c r="R33" i="61"/>
  <c r="R37" i="61"/>
  <c r="F40" i="61"/>
  <c r="F41" i="61"/>
  <c r="R45" i="61"/>
  <c r="R46" i="61"/>
  <c r="V48" i="61"/>
  <c r="V56" i="61"/>
  <c r="R14" i="64"/>
  <c r="R16" i="64"/>
  <c r="R18" i="64"/>
  <c r="V20" i="64"/>
  <c r="V24" i="64"/>
  <c r="V28" i="64"/>
  <c r="R33" i="64"/>
  <c r="V37" i="64"/>
  <c r="F39" i="64"/>
  <c r="R41" i="64"/>
  <c r="V45" i="64"/>
  <c r="V48" i="64"/>
  <c r="V58" i="64"/>
  <c r="F60" i="64"/>
  <c r="V62" i="64"/>
  <c r="N68" i="64"/>
  <c r="V89" i="64"/>
  <c r="F93" i="64"/>
  <c r="N102" i="64"/>
  <c r="N18" i="68"/>
  <c r="X42" i="68"/>
  <c r="Z42" i="68" s="1"/>
  <c r="X115" i="69"/>
  <c r="V14" i="60"/>
  <c r="V16" i="60"/>
  <c r="V18" i="60"/>
  <c r="J22" i="60"/>
  <c r="R23" i="60"/>
  <c r="J26" i="60"/>
  <c r="R27" i="60"/>
  <c r="F31" i="60"/>
  <c r="F35" i="60"/>
  <c r="F39" i="60"/>
  <c r="J40" i="60"/>
  <c r="R43" i="60"/>
  <c r="R44" i="60"/>
  <c r="V46" i="60"/>
  <c r="J50" i="60"/>
  <c r="V54" i="60"/>
  <c r="T16" i="61"/>
  <c r="R19" i="61"/>
  <c r="F22" i="61"/>
  <c r="F26" i="61"/>
  <c r="V37" i="61"/>
  <c r="V45" i="61"/>
  <c r="R54" i="61"/>
  <c r="R55" i="61"/>
  <c r="V57" i="61"/>
  <c r="F64" i="61"/>
  <c r="R97" i="64"/>
  <c r="R89" i="64"/>
  <c r="R85" i="64"/>
  <c r="R115" i="64"/>
  <c r="R112" i="64"/>
  <c r="R79" i="64"/>
  <c r="R64" i="64"/>
  <c r="R63" i="64"/>
  <c r="R99" i="64"/>
  <c r="R98" i="64"/>
  <c r="R91" i="64"/>
  <c r="R90" i="64"/>
  <c r="R86" i="64"/>
  <c r="R74" i="64"/>
  <c r="R55" i="64"/>
  <c r="R54" i="64"/>
  <c r="R103" i="64"/>
  <c r="R102" i="64"/>
  <c r="R87" i="64"/>
  <c r="R105" i="64"/>
  <c r="R70" i="64"/>
  <c r="R69" i="64"/>
  <c r="R58" i="64"/>
  <c r="R57" i="64"/>
  <c r="R37" i="64"/>
  <c r="R106" i="64"/>
  <c r="R96" i="64"/>
  <c r="R88" i="64"/>
  <c r="R77" i="64"/>
  <c r="R76" i="64"/>
  <c r="R45" i="64"/>
  <c r="R44" i="64"/>
  <c r="T16" i="64"/>
  <c r="R19" i="64"/>
  <c r="F22" i="64"/>
  <c r="F26" i="64"/>
  <c r="V29" i="64"/>
  <c r="V33" i="64"/>
  <c r="F53" i="64"/>
  <c r="V57" i="64"/>
  <c r="X58" i="64"/>
  <c r="Z58" i="64" s="1"/>
  <c r="R61" i="64"/>
  <c r="R78" i="64"/>
  <c r="X81" i="64"/>
  <c r="F108" i="64"/>
  <c r="X14" i="68"/>
  <c r="N46" i="68"/>
  <c r="X58" i="68"/>
  <c r="Z58" i="68" s="1"/>
  <c r="H75" i="69"/>
  <c r="N52" i="69"/>
  <c r="L103" i="69"/>
  <c r="Z115" i="69"/>
  <c r="L17" i="70"/>
  <c r="N17" i="70" s="1"/>
  <c r="T100" i="74"/>
  <c r="X12" i="60"/>
  <c r="V19" i="60"/>
  <c r="V23" i="60"/>
  <c r="V27" i="60"/>
  <c r="J31" i="60"/>
  <c r="R32" i="60"/>
  <c r="J35" i="60"/>
  <c r="R36" i="60"/>
  <c r="J39" i="60"/>
  <c r="V43" i="60"/>
  <c r="F48" i="60"/>
  <c r="J49" i="60"/>
  <c r="R52" i="60"/>
  <c r="J59" i="60"/>
  <c r="J61" i="60"/>
  <c r="R65" i="60"/>
  <c r="R68" i="60"/>
  <c r="V14" i="61"/>
  <c r="V16" i="61"/>
  <c r="V18" i="61"/>
  <c r="R23" i="61"/>
  <c r="R27" i="61"/>
  <c r="F31" i="61"/>
  <c r="F35" i="61"/>
  <c r="F39" i="61"/>
  <c r="R43" i="61"/>
  <c r="R44" i="61"/>
  <c r="V46" i="61"/>
  <c r="F50" i="61"/>
  <c r="F51" i="61"/>
  <c r="V54" i="61"/>
  <c r="F60" i="61"/>
  <c r="F62" i="61"/>
  <c r="V115" i="64"/>
  <c r="V112" i="64"/>
  <c r="V110" i="64"/>
  <c r="V98" i="64"/>
  <c r="V90" i="64"/>
  <c r="V86" i="64"/>
  <c r="V74" i="64"/>
  <c r="V66" i="64"/>
  <c r="V54" i="64"/>
  <c r="V42" i="64"/>
  <c r="V93" i="64"/>
  <c r="V81" i="64"/>
  <c r="V65" i="64"/>
  <c r="V49" i="64"/>
  <c r="V41" i="64"/>
  <c r="V104" i="64"/>
  <c r="V94" i="64"/>
  <c r="V108" i="64"/>
  <c r="V106" i="64"/>
  <c r="V96" i="64"/>
  <c r="V88" i="64"/>
  <c r="V84" i="64"/>
  <c r="V76" i="64"/>
  <c r="V72" i="64"/>
  <c r="V60" i="64"/>
  <c r="V52" i="64"/>
  <c r="V44" i="64"/>
  <c r="V83" i="64"/>
  <c r="V71" i="64"/>
  <c r="V59" i="64"/>
  <c r="V51" i="64"/>
  <c r="V47" i="64"/>
  <c r="V14" i="64"/>
  <c r="V16" i="64"/>
  <c r="V18" i="64"/>
  <c r="R23" i="64"/>
  <c r="R27" i="64"/>
  <c r="F31" i="64"/>
  <c r="F35" i="64"/>
  <c r="X47" i="64"/>
  <c r="Z47" i="64" s="1"/>
  <c r="R50" i="64"/>
  <c r="V61" i="64"/>
  <c r="F63" i="64"/>
  <c r="F67" i="64"/>
  <c r="X68" i="64"/>
  <c r="R72" i="64"/>
  <c r="F74" i="64"/>
  <c r="V78" i="64"/>
  <c r="R81" i="64"/>
  <c r="F86" i="64"/>
  <c r="V91" i="64"/>
  <c r="F96" i="64"/>
  <c r="V105" i="64"/>
  <c r="X18" i="68"/>
  <c r="Z18" i="68" s="1"/>
  <c r="V41" i="68"/>
  <c r="N48" i="68"/>
  <c r="L48" i="68"/>
  <c r="D12" i="69"/>
  <c r="N103" i="69"/>
  <c r="H22" i="70"/>
  <c r="J22" i="70" s="1"/>
  <c r="X55" i="70"/>
  <c r="D121" i="71"/>
  <c r="L121" i="71" s="1"/>
  <c r="N121" i="71" s="1"/>
  <c r="L122" i="71"/>
  <c r="Z102" i="64"/>
  <c r="V57" i="68"/>
  <c r="D16" i="60"/>
  <c r="J21" i="60"/>
  <c r="R22" i="60"/>
  <c r="J25" i="60"/>
  <c r="R26" i="60"/>
  <c r="F29" i="60"/>
  <c r="F30" i="60"/>
  <c r="F34" i="60"/>
  <c r="F38" i="60"/>
  <c r="V41" i="60"/>
  <c r="R50" i="60"/>
  <c r="R51" i="60"/>
  <c r="J57" i="60"/>
  <c r="V63" i="60"/>
  <c r="V65" i="60"/>
  <c r="V68" i="60"/>
  <c r="F21" i="61"/>
  <c r="F25" i="61"/>
  <c r="V32" i="61"/>
  <c r="V36" i="61"/>
  <c r="R41" i="61"/>
  <c r="R42" i="61"/>
  <c r="V44" i="61"/>
  <c r="F48" i="61"/>
  <c r="F49" i="61"/>
  <c r="V52" i="61"/>
  <c r="R66" i="61"/>
  <c r="R69" i="61"/>
  <c r="F21" i="64"/>
  <c r="F25" i="64"/>
  <c r="V36" i="64"/>
  <c r="R39" i="64"/>
  <c r="R53" i="64"/>
  <c r="R56" i="64"/>
  <c r="V64" i="64"/>
  <c r="F66" i="64"/>
  <c r="Z68" i="64"/>
  <c r="R71" i="64"/>
  <c r="R80" i="64"/>
  <c r="R93" i="64"/>
  <c r="F95" i="64"/>
  <c r="V102" i="64"/>
  <c r="R108" i="64"/>
  <c r="V18" i="68"/>
  <c r="Z46" i="68"/>
  <c r="V53" i="68"/>
  <c r="L112" i="69"/>
  <c r="N112" i="69" s="1"/>
  <c r="Z17" i="70"/>
  <c r="X25" i="70"/>
  <c r="Z25" i="70" s="1"/>
  <c r="D16" i="61"/>
  <c r="L60" i="61"/>
  <c r="D16" i="64"/>
  <c r="X64" i="64"/>
  <c r="Z64" i="64" s="1"/>
  <c r="L70" i="64"/>
  <c r="N70" i="64" s="1"/>
  <c r="F76" i="64"/>
  <c r="R83" i="64"/>
  <c r="R104" i="64"/>
  <c r="V46" i="68"/>
  <c r="D127" i="69"/>
  <c r="L127" i="69" s="1"/>
  <c r="Z78" i="74"/>
  <c r="H16" i="60"/>
  <c r="F19" i="60"/>
  <c r="F20" i="60"/>
  <c r="F24" i="60"/>
  <c r="F28" i="60"/>
  <c r="J29" i="60"/>
  <c r="V31" i="60"/>
  <c r="V35" i="60"/>
  <c r="V39" i="60"/>
  <c r="J47" i="60"/>
  <c r="R48" i="60"/>
  <c r="R49" i="60"/>
  <c r="V51" i="60"/>
  <c r="J55" i="60"/>
  <c r="R59" i="60"/>
  <c r="R61" i="60"/>
  <c r="F14" i="61"/>
  <c r="F16" i="61"/>
  <c r="F18" i="61"/>
  <c r="R31" i="61"/>
  <c r="R35" i="61"/>
  <c r="R39" i="61"/>
  <c r="R40" i="61"/>
  <c r="F46" i="61"/>
  <c r="F47" i="61"/>
  <c r="R51" i="61"/>
  <c r="V64" i="61"/>
  <c r="V66" i="61"/>
  <c r="V69" i="61"/>
  <c r="F14" i="64"/>
  <c r="F16" i="64"/>
  <c r="F18" i="64"/>
  <c r="R31" i="64"/>
  <c r="R35" i="64"/>
  <c r="R43" i="64"/>
  <c r="R46" i="64"/>
  <c r="F62" i="64"/>
  <c r="V67" i="64"/>
  <c r="F79" i="64"/>
  <c r="F82" i="64"/>
  <c r="R92" i="64"/>
  <c r="F110" i="64"/>
  <c r="H16" i="68"/>
  <c r="Z39" i="73"/>
  <c r="J14" i="60"/>
  <c r="J16" i="60"/>
  <c r="J18" i="60"/>
  <c r="J20" i="60"/>
  <c r="R21" i="60"/>
  <c r="J24" i="60"/>
  <c r="R25" i="60"/>
  <c r="J28" i="60"/>
  <c r="F33" i="60"/>
  <c r="F37" i="60"/>
  <c r="V40" i="60"/>
  <c r="F44" i="60"/>
  <c r="F45" i="60"/>
  <c r="J46" i="60"/>
  <c r="V48" i="60"/>
  <c r="F53" i="60"/>
  <c r="J54" i="60"/>
  <c r="R57" i="60"/>
  <c r="F19" i="61"/>
  <c r="F20" i="61"/>
  <c r="F24" i="61"/>
  <c r="F28" i="61"/>
  <c r="V31" i="61"/>
  <c r="V35" i="61"/>
  <c r="V39" i="61"/>
  <c r="F55" i="61"/>
  <c r="F56" i="61"/>
  <c r="F19" i="64"/>
  <c r="F20" i="64"/>
  <c r="F24" i="64"/>
  <c r="F28" i="64"/>
  <c r="V31" i="64"/>
  <c r="V35" i="64"/>
  <c r="R38" i="64"/>
  <c r="V43" i="64"/>
  <c r="V46" i="64"/>
  <c r="F48" i="64"/>
  <c r="R49" i="64"/>
  <c r="R59" i="64"/>
  <c r="N62" i="64"/>
  <c r="F69" i="64"/>
  <c r="F73" i="64"/>
  <c r="V77" i="64"/>
  <c r="F85" i="64"/>
  <c r="V92" i="64"/>
  <c r="R100" i="64"/>
  <c r="F103" i="64"/>
  <c r="R61" i="68"/>
  <c r="R46" i="68"/>
  <c r="R45" i="68"/>
  <c r="R37" i="68"/>
  <c r="R33" i="68"/>
  <c r="R18" i="68"/>
  <c r="R16" i="68"/>
  <c r="R14" i="68"/>
  <c r="R65" i="68"/>
  <c r="R63" i="68"/>
  <c r="R29" i="68"/>
  <c r="R28" i="68"/>
  <c r="R24" i="68"/>
  <c r="R20" i="68"/>
  <c r="P16" i="68"/>
  <c r="R55" i="68"/>
  <c r="R48" i="68"/>
  <c r="R47" i="68"/>
  <c r="R38" i="68"/>
  <c r="R34" i="68"/>
  <c r="R30" i="68"/>
  <c r="R67" i="68"/>
  <c r="R50" i="68"/>
  <c r="R49" i="68"/>
  <c r="R25" i="68"/>
  <c r="R21" i="68"/>
  <c r="R72" i="68"/>
  <c r="R69" i="68"/>
  <c r="R56" i="68"/>
  <c r="R51" i="68"/>
  <c r="R40" i="68"/>
  <c r="R39" i="68"/>
  <c r="R35" i="68"/>
  <c r="R31" i="68"/>
  <c r="R58" i="68"/>
  <c r="R57" i="68"/>
  <c r="R42" i="68"/>
  <c r="R41" i="68"/>
  <c r="R53" i="68"/>
  <c r="R52" i="68"/>
  <c r="R36" i="68"/>
  <c r="R32" i="68"/>
  <c r="X12" i="68"/>
  <c r="N78" i="69"/>
  <c r="N106" i="69"/>
  <c r="L60" i="59"/>
  <c r="N60" i="59" s="1"/>
  <c r="L68" i="59"/>
  <c r="X72" i="59"/>
  <c r="L14" i="60"/>
  <c r="L18" i="60"/>
  <c r="N18" i="60" s="1"/>
  <c r="J33" i="60"/>
  <c r="J37" i="60"/>
  <c r="R38" i="60"/>
  <c r="J45" i="60"/>
  <c r="V49" i="60"/>
  <c r="J53" i="60"/>
  <c r="V57" i="60"/>
  <c r="V59" i="60"/>
  <c r="V61" i="60"/>
  <c r="F65" i="60"/>
  <c r="F68" i="60"/>
  <c r="F33" i="61"/>
  <c r="F37" i="61"/>
  <c r="F44" i="61"/>
  <c r="F45" i="61"/>
  <c r="R49" i="61"/>
  <c r="R50" i="61"/>
  <c r="R60" i="61"/>
  <c r="R62" i="61"/>
  <c r="F54" i="64"/>
  <c r="F87" i="64"/>
  <c r="F94" i="64"/>
  <c r="V100" i="64"/>
  <c r="V48" i="68"/>
  <c r="V28" i="68"/>
  <c r="V24" i="68"/>
  <c r="V20" i="68"/>
  <c r="V55" i="68"/>
  <c r="V47" i="68"/>
  <c r="V50" i="68"/>
  <c r="V38" i="68"/>
  <c r="V34" i="68"/>
  <c r="V30" i="68"/>
  <c r="V72" i="68"/>
  <c r="V69" i="68"/>
  <c r="V67" i="68"/>
  <c r="V49" i="68"/>
  <c r="V25" i="68"/>
  <c r="V21" i="68"/>
  <c r="V56" i="68"/>
  <c r="V40" i="68"/>
  <c r="V51" i="68"/>
  <c r="V39" i="68"/>
  <c r="V35" i="68"/>
  <c r="V58" i="68"/>
  <c r="V42" i="68"/>
  <c r="V26" i="68"/>
  <c r="V22" i="68"/>
  <c r="V60" i="68"/>
  <c r="V52" i="68"/>
  <c r="V44" i="68"/>
  <c r="V36" i="68"/>
  <c r="V32" i="68"/>
  <c r="Z12" i="68"/>
  <c r="V59" i="68"/>
  <c r="V43" i="68"/>
  <c r="V27" i="68"/>
  <c r="V23" i="68"/>
  <c r="V19" i="68"/>
  <c r="T16" i="68"/>
  <c r="V45" i="68"/>
  <c r="X106" i="69"/>
  <c r="N124" i="69"/>
  <c r="F23" i="60"/>
  <c r="F27" i="60"/>
  <c r="V30" i="60"/>
  <c r="V34" i="60"/>
  <c r="F42" i="60"/>
  <c r="R47" i="60"/>
  <c r="R55" i="60"/>
  <c r="R30" i="61"/>
  <c r="R34" i="61"/>
  <c r="R38" i="61"/>
  <c r="F53" i="61"/>
  <c r="F104" i="64"/>
  <c r="F102" i="64"/>
  <c r="F106" i="64"/>
  <c r="F83" i="64"/>
  <c r="F71" i="64"/>
  <c r="F70" i="64"/>
  <c r="F59" i="64"/>
  <c r="F58" i="64"/>
  <c r="F51" i="64"/>
  <c r="F78" i="64"/>
  <c r="F77" i="64"/>
  <c r="F46" i="64"/>
  <c r="F45" i="64"/>
  <c r="F38" i="64"/>
  <c r="F115" i="64"/>
  <c r="F112" i="64"/>
  <c r="F65" i="64"/>
  <c r="F64" i="64"/>
  <c r="F49" i="64"/>
  <c r="F41" i="64"/>
  <c r="F40" i="64"/>
  <c r="F100" i="64"/>
  <c r="F99" i="64"/>
  <c r="F92" i="64"/>
  <c r="F91" i="64"/>
  <c r="F80" i="64"/>
  <c r="F56" i="64"/>
  <c r="F55" i="64"/>
  <c r="R34" i="64"/>
  <c r="F57" i="64"/>
  <c r="X62" i="64"/>
  <c r="Z62" i="64" s="1"/>
  <c r="R66" i="64"/>
  <c r="V70" i="64"/>
  <c r="F72" i="64"/>
  <c r="F75" i="64"/>
  <c r="L81" i="64"/>
  <c r="N81" i="64" s="1"/>
  <c r="R82" i="64"/>
  <c r="F89" i="64"/>
  <c r="R95" i="64"/>
  <c r="L14" i="68"/>
  <c r="V16" i="68"/>
  <c r="X19" i="68"/>
  <c r="Z29" i="68"/>
  <c r="V31" i="68"/>
  <c r="V54" i="68"/>
  <c r="P12" i="69"/>
  <c r="X13" i="69"/>
  <c r="Z13" i="69" s="1"/>
  <c r="Z108" i="69"/>
  <c r="N122" i="69"/>
  <c r="X21" i="71"/>
  <c r="Z21" i="71" s="1"/>
  <c r="P12" i="71"/>
  <c r="J31" i="68"/>
  <c r="J35" i="68"/>
  <c r="J39" i="68"/>
  <c r="J51" i="68"/>
  <c r="F56" i="68"/>
  <c r="J69" i="68"/>
  <c r="J72" i="68"/>
  <c r="J121" i="69"/>
  <c r="J115" i="69"/>
  <c r="J128" i="69"/>
  <c r="J127" i="69"/>
  <c r="J119" i="69"/>
  <c r="J52" i="69"/>
  <c r="V54" i="69"/>
  <c r="V58" i="69"/>
  <c r="V62" i="69"/>
  <c r="V66" i="69"/>
  <c r="V70" i="69"/>
  <c r="J82" i="69"/>
  <c r="J86" i="69"/>
  <c r="J102" i="69"/>
  <c r="V106" i="69"/>
  <c r="J112" i="69"/>
  <c r="V124" i="69"/>
  <c r="R77" i="70"/>
  <c r="R62" i="70"/>
  <c r="R44" i="70"/>
  <c r="R40" i="70"/>
  <c r="R36" i="70"/>
  <c r="R17" i="70"/>
  <c r="R70" i="70"/>
  <c r="R55" i="70"/>
  <c r="R54" i="70"/>
  <c r="R57" i="70"/>
  <c r="R56" i="70"/>
  <c r="R66" i="70"/>
  <c r="R59" i="70"/>
  <c r="R58" i="70"/>
  <c r="R42" i="70"/>
  <c r="R38" i="70"/>
  <c r="X12" i="70"/>
  <c r="Z12" i="70" s="1"/>
  <c r="R61" i="70"/>
  <c r="R60" i="70"/>
  <c r="R25" i="70"/>
  <c r="J17" i="70"/>
  <c r="R18" i="70"/>
  <c r="J27" i="70"/>
  <c r="R30" i="70"/>
  <c r="R33" i="70"/>
  <c r="V44" i="70"/>
  <c r="R48" i="70"/>
  <c r="R52" i="70"/>
  <c r="J54" i="70"/>
  <c r="N59" i="70"/>
  <c r="R67" i="70"/>
  <c r="F46" i="71"/>
  <c r="N86" i="71"/>
  <c r="J28" i="73"/>
  <c r="R35" i="73"/>
  <c r="N36" i="74"/>
  <c r="X19" i="75"/>
  <c r="P12" i="75"/>
  <c r="F21" i="68"/>
  <c r="F25" i="68"/>
  <c r="F48" i="68"/>
  <c r="F49" i="68"/>
  <c r="J50" i="68"/>
  <c r="J56" i="68"/>
  <c r="F67" i="68"/>
  <c r="V79" i="69"/>
  <c r="V83" i="69"/>
  <c r="V87" i="69"/>
  <c r="J91" i="69"/>
  <c r="J95" i="69"/>
  <c r="J101" i="69"/>
  <c r="J111" i="69"/>
  <c r="J117" i="69"/>
  <c r="V119" i="69"/>
  <c r="X122" i="69"/>
  <c r="Z122" i="69" s="1"/>
  <c r="T130" i="69"/>
  <c r="V69" i="70"/>
  <c r="V53" i="70"/>
  <c r="V81" i="70"/>
  <c r="V63" i="70"/>
  <c r="V55" i="70"/>
  <c r="V31" i="70"/>
  <c r="V27" i="70"/>
  <c r="V65" i="70"/>
  <c r="V57" i="70"/>
  <c r="V45" i="70"/>
  <c r="V41" i="70"/>
  <c r="V37" i="70"/>
  <c r="V71" i="70"/>
  <c r="V59" i="70"/>
  <c r="V73" i="70"/>
  <c r="V61" i="70"/>
  <c r="V49" i="70"/>
  <c r="V33" i="70"/>
  <c r="V29" i="70"/>
  <c r="V25" i="70"/>
  <c r="V77" i="70"/>
  <c r="V75" i="70"/>
  <c r="V67" i="70"/>
  <c r="V51" i="70"/>
  <c r="V43" i="70"/>
  <c r="V39" i="70"/>
  <c r="V35" i="70"/>
  <c r="V18" i="70"/>
  <c r="R24" i="70"/>
  <c r="V30" i="70"/>
  <c r="J32" i="70"/>
  <c r="V36" i="70"/>
  <c r="J38" i="70"/>
  <c r="R47" i="70"/>
  <c r="V70" i="70"/>
  <c r="J72" i="70"/>
  <c r="J38" i="73"/>
  <c r="J40" i="73"/>
  <c r="R61" i="73"/>
  <c r="V88" i="69"/>
  <c r="V92" i="69"/>
  <c r="V96" i="69"/>
  <c r="V104" i="69"/>
  <c r="X22" i="70"/>
  <c r="N35" i="70"/>
  <c r="J46" i="70"/>
  <c r="J56" i="70"/>
  <c r="J66" i="70"/>
  <c r="F124" i="71"/>
  <c r="F107" i="71"/>
  <c r="F106" i="71"/>
  <c r="F99" i="71"/>
  <c r="F98" i="71"/>
  <c r="F83" i="71"/>
  <c r="F79" i="71"/>
  <c r="D61" i="71"/>
  <c r="F125" i="71"/>
  <c r="F114" i="71"/>
  <c r="F90" i="71"/>
  <c r="F74" i="71"/>
  <c r="F70" i="71"/>
  <c r="F66" i="71"/>
  <c r="F109" i="71"/>
  <c r="F108" i="71"/>
  <c r="F101" i="71"/>
  <c r="F100" i="71"/>
  <c r="F57" i="71"/>
  <c r="F53" i="71"/>
  <c r="F49" i="71"/>
  <c r="F45" i="71"/>
  <c r="F116" i="71"/>
  <c r="F115" i="71"/>
  <c r="F92" i="71"/>
  <c r="F91" i="71"/>
  <c r="F84" i="71"/>
  <c r="F80" i="71"/>
  <c r="F76" i="71"/>
  <c r="F75" i="71"/>
  <c r="F129" i="71"/>
  <c r="F103" i="71"/>
  <c r="F102" i="71"/>
  <c r="F71" i="71"/>
  <c r="F67" i="71"/>
  <c r="F118" i="71"/>
  <c r="F117" i="71"/>
  <c r="F110" i="71"/>
  <c r="F94" i="71"/>
  <c r="F93" i="71"/>
  <c r="F85" i="71"/>
  <c r="F81" i="71"/>
  <c r="F77" i="71"/>
  <c r="F104" i="71"/>
  <c r="F96" i="71"/>
  <c r="F95" i="71"/>
  <c r="F119" i="71"/>
  <c r="F111" i="71"/>
  <c r="F87" i="71"/>
  <c r="F86" i="71"/>
  <c r="F59" i="71"/>
  <c r="F55" i="71"/>
  <c r="F51" i="71"/>
  <c r="F47" i="71"/>
  <c r="F43" i="71"/>
  <c r="F42" i="71"/>
  <c r="F122" i="71"/>
  <c r="F113" i="71"/>
  <c r="F112" i="71"/>
  <c r="F105" i="71"/>
  <c r="F97" i="71"/>
  <c r="F89" i="71"/>
  <c r="F88" i="71"/>
  <c r="F73" i="71"/>
  <c r="F69" i="71"/>
  <c r="F65" i="71"/>
  <c r="F64" i="71"/>
  <c r="F48" i="71"/>
  <c r="F58" i="71"/>
  <c r="F61" i="71"/>
  <c r="J83" i="73"/>
  <c r="J75" i="73"/>
  <c r="J59" i="73"/>
  <c r="J35" i="73"/>
  <c r="J31" i="73"/>
  <c r="J21" i="73"/>
  <c r="J60" i="73"/>
  <c r="J22" i="73"/>
  <c r="J87" i="73"/>
  <c r="J69" i="73"/>
  <c r="J61" i="73"/>
  <c r="J49" i="73"/>
  <c r="J45" i="73"/>
  <c r="J41" i="73"/>
  <c r="J76" i="73"/>
  <c r="J70" i="73"/>
  <c r="J62" i="73"/>
  <c r="J50" i="73"/>
  <c r="J36" i="73"/>
  <c r="J32" i="73"/>
  <c r="J71" i="73"/>
  <c r="J63" i="73"/>
  <c r="J51" i="73"/>
  <c r="J23" i="73"/>
  <c r="J72" i="73"/>
  <c r="J64" i="73"/>
  <c r="J52" i="73"/>
  <c r="J46" i="73"/>
  <c r="J42" i="73"/>
  <c r="J77" i="73"/>
  <c r="J73" i="73"/>
  <c r="J65" i="73"/>
  <c r="J53" i="73"/>
  <c r="J37" i="73"/>
  <c r="J33" i="73"/>
  <c r="J78" i="73"/>
  <c r="J66" i="73"/>
  <c r="J54" i="73"/>
  <c r="J24" i="73"/>
  <c r="J79" i="73"/>
  <c r="J67" i="73"/>
  <c r="J55" i="73"/>
  <c r="J47" i="73"/>
  <c r="J43" i="73"/>
  <c r="J29" i="73"/>
  <c r="J81" i="73"/>
  <c r="J57" i="73"/>
  <c r="J39" i="73"/>
  <c r="H26" i="73"/>
  <c r="V53" i="69"/>
  <c r="V57" i="69"/>
  <c r="V61" i="69"/>
  <c r="V65" i="69"/>
  <c r="V69" i="69"/>
  <c r="V73" i="69"/>
  <c r="V75" i="69"/>
  <c r="V77" i="69"/>
  <c r="J81" i="69"/>
  <c r="J85" i="69"/>
  <c r="J99" i="69"/>
  <c r="J109" i="69"/>
  <c r="R22" i="70"/>
  <c r="J26" i="70"/>
  <c r="J29" i="70"/>
  <c r="L35" i="70"/>
  <c r="J50" i="70"/>
  <c r="Z59" i="70"/>
  <c r="L61" i="70"/>
  <c r="N61" i="70" s="1"/>
  <c r="L88" i="71"/>
  <c r="N88" i="71" s="1"/>
  <c r="R49" i="73"/>
  <c r="J56" i="73"/>
  <c r="V127" i="69"/>
  <c r="V125" i="69"/>
  <c r="V117" i="69"/>
  <c r="X77" i="69"/>
  <c r="Z77" i="69" s="1"/>
  <c r="V78" i="69"/>
  <c r="V82" i="69"/>
  <c r="V86" i="69"/>
  <c r="J90" i="69"/>
  <c r="J94" i="69"/>
  <c r="J98" i="69"/>
  <c r="L99" i="69"/>
  <c r="V102" i="69"/>
  <c r="J108" i="69"/>
  <c r="J116" i="69"/>
  <c r="V121" i="69"/>
  <c r="V122" i="69"/>
  <c r="P127" i="69"/>
  <c r="X127" i="69" s="1"/>
  <c r="V128" i="69"/>
  <c r="D12" i="70"/>
  <c r="T22" i="70"/>
  <c r="J34" i="70"/>
  <c r="J40" i="70"/>
  <c r="J58" i="70"/>
  <c r="L12" i="71"/>
  <c r="N12" i="71" s="1"/>
  <c r="F68" i="71"/>
  <c r="F72" i="71"/>
  <c r="L112" i="71"/>
  <c r="N112" i="71" s="1"/>
  <c r="L29" i="73"/>
  <c r="R31" i="73"/>
  <c r="J34" i="73"/>
  <c r="R69" i="73"/>
  <c r="R87" i="73"/>
  <c r="V91" i="69"/>
  <c r="V95" i="69"/>
  <c r="V103" i="69"/>
  <c r="J107" i="69"/>
  <c r="V111" i="69"/>
  <c r="V118" i="69"/>
  <c r="J120" i="69"/>
  <c r="J125" i="69"/>
  <c r="J132" i="69"/>
  <c r="Z61" i="70"/>
  <c r="J74" i="70"/>
  <c r="P79" i="70"/>
  <c r="R79" i="70" s="1"/>
  <c r="F50" i="71"/>
  <c r="N64" i="71"/>
  <c r="N29" i="73"/>
  <c r="R75" i="73"/>
  <c r="J19" i="68"/>
  <c r="J33" i="68"/>
  <c r="J37" i="68"/>
  <c r="J45" i="68"/>
  <c r="F53" i="68"/>
  <c r="F54" i="68"/>
  <c r="J61" i="68"/>
  <c r="V52" i="69"/>
  <c r="V56" i="69"/>
  <c r="V60" i="69"/>
  <c r="V64" i="69"/>
  <c r="V68" i="69"/>
  <c r="V72" i="69"/>
  <c r="J80" i="69"/>
  <c r="J84" i="69"/>
  <c r="V100" i="69"/>
  <c r="J106" i="69"/>
  <c r="V112" i="69"/>
  <c r="J124" i="69"/>
  <c r="J19" i="70"/>
  <c r="V20" i="70"/>
  <c r="R26" i="70"/>
  <c r="J28" i="70"/>
  <c r="J31" i="70"/>
  <c r="Z35" i="70"/>
  <c r="J60" i="70"/>
  <c r="R69" i="70"/>
  <c r="V72" i="70"/>
  <c r="R75" i="70"/>
  <c r="N106" i="71"/>
  <c r="F121" i="71"/>
  <c r="D12" i="73"/>
  <c r="R45" i="73"/>
  <c r="P12" i="74"/>
  <c r="F42" i="68"/>
  <c r="F43" i="68"/>
  <c r="J44" i="68"/>
  <c r="J54" i="68"/>
  <c r="F58" i="68"/>
  <c r="V81" i="69"/>
  <c r="V85" i="69"/>
  <c r="J89" i="69"/>
  <c r="J93" i="69"/>
  <c r="J97" i="69"/>
  <c r="V101" i="69"/>
  <c r="J105" i="69"/>
  <c r="V109" i="69"/>
  <c r="J114" i="69"/>
  <c r="L124" i="69"/>
  <c r="V26" i="70"/>
  <c r="R34" i="70"/>
  <c r="V40" i="70"/>
  <c r="J42" i="70"/>
  <c r="R45" i="70"/>
  <c r="V46" i="70"/>
  <c r="R50" i="70"/>
  <c r="V58" i="70"/>
  <c r="J68" i="70"/>
  <c r="R71" i="70"/>
  <c r="F52" i="71"/>
  <c r="F63" i="71"/>
  <c r="L98" i="71"/>
  <c r="N100" i="71"/>
  <c r="L106" i="71"/>
  <c r="N108" i="71"/>
  <c r="Z112" i="71"/>
  <c r="F123" i="71"/>
  <c r="Z29" i="73"/>
  <c r="J48" i="73"/>
  <c r="V90" i="69"/>
  <c r="V94" i="69"/>
  <c r="V98" i="69"/>
  <c r="V110" i="69"/>
  <c r="V116" i="69"/>
  <c r="V120" i="69"/>
  <c r="L122" i="69"/>
  <c r="J123" i="69"/>
  <c r="V132" i="69"/>
  <c r="N42" i="71"/>
  <c r="J42" i="71"/>
  <c r="F78" i="71"/>
  <c r="R76" i="73"/>
  <c r="R36" i="73"/>
  <c r="R32" i="73"/>
  <c r="R72" i="73"/>
  <c r="R71" i="73"/>
  <c r="R64" i="73"/>
  <c r="R63" i="73"/>
  <c r="R52" i="73"/>
  <c r="R51" i="73"/>
  <c r="R23" i="73"/>
  <c r="R46" i="73"/>
  <c r="R42" i="73"/>
  <c r="R78" i="73"/>
  <c r="R77" i="73"/>
  <c r="R73" i="73"/>
  <c r="R66" i="73"/>
  <c r="R65" i="73"/>
  <c r="R54" i="73"/>
  <c r="R53" i="73"/>
  <c r="R37" i="73"/>
  <c r="R33" i="73"/>
  <c r="R29" i="73"/>
  <c r="R24" i="73"/>
  <c r="R80" i="73"/>
  <c r="R79" i="73"/>
  <c r="R67" i="73"/>
  <c r="R56" i="73"/>
  <c r="R55" i="73"/>
  <c r="R47" i="73"/>
  <c r="R43" i="73"/>
  <c r="R28" i="73"/>
  <c r="R26" i="73"/>
  <c r="R74" i="73"/>
  <c r="R39" i="73"/>
  <c r="R38" i="73"/>
  <c r="R34" i="73"/>
  <c r="R30" i="73"/>
  <c r="P26" i="73"/>
  <c r="X12" i="73"/>
  <c r="Z12" i="73" s="1"/>
  <c r="R81" i="73"/>
  <c r="R58" i="73"/>
  <c r="R57" i="73"/>
  <c r="R83" i="73"/>
  <c r="R68" i="73"/>
  <c r="R48" i="73"/>
  <c r="R44" i="73"/>
  <c r="R40" i="73"/>
  <c r="R21" i="73"/>
  <c r="R22" i="73"/>
  <c r="N39" i="73"/>
  <c r="D12" i="74"/>
  <c r="L16" i="74"/>
  <c r="V55" i="69"/>
  <c r="V59" i="69"/>
  <c r="V63" i="69"/>
  <c r="V67" i="69"/>
  <c r="V71" i="69"/>
  <c r="J75" i="69"/>
  <c r="J77" i="69"/>
  <c r="J79" i="69"/>
  <c r="J83" i="69"/>
  <c r="J87" i="69"/>
  <c r="V99" i="69"/>
  <c r="V107" i="69"/>
  <c r="J73" i="70"/>
  <c r="J59" i="70"/>
  <c r="J49" i="70"/>
  <c r="J75" i="70"/>
  <c r="J67" i="70"/>
  <c r="J61" i="70"/>
  <c r="J51" i="70"/>
  <c r="J43" i="70"/>
  <c r="J39" i="70"/>
  <c r="J25" i="70"/>
  <c r="J77" i="70"/>
  <c r="J69" i="70"/>
  <c r="J53" i="70"/>
  <c r="J35" i="70"/>
  <c r="J81" i="70"/>
  <c r="J63" i="70"/>
  <c r="J65" i="70"/>
  <c r="J55" i="70"/>
  <c r="J45" i="70"/>
  <c r="J41" i="70"/>
  <c r="J37" i="70"/>
  <c r="J71" i="70"/>
  <c r="J57" i="70"/>
  <c r="J47" i="70"/>
  <c r="J18" i="70"/>
  <c r="J30" i="70"/>
  <c r="J44" i="70"/>
  <c r="J48" i="70"/>
  <c r="J52" i="70"/>
  <c r="L55" i="70"/>
  <c r="L42" i="71"/>
  <c r="F44" i="71"/>
  <c r="F82" i="71"/>
  <c r="Z98" i="71"/>
  <c r="X102" i="71"/>
  <c r="Z102" i="71" s="1"/>
  <c r="Z106" i="71"/>
  <c r="J30" i="73"/>
  <c r="L39" i="73"/>
  <c r="R41" i="73"/>
  <c r="R59" i="73"/>
  <c r="R62" i="73"/>
  <c r="J68" i="73"/>
  <c r="J74" i="73"/>
  <c r="Z42" i="71"/>
  <c r="J44" i="71"/>
  <c r="J48" i="71"/>
  <c r="J52" i="71"/>
  <c r="J56" i="71"/>
  <c r="H61" i="71"/>
  <c r="V76" i="71"/>
  <c r="V80" i="71"/>
  <c r="V84" i="71"/>
  <c r="V92" i="71"/>
  <c r="J98" i="71"/>
  <c r="J106" i="71"/>
  <c r="V116" i="71"/>
  <c r="J123" i="71"/>
  <c r="V41" i="73"/>
  <c r="V45" i="73"/>
  <c r="V49" i="73"/>
  <c r="V61" i="73"/>
  <c r="V69" i="73"/>
  <c r="V87" i="73"/>
  <c r="J41" i="74"/>
  <c r="J48" i="74"/>
  <c r="V49" i="74"/>
  <c r="N78" i="74"/>
  <c r="V84" i="74"/>
  <c r="J87" i="74"/>
  <c r="J39" i="75"/>
  <c r="J44" i="75"/>
  <c r="J49" i="75"/>
  <c r="Z56" i="75"/>
  <c r="X119" i="75"/>
  <c r="Z119" i="75" s="1"/>
  <c r="P117" i="75"/>
  <c r="X117" i="75" s="1"/>
  <c r="Z117" i="75" s="1"/>
  <c r="J64" i="71"/>
  <c r="V66" i="71"/>
  <c r="V70" i="71"/>
  <c r="V74" i="71"/>
  <c r="J78" i="71"/>
  <c r="J82" i="71"/>
  <c r="J88" i="71"/>
  <c r="V90" i="71"/>
  <c r="V102" i="71"/>
  <c r="J112" i="71"/>
  <c r="V114" i="71"/>
  <c r="V31" i="73"/>
  <c r="V35" i="73"/>
  <c r="V59" i="73"/>
  <c r="V75" i="73"/>
  <c r="J36" i="74"/>
  <c r="V38" i="74"/>
  <c r="J44" i="74"/>
  <c r="V45" i="74"/>
  <c r="V65" i="74"/>
  <c r="V68" i="74"/>
  <c r="X78" i="74"/>
  <c r="V81" i="74"/>
  <c r="V94" i="74"/>
  <c r="J41" i="75"/>
  <c r="J51" i="75"/>
  <c r="Z85" i="75"/>
  <c r="X85" i="75"/>
  <c r="J95" i="75"/>
  <c r="P12" i="76"/>
  <c r="X13" i="76"/>
  <c r="Z13" i="76" s="1"/>
  <c r="N44" i="76"/>
  <c r="V40" i="73"/>
  <c r="V44" i="73"/>
  <c r="V48" i="73"/>
  <c r="V60" i="73"/>
  <c r="V68" i="73"/>
  <c r="V91" i="74"/>
  <c r="V98" i="74"/>
  <c r="L89" i="76"/>
  <c r="N89" i="76" s="1"/>
  <c r="D87" i="76"/>
  <c r="L87" i="76" s="1"/>
  <c r="N87" i="76" s="1"/>
  <c r="Z30" i="79"/>
  <c r="X30" i="79"/>
  <c r="V56" i="71"/>
  <c r="J68" i="71"/>
  <c r="J72" i="71"/>
  <c r="J86" i="71"/>
  <c r="J96" i="71"/>
  <c r="V100" i="71"/>
  <c r="J104" i="71"/>
  <c r="V108" i="71"/>
  <c r="P121" i="71"/>
  <c r="X121" i="71" s="1"/>
  <c r="Z121" i="71" s="1"/>
  <c r="V124" i="71"/>
  <c r="V21" i="73"/>
  <c r="V57" i="73"/>
  <c r="V81" i="73"/>
  <c r="V83" i="73"/>
  <c r="V41" i="74"/>
  <c r="V58" i="74"/>
  <c r="V73" i="74"/>
  <c r="V75" i="74"/>
  <c r="J83" i="74"/>
  <c r="H54" i="75"/>
  <c r="Z80" i="75"/>
  <c r="L92" i="75"/>
  <c r="Z44" i="76"/>
  <c r="V30" i="73"/>
  <c r="V34" i="73"/>
  <c r="V38" i="73"/>
  <c r="V58" i="73"/>
  <c r="V74" i="73"/>
  <c r="J102" i="75"/>
  <c r="J96" i="75"/>
  <c r="J86" i="75"/>
  <c r="J50" i="75"/>
  <c r="J46" i="75"/>
  <c r="J42" i="75"/>
  <c r="J38" i="75"/>
  <c r="J118" i="75"/>
  <c r="J117" i="75"/>
  <c r="J103" i="75"/>
  <c r="J97" i="75"/>
  <c r="J77" i="75"/>
  <c r="J73" i="75"/>
  <c r="J69" i="75"/>
  <c r="J119" i="75"/>
  <c r="J108" i="75"/>
  <c r="J104" i="75"/>
  <c r="J78" i="75"/>
  <c r="J64" i="75"/>
  <c r="J60" i="75"/>
  <c r="J120" i="75"/>
  <c r="J109" i="75"/>
  <c r="J87" i="75"/>
  <c r="J79" i="75"/>
  <c r="J110" i="75"/>
  <c r="J98" i="75"/>
  <c r="J88" i="75"/>
  <c r="J80" i="75"/>
  <c r="J74" i="75"/>
  <c r="J70" i="75"/>
  <c r="J111" i="75"/>
  <c r="J105" i="75"/>
  <c r="J89" i="75"/>
  <c r="J81" i="75"/>
  <c r="J65" i="75"/>
  <c r="J61" i="75"/>
  <c r="J124" i="75"/>
  <c r="J112" i="75"/>
  <c r="J113" i="75"/>
  <c r="J99" i="75"/>
  <c r="J91" i="75"/>
  <c r="J75" i="75"/>
  <c r="J71" i="75"/>
  <c r="J57" i="75"/>
  <c r="J114" i="75"/>
  <c r="J106" i="75"/>
  <c r="J100" i="75"/>
  <c r="J92" i="75"/>
  <c r="J82" i="75"/>
  <c r="J66" i="75"/>
  <c r="J62" i="75"/>
  <c r="J58" i="75"/>
  <c r="J56" i="75"/>
  <c r="J54" i="75"/>
  <c r="J36" i="75"/>
  <c r="J94" i="75"/>
  <c r="J84" i="75"/>
  <c r="J76" i="75"/>
  <c r="J72" i="75"/>
  <c r="J68" i="75"/>
  <c r="J43" i="75"/>
  <c r="J48" i="75"/>
  <c r="F81" i="79"/>
  <c r="F78" i="79"/>
  <c r="F65" i="79"/>
  <c r="F64" i="79"/>
  <c r="F25" i="79"/>
  <c r="F21" i="79"/>
  <c r="F56" i="79"/>
  <c r="F48" i="79"/>
  <c r="F44" i="79"/>
  <c r="F40" i="79"/>
  <c r="F39" i="79"/>
  <c r="F68" i="79"/>
  <c r="F35" i="79"/>
  <c r="F31" i="79"/>
  <c r="F30" i="79"/>
  <c r="F69" i="79"/>
  <c r="F67" i="79"/>
  <c r="F58" i="79"/>
  <c r="F57" i="79"/>
  <c r="F29" i="79"/>
  <c r="F27" i="79"/>
  <c r="F22" i="79"/>
  <c r="L12" i="79"/>
  <c r="F70" i="79"/>
  <c r="F49" i="79"/>
  <c r="F45" i="79"/>
  <c r="F41" i="79"/>
  <c r="D27" i="79"/>
  <c r="F71" i="79"/>
  <c r="F60" i="79"/>
  <c r="F59" i="79"/>
  <c r="F36" i="79"/>
  <c r="F32" i="79"/>
  <c r="F72" i="79"/>
  <c r="F51" i="79"/>
  <c r="F50" i="79"/>
  <c r="F23" i="79"/>
  <c r="F74" i="79"/>
  <c r="F53" i="79"/>
  <c r="F52" i="79"/>
  <c r="F37" i="79"/>
  <c r="F33" i="79"/>
  <c r="F76" i="79"/>
  <c r="F24" i="79"/>
  <c r="F20" i="79"/>
  <c r="F19" i="79"/>
  <c r="F63" i="79"/>
  <c r="F55" i="79"/>
  <c r="F54" i="79"/>
  <c r="F47" i="79"/>
  <c r="F43" i="79"/>
  <c r="F62" i="79"/>
  <c r="F42" i="79"/>
  <c r="F34" i="79"/>
  <c r="F46" i="79"/>
  <c r="F61" i="79"/>
  <c r="F38" i="79"/>
  <c r="J46" i="71"/>
  <c r="J50" i="71"/>
  <c r="J54" i="71"/>
  <c r="J58" i="71"/>
  <c r="T61" i="71"/>
  <c r="V78" i="71"/>
  <c r="V82" i="71"/>
  <c r="J94" i="71"/>
  <c r="V98" i="71"/>
  <c r="V106" i="71"/>
  <c r="J110" i="71"/>
  <c r="J118" i="71"/>
  <c r="V122" i="71"/>
  <c r="T26" i="73"/>
  <c r="V26" i="73" s="1"/>
  <c r="V39" i="73"/>
  <c r="V43" i="73"/>
  <c r="V47" i="73"/>
  <c r="V55" i="73"/>
  <c r="V67" i="73"/>
  <c r="V79" i="73"/>
  <c r="J98" i="74"/>
  <c r="J86" i="74"/>
  <c r="J102" i="74"/>
  <c r="J88" i="74"/>
  <c r="J78" i="74"/>
  <c r="J64" i="74"/>
  <c r="J60" i="74"/>
  <c r="J91" i="74"/>
  <c r="J81" i="74"/>
  <c r="J65" i="74"/>
  <c r="J61" i="74"/>
  <c r="J93" i="74"/>
  <c r="J75" i="74"/>
  <c r="J94" i="74"/>
  <c r="J82" i="74"/>
  <c r="J66" i="74"/>
  <c r="J62" i="74"/>
  <c r="J58" i="74"/>
  <c r="J56" i="74"/>
  <c r="J54" i="74"/>
  <c r="J96" i="74"/>
  <c r="J84" i="74"/>
  <c r="J76" i="74"/>
  <c r="J72" i="74"/>
  <c r="J68" i="74"/>
  <c r="X13" i="74"/>
  <c r="Z13" i="74" s="1"/>
  <c r="H54" i="74"/>
  <c r="V62" i="74"/>
  <c r="X67" i="74"/>
  <c r="Z67" i="74" s="1"/>
  <c r="J69" i="74"/>
  <c r="V77" i="74"/>
  <c r="J92" i="74"/>
  <c r="L14" i="75"/>
  <c r="D12" i="75"/>
  <c r="Z36" i="75"/>
  <c r="T54" i="75"/>
  <c r="J59" i="75"/>
  <c r="J115" i="75"/>
  <c r="P12" i="77"/>
  <c r="X13" i="77"/>
  <c r="Z13" i="77" s="1"/>
  <c r="V111" i="71"/>
  <c r="V119" i="71"/>
  <c r="V121" i="71"/>
  <c r="J129" i="71"/>
  <c r="V24" i="73"/>
  <c r="V28" i="73"/>
  <c r="V56" i="73"/>
  <c r="V80" i="73"/>
  <c r="J40" i="75"/>
  <c r="J45" i="75"/>
  <c r="J67" i="75"/>
  <c r="J90" i="75"/>
  <c r="N94" i="75"/>
  <c r="H56" i="77"/>
  <c r="V64" i="71"/>
  <c r="V68" i="71"/>
  <c r="V72" i="71"/>
  <c r="J76" i="71"/>
  <c r="J80" i="71"/>
  <c r="J84" i="71"/>
  <c r="V88" i="71"/>
  <c r="J92" i="71"/>
  <c r="V96" i="71"/>
  <c r="J102" i="71"/>
  <c r="V104" i="71"/>
  <c r="V112" i="71"/>
  <c r="J116" i="71"/>
  <c r="L13" i="73"/>
  <c r="V29" i="73"/>
  <c r="V33" i="73"/>
  <c r="V37" i="73"/>
  <c r="V53" i="73"/>
  <c r="V65" i="73"/>
  <c r="V73" i="73"/>
  <c r="V77" i="73"/>
  <c r="V36" i="74"/>
  <c r="J49" i="74"/>
  <c r="J59" i="74"/>
  <c r="V67" i="74"/>
  <c r="J74" i="74"/>
  <c r="Z80" i="74"/>
  <c r="L56" i="75"/>
  <c r="N56" i="75" s="1"/>
  <c r="Z88" i="75"/>
  <c r="L94" i="75"/>
  <c r="N96" i="75"/>
  <c r="D12" i="76"/>
  <c r="V42" i="73"/>
  <c r="V46" i="73"/>
  <c r="V54" i="73"/>
  <c r="V66" i="73"/>
  <c r="V78" i="73"/>
  <c r="J107" i="75"/>
  <c r="V58" i="71"/>
  <c r="J66" i="71"/>
  <c r="J70" i="71"/>
  <c r="J74" i="71"/>
  <c r="V86" i="71"/>
  <c r="J90" i="71"/>
  <c r="V94" i="71"/>
  <c r="J100" i="71"/>
  <c r="J108" i="71"/>
  <c r="V110" i="71"/>
  <c r="J114" i="71"/>
  <c r="V23" i="73"/>
  <c r="V51" i="73"/>
  <c r="V63" i="73"/>
  <c r="V90" i="74"/>
  <c r="V74" i="74"/>
  <c r="V92" i="74"/>
  <c r="V56" i="74"/>
  <c r="V54" i="74"/>
  <c r="V52" i="74"/>
  <c r="V48" i="74"/>
  <c r="V44" i="74"/>
  <c r="V40" i="74"/>
  <c r="V85" i="74"/>
  <c r="V87" i="74"/>
  <c r="V86" i="74"/>
  <c r="V78" i="74"/>
  <c r="V50" i="74"/>
  <c r="V46" i="74"/>
  <c r="V42" i="74"/>
  <c r="V102" i="74"/>
  <c r="V88" i="74"/>
  <c r="V80" i="74"/>
  <c r="V64" i="74"/>
  <c r="V60" i="74"/>
  <c r="V79" i="74"/>
  <c r="V89" i="74"/>
  <c r="J47" i="75"/>
  <c r="J101" i="75"/>
  <c r="H81" i="80"/>
  <c r="Z25" i="80"/>
  <c r="P28" i="83"/>
  <c r="X22" i="83"/>
  <c r="V60" i="75"/>
  <c r="V64" i="75"/>
  <c r="V80" i="75"/>
  <c r="V88" i="75"/>
  <c r="V104" i="75"/>
  <c r="V108" i="75"/>
  <c r="V120" i="75"/>
  <c r="N34" i="76"/>
  <c r="J38" i="76"/>
  <c r="J42" i="76"/>
  <c r="J58" i="76"/>
  <c r="V62" i="76"/>
  <c r="V74" i="76"/>
  <c r="V80" i="76"/>
  <c r="L40" i="77"/>
  <c r="N40" i="77" s="1"/>
  <c r="X58" i="77"/>
  <c r="Z58" i="77" s="1"/>
  <c r="N87" i="77"/>
  <c r="Z98" i="77"/>
  <c r="T78" i="79"/>
  <c r="N52" i="79"/>
  <c r="L72" i="79"/>
  <c r="D67" i="79"/>
  <c r="L67" i="79" s="1"/>
  <c r="N67" i="79" s="1"/>
  <c r="V38" i="75"/>
  <c r="V42" i="75"/>
  <c r="V46" i="75"/>
  <c r="V50" i="75"/>
  <c r="V78" i="75"/>
  <c r="V86" i="75"/>
  <c r="V102" i="75"/>
  <c r="V118" i="75"/>
  <c r="J88" i="76"/>
  <c r="J87" i="76"/>
  <c r="J79" i="76"/>
  <c r="J75" i="76"/>
  <c r="J82" i="76"/>
  <c r="J70" i="76"/>
  <c r="J77" i="76"/>
  <c r="J84" i="76"/>
  <c r="T31" i="76"/>
  <c r="V44" i="76"/>
  <c r="V48" i="76"/>
  <c r="V52" i="76"/>
  <c r="J56" i="76"/>
  <c r="V60" i="76"/>
  <c r="J68" i="76"/>
  <c r="X87" i="76"/>
  <c r="Z87" i="76" s="1"/>
  <c r="Z52" i="79"/>
  <c r="V59" i="75"/>
  <c r="V63" i="75"/>
  <c r="V95" i="75"/>
  <c r="V103" i="75"/>
  <c r="V107" i="75"/>
  <c r="V115" i="75"/>
  <c r="V117" i="75"/>
  <c r="V29" i="76"/>
  <c r="V31" i="76"/>
  <c r="V33" i="76"/>
  <c r="V61" i="76"/>
  <c r="J67" i="76"/>
  <c r="J76" i="76"/>
  <c r="V82" i="76"/>
  <c r="V89" i="76"/>
  <c r="D12" i="77"/>
  <c r="X50" i="79"/>
  <c r="F67" i="80"/>
  <c r="F66" i="80"/>
  <c r="F50" i="80"/>
  <c r="F49" i="80"/>
  <c r="F42" i="80"/>
  <c r="F38" i="80"/>
  <c r="F77" i="80"/>
  <c r="F76" i="80"/>
  <c r="F69" i="80"/>
  <c r="F24" i="80"/>
  <c r="F71" i="80"/>
  <c r="F70" i="80"/>
  <c r="F64" i="80"/>
  <c r="F31" i="80"/>
  <c r="F47" i="80"/>
  <c r="F43" i="80"/>
  <c r="F35" i="80"/>
  <c r="F83" i="80"/>
  <c r="F74" i="80"/>
  <c r="F52" i="80"/>
  <c r="F48" i="80"/>
  <c r="F25" i="80"/>
  <c r="F68" i="80"/>
  <c r="F61" i="80"/>
  <c r="F57" i="80"/>
  <c r="F41" i="80"/>
  <c r="F32" i="80"/>
  <c r="F29" i="80"/>
  <c r="F26" i="80"/>
  <c r="D22" i="80"/>
  <c r="F22" i="80" s="1"/>
  <c r="F65" i="80"/>
  <c r="F53" i="80"/>
  <c r="F44" i="80"/>
  <c r="F18" i="80"/>
  <c r="F17" i="80"/>
  <c r="F79" i="80"/>
  <c r="F75" i="80"/>
  <c r="F58" i="80"/>
  <c r="F54" i="80"/>
  <c r="F36" i="80"/>
  <c r="F72" i="80"/>
  <c r="F62" i="80"/>
  <c r="F39" i="80"/>
  <c r="F33" i="80"/>
  <c r="F30" i="80"/>
  <c r="F27" i="80"/>
  <c r="F45" i="80"/>
  <c r="F19" i="80"/>
  <c r="F59" i="80"/>
  <c r="L12" i="80"/>
  <c r="N12" i="80" s="1"/>
  <c r="F55" i="80"/>
  <c r="F37" i="80"/>
  <c r="F34" i="80"/>
  <c r="Z53" i="80"/>
  <c r="X53" i="80"/>
  <c r="F56" i="80"/>
  <c r="V58" i="76"/>
  <c r="V79" i="76"/>
  <c r="Z50" i="79"/>
  <c r="N17" i="81"/>
  <c r="V37" i="75"/>
  <c r="V41" i="75"/>
  <c r="V45" i="75"/>
  <c r="V49" i="75"/>
  <c r="V85" i="75"/>
  <c r="V93" i="75"/>
  <c r="V101" i="75"/>
  <c r="V47" i="76"/>
  <c r="V51" i="76"/>
  <c r="J65" i="76"/>
  <c r="L84" i="76"/>
  <c r="X40" i="77"/>
  <c r="Z40" i="77" s="1"/>
  <c r="Z70" i="77"/>
  <c r="Z101" i="77"/>
  <c r="F60" i="80"/>
  <c r="V82" i="75"/>
  <c r="V94" i="75"/>
  <c r="V106" i="75"/>
  <c r="L111" i="75"/>
  <c r="N111" i="75" s="1"/>
  <c r="V114" i="75"/>
  <c r="D117" i="75"/>
  <c r="L117" i="75" s="1"/>
  <c r="N117" i="75" s="1"/>
  <c r="V93" i="76"/>
  <c r="V77" i="76"/>
  <c r="V78" i="76"/>
  <c r="V87" i="76"/>
  <c r="V85" i="76"/>
  <c r="V73" i="76"/>
  <c r="V56" i="76"/>
  <c r="X59" i="76"/>
  <c r="Z59" i="76" s="1"/>
  <c r="L65" i="76"/>
  <c r="N65" i="76" s="1"/>
  <c r="V68" i="76"/>
  <c r="V69" i="76"/>
  <c r="N75" i="76"/>
  <c r="V76" i="76"/>
  <c r="J78" i="76"/>
  <c r="J81" i="76"/>
  <c r="F73" i="80"/>
  <c r="V83" i="75"/>
  <c r="V91" i="75"/>
  <c r="V99" i="75"/>
  <c r="V41" i="76"/>
  <c r="V57" i="76"/>
  <c r="T112" i="77"/>
  <c r="V36" i="75"/>
  <c r="V40" i="75"/>
  <c r="V44" i="75"/>
  <c r="V48" i="75"/>
  <c r="V52" i="75"/>
  <c r="V54" i="75"/>
  <c r="V56" i="75"/>
  <c r="V92" i="75"/>
  <c r="V100" i="75"/>
  <c r="V112" i="75"/>
  <c r="V124" i="75"/>
  <c r="H31" i="76"/>
  <c r="J44" i="76"/>
  <c r="V46" i="76"/>
  <c r="V50" i="76"/>
  <c r="V54" i="76"/>
  <c r="J62" i="76"/>
  <c r="V66" i="76"/>
  <c r="J74" i="76"/>
  <c r="X81" i="76"/>
  <c r="Z81" i="76" s="1"/>
  <c r="L64" i="79"/>
  <c r="F46" i="80"/>
  <c r="X17" i="85"/>
  <c r="P12" i="85"/>
  <c r="V89" i="75"/>
  <c r="V105" i="75"/>
  <c r="V113" i="75"/>
  <c r="L44" i="76"/>
  <c r="V55" i="76"/>
  <c r="V67" i="76"/>
  <c r="V71" i="76"/>
  <c r="V72" i="76"/>
  <c r="V84" i="76"/>
  <c r="V88" i="76"/>
  <c r="V70" i="75"/>
  <c r="V74" i="75"/>
  <c r="V90" i="75"/>
  <c r="V98" i="75"/>
  <c r="V36" i="76"/>
  <c r="V40" i="76"/>
  <c r="V64" i="76"/>
  <c r="Z75" i="76"/>
  <c r="V81" i="76"/>
  <c r="V83" i="76"/>
  <c r="N58" i="77"/>
  <c r="N98" i="77"/>
  <c r="N30" i="79"/>
  <c r="X69" i="79"/>
  <c r="P67" i="79"/>
  <c r="X67" i="79" s="1"/>
  <c r="Z67" i="79" s="1"/>
  <c r="P12" i="80"/>
  <c r="X13" i="80"/>
  <c r="T85" i="80"/>
  <c r="V85" i="80" s="1"/>
  <c r="F28" i="80"/>
  <c r="J28" i="83"/>
  <c r="H32" i="83"/>
  <c r="J42" i="77"/>
  <c r="J46" i="77"/>
  <c r="J50" i="77"/>
  <c r="J54" i="77"/>
  <c r="V70" i="77"/>
  <c r="V74" i="77"/>
  <c r="V78" i="77"/>
  <c r="J82" i="77"/>
  <c r="V86" i="77"/>
  <c r="J94" i="77"/>
  <c r="V98" i="77"/>
  <c r="J102" i="77"/>
  <c r="V108" i="77"/>
  <c r="P27" i="79"/>
  <c r="R31" i="79"/>
  <c r="J34" i="79"/>
  <c r="R35" i="79"/>
  <c r="J38" i="79"/>
  <c r="V50" i="79"/>
  <c r="V58" i="79"/>
  <c r="J64" i="79"/>
  <c r="R69" i="79"/>
  <c r="V70" i="79"/>
  <c r="J78" i="79"/>
  <c r="J81" i="79"/>
  <c r="J50" i="80"/>
  <c r="J42" i="80"/>
  <c r="J38" i="80"/>
  <c r="J73" i="80"/>
  <c r="J61" i="80"/>
  <c r="J51" i="80"/>
  <c r="J33" i="80"/>
  <c r="J29" i="80"/>
  <c r="J70" i="80"/>
  <c r="J64" i="80"/>
  <c r="J56" i="80"/>
  <c r="J44" i="80"/>
  <c r="J40" i="80"/>
  <c r="J36" i="80"/>
  <c r="J58" i="80"/>
  <c r="J20" i="80"/>
  <c r="J28" i="80"/>
  <c r="V35" i="80"/>
  <c r="J46" i="80"/>
  <c r="L47" i="80"/>
  <c r="V49" i="80"/>
  <c r="V52" i="80"/>
  <c r="V53" i="80"/>
  <c r="J60" i="80"/>
  <c r="J67" i="80"/>
  <c r="V83" i="80"/>
  <c r="V73" i="81"/>
  <c r="V69" i="81"/>
  <c r="V53" i="81"/>
  <c r="V85" i="81"/>
  <c r="V63" i="81"/>
  <c r="V55" i="81"/>
  <c r="V31" i="81"/>
  <c r="V27" i="81"/>
  <c r="V74" i="81"/>
  <c r="V70" i="81"/>
  <c r="V54" i="81"/>
  <c r="V46" i="81"/>
  <c r="V18" i="81"/>
  <c r="V65" i="81"/>
  <c r="V57" i="81"/>
  <c r="V45" i="81"/>
  <c r="V41" i="81"/>
  <c r="V37" i="81"/>
  <c r="V78" i="81"/>
  <c r="V77" i="81"/>
  <c r="V61" i="81"/>
  <c r="V49" i="81"/>
  <c r="V33" i="81"/>
  <c r="V29" i="81"/>
  <c r="V25" i="81"/>
  <c r="V81" i="81"/>
  <c r="V79" i="81"/>
  <c r="V67" i="81"/>
  <c r="V51" i="81"/>
  <c r="V43" i="81"/>
  <c r="V39" i="81"/>
  <c r="V35" i="81"/>
  <c r="T22" i="81"/>
  <c r="P12" i="81"/>
  <c r="L24" i="81"/>
  <c r="N24" i="81" s="1"/>
  <c r="V28" i="81"/>
  <c r="F36" i="81"/>
  <c r="F49" i="81"/>
  <c r="X65" i="81"/>
  <c r="V72" i="81"/>
  <c r="J76" i="81"/>
  <c r="Z22" i="83"/>
  <c r="J24" i="84"/>
  <c r="Z110" i="85"/>
  <c r="V43" i="77"/>
  <c r="V47" i="77"/>
  <c r="V51" i="77"/>
  <c r="J63" i="77"/>
  <c r="J67" i="77"/>
  <c r="J81" i="77"/>
  <c r="V87" i="77"/>
  <c r="J93" i="77"/>
  <c r="J101" i="77"/>
  <c r="V107" i="77"/>
  <c r="R27" i="79"/>
  <c r="R29" i="79"/>
  <c r="V31" i="79"/>
  <c r="V35" i="79"/>
  <c r="R40" i="79"/>
  <c r="J43" i="79"/>
  <c r="R44" i="79"/>
  <c r="J47" i="79"/>
  <c r="R48" i="79"/>
  <c r="J55" i="79"/>
  <c r="R56" i="79"/>
  <c r="R57" i="79"/>
  <c r="V59" i="79"/>
  <c r="J63" i="79"/>
  <c r="R68" i="79"/>
  <c r="V69" i="79"/>
  <c r="V17" i="80"/>
  <c r="N34" i="80"/>
  <c r="J37" i="80"/>
  <c r="V43" i="80"/>
  <c r="L45" i="80"/>
  <c r="J63" i="80"/>
  <c r="Z74" i="80"/>
  <c r="J76" i="80"/>
  <c r="X14" i="81"/>
  <c r="Z14" i="81" s="1"/>
  <c r="V20" i="81"/>
  <c r="F24" i="81"/>
  <c r="V34" i="81"/>
  <c r="J36" i="81"/>
  <c r="F45" i="81"/>
  <c r="J54" i="81"/>
  <c r="N57" i="81"/>
  <c r="V60" i="81"/>
  <c r="D12" i="83"/>
  <c r="L24" i="84"/>
  <c r="N24" i="84" s="1"/>
  <c r="F73" i="89"/>
  <c r="F61" i="89"/>
  <c r="F60" i="89"/>
  <c r="F21" i="89"/>
  <c r="F68" i="89"/>
  <c r="F52" i="89"/>
  <c r="F51" i="89"/>
  <c r="F44" i="89"/>
  <c r="F40" i="89"/>
  <c r="F79" i="89"/>
  <c r="F63" i="89"/>
  <c r="F62" i="89"/>
  <c r="F35" i="89"/>
  <c r="F31" i="89"/>
  <c r="F27" i="89"/>
  <c r="F26" i="89"/>
  <c r="F74" i="89"/>
  <c r="F54" i="89"/>
  <c r="F53" i="89"/>
  <c r="F81" i="89"/>
  <c r="F80" i="89"/>
  <c r="F64" i="89"/>
  <c r="F32" i="89"/>
  <c r="F28" i="89"/>
  <c r="L12" i="89"/>
  <c r="N12" i="89" s="1"/>
  <c r="F83" i="89"/>
  <c r="F82" i="89"/>
  <c r="F75" i="89"/>
  <c r="F71" i="89"/>
  <c r="F70" i="89"/>
  <c r="F55" i="89"/>
  <c r="F19" i="89"/>
  <c r="F18" i="89"/>
  <c r="F65" i="89"/>
  <c r="F57" i="89"/>
  <c r="F56" i="89"/>
  <c r="F33" i="89"/>
  <c r="F29" i="89"/>
  <c r="F89" i="89"/>
  <c r="F67" i="89"/>
  <c r="F66" i="89"/>
  <c r="F59" i="89"/>
  <c r="F58" i="89"/>
  <c r="F43" i="89"/>
  <c r="F39" i="89"/>
  <c r="F85" i="89"/>
  <c r="D23" i="89"/>
  <c r="F49" i="89"/>
  <c r="F36" i="89"/>
  <c r="F20" i="89"/>
  <c r="F78" i="89"/>
  <c r="F72" i="89"/>
  <c r="F47" i="89"/>
  <c r="F34" i="89"/>
  <c r="F76" i="89"/>
  <c r="F25" i="89"/>
  <c r="F30" i="89"/>
  <c r="F50" i="89"/>
  <c r="F45" i="89"/>
  <c r="F41" i="89"/>
  <c r="F37" i="89"/>
  <c r="F48" i="89"/>
  <c r="F46" i="89"/>
  <c r="F42" i="89"/>
  <c r="F38" i="89"/>
  <c r="F69" i="89"/>
  <c r="F77" i="89"/>
  <c r="J48" i="101"/>
  <c r="V60" i="77"/>
  <c r="V64" i="77"/>
  <c r="V68" i="77"/>
  <c r="J72" i="77"/>
  <c r="J76" i="77"/>
  <c r="J80" i="77"/>
  <c r="V84" i="77"/>
  <c r="J92" i="77"/>
  <c r="V96" i="77"/>
  <c r="J100" i="77"/>
  <c r="V104" i="77"/>
  <c r="V106" i="77"/>
  <c r="J114" i="77"/>
  <c r="J20" i="79"/>
  <c r="R21" i="79"/>
  <c r="J24" i="79"/>
  <c r="R25" i="79"/>
  <c r="R30" i="79"/>
  <c r="V44" i="79"/>
  <c r="V48" i="79"/>
  <c r="J54" i="79"/>
  <c r="V56" i="79"/>
  <c r="R65" i="79"/>
  <c r="V68" i="79"/>
  <c r="J76" i="79"/>
  <c r="J34" i="80"/>
  <c r="X51" i="80"/>
  <c r="Z51" i="80" s="1"/>
  <c r="J55" i="80"/>
  <c r="J69" i="80"/>
  <c r="J81" i="80"/>
  <c r="F19" i="81"/>
  <c r="F27" i="81"/>
  <c r="V32" i="81"/>
  <c r="J38" i="81"/>
  <c r="V50" i="81"/>
  <c r="J64" i="81"/>
  <c r="N69" i="81"/>
  <c r="J78" i="81"/>
  <c r="J85" i="81"/>
  <c r="L24" i="83"/>
  <c r="T28" i="83"/>
  <c r="L58" i="84"/>
  <c r="N58" i="84" s="1"/>
  <c r="J40" i="85"/>
  <c r="X55" i="85"/>
  <c r="N66" i="80"/>
  <c r="F66" i="81"/>
  <c r="F65" i="81"/>
  <c r="F58" i="81"/>
  <c r="F57" i="81"/>
  <c r="F42" i="81"/>
  <c r="F38" i="81"/>
  <c r="F72" i="81"/>
  <c r="F60" i="81"/>
  <c r="F59" i="81"/>
  <c r="F20" i="81"/>
  <c r="F79" i="81"/>
  <c r="F78" i="81"/>
  <c r="F67" i="81"/>
  <c r="F51" i="81"/>
  <c r="F50" i="81"/>
  <c r="F43" i="81"/>
  <c r="F39" i="81"/>
  <c r="F62" i="81"/>
  <c r="F61" i="81"/>
  <c r="F34" i="81"/>
  <c r="F30" i="81"/>
  <c r="F85" i="81"/>
  <c r="F74" i="81"/>
  <c r="F70" i="81"/>
  <c r="F69" i="81"/>
  <c r="F54" i="81"/>
  <c r="F18" i="81"/>
  <c r="F17" i="81"/>
  <c r="F64" i="81"/>
  <c r="F56" i="81"/>
  <c r="F55" i="81"/>
  <c r="F32" i="81"/>
  <c r="F28" i="81"/>
  <c r="Z17" i="81"/>
  <c r="F29" i="81"/>
  <c r="F31" i="81"/>
  <c r="F40" i="81"/>
  <c r="F48" i="81"/>
  <c r="N59" i="81"/>
  <c r="Z76" i="81"/>
  <c r="X76" i="81"/>
  <c r="N24" i="83"/>
  <c r="J24" i="83"/>
  <c r="Z55" i="85"/>
  <c r="J76" i="85"/>
  <c r="J40" i="77"/>
  <c r="V42" i="77"/>
  <c r="V46" i="77"/>
  <c r="V50" i="77"/>
  <c r="V54" i="77"/>
  <c r="V56" i="77"/>
  <c r="V58" i="77"/>
  <c r="J62" i="77"/>
  <c r="J66" i="77"/>
  <c r="V82" i="77"/>
  <c r="J90" i="77"/>
  <c r="V94" i="77"/>
  <c r="V102" i="77"/>
  <c r="V30" i="79"/>
  <c r="V34" i="79"/>
  <c r="V38" i="79"/>
  <c r="J42" i="79"/>
  <c r="R43" i="79"/>
  <c r="J46" i="79"/>
  <c r="R47" i="79"/>
  <c r="J52" i="79"/>
  <c r="R55" i="79"/>
  <c r="J62" i="79"/>
  <c r="R63" i="79"/>
  <c r="R64" i="79"/>
  <c r="J74" i="79"/>
  <c r="V70" i="80"/>
  <c r="V62" i="80"/>
  <c r="V54" i="80"/>
  <c r="V30" i="80"/>
  <c r="V81" i="80"/>
  <c r="V79" i="80"/>
  <c r="V77" i="80"/>
  <c r="V69" i="80"/>
  <c r="V57" i="80"/>
  <c r="V45" i="80"/>
  <c r="V72" i="80"/>
  <c r="V60" i="80"/>
  <c r="V48" i="80"/>
  <c r="V32" i="80"/>
  <c r="V28" i="80"/>
  <c r="V74" i="80"/>
  <c r="V20" i="80"/>
  <c r="V22" i="80"/>
  <c r="X25" i="80"/>
  <c r="J27" i="80"/>
  <c r="J30" i="80"/>
  <c r="V37" i="80"/>
  <c r="J39" i="80"/>
  <c r="J45" i="80"/>
  <c r="V46" i="80"/>
  <c r="J62" i="80"/>
  <c r="J66" i="80"/>
  <c r="J72" i="80"/>
  <c r="L13" i="81"/>
  <c r="V17" i="81"/>
  <c r="D22" i="81"/>
  <c r="F22" i="81" s="1"/>
  <c r="X25" i="81"/>
  <c r="Z25" i="81" s="1"/>
  <c r="J31" i="81"/>
  <c r="J40" i="81"/>
  <c r="J56" i="81"/>
  <c r="L59" i="81"/>
  <c r="J66" i="81"/>
  <c r="F73" i="81"/>
  <c r="F75" i="81"/>
  <c r="V76" i="81"/>
  <c r="F81" i="81"/>
  <c r="N50" i="84"/>
  <c r="N52" i="84"/>
  <c r="N62" i="84"/>
  <c r="V59" i="77"/>
  <c r="V63" i="77"/>
  <c r="V67" i="77"/>
  <c r="J71" i="77"/>
  <c r="J75" i="77"/>
  <c r="J79" i="77"/>
  <c r="V83" i="77"/>
  <c r="J89" i="77"/>
  <c r="V95" i="77"/>
  <c r="J99" i="77"/>
  <c r="V103" i="77"/>
  <c r="D106" i="77"/>
  <c r="L106" i="77" s="1"/>
  <c r="N106" i="77" s="1"/>
  <c r="J110" i="77"/>
  <c r="R20" i="79"/>
  <c r="J23" i="79"/>
  <c r="R24" i="79"/>
  <c r="V39" i="79"/>
  <c r="V43" i="79"/>
  <c r="V47" i="79"/>
  <c r="J51" i="79"/>
  <c r="V55" i="79"/>
  <c r="J61" i="79"/>
  <c r="V63" i="79"/>
  <c r="J72" i="79"/>
  <c r="R76" i="79"/>
  <c r="Z34" i="80"/>
  <c r="V47" i="80"/>
  <c r="V51" i="80"/>
  <c r="J54" i="80"/>
  <c r="L66" i="80"/>
  <c r="J75" i="80"/>
  <c r="Z76" i="80"/>
  <c r="X17" i="81"/>
  <c r="F33" i="81"/>
  <c r="L35" i="81"/>
  <c r="V38" i="81"/>
  <c r="F44" i="81"/>
  <c r="J48" i="81"/>
  <c r="V52" i="81"/>
  <c r="Z57" i="81"/>
  <c r="F68" i="81"/>
  <c r="V71" i="81"/>
  <c r="D12" i="84"/>
  <c r="Z46" i="84"/>
  <c r="L52" i="84"/>
  <c r="L86" i="85"/>
  <c r="N86" i="85" s="1"/>
  <c r="J88" i="77"/>
  <c r="V92" i="77"/>
  <c r="J98" i="77"/>
  <c r="V100" i="77"/>
  <c r="J109" i="77"/>
  <c r="V114" i="77"/>
  <c r="J32" i="79"/>
  <c r="R33" i="79"/>
  <c r="J36" i="79"/>
  <c r="R37" i="79"/>
  <c r="J50" i="79"/>
  <c r="R53" i="79"/>
  <c r="R54" i="79"/>
  <c r="J60" i="79"/>
  <c r="J71" i="79"/>
  <c r="V76" i="79"/>
  <c r="V78" i="79"/>
  <c r="V76" i="80"/>
  <c r="J79" i="80"/>
  <c r="H22" i="81"/>
  <c r="F35" i="81"/>
  <c r="J42" i="81"/>
  <c r="J44" i="81"/>
  <c r="F47" i="81"/>
  <c r="Z59" i="81"/>
  <c r="J68" i="81"/>
  <c r="F77" i="81"/>
  <c r="R18" i="83"/>
  <c r="N91" i="84"/>
  <c r="J121" i="85"/>
  <c r="J109" i="85"/>
  <c r="J103" i="85"/>
  <c r="J93" i="85"/>
  <c r="J81" i="85"/>
  <c r="J65" i="85"/>
  <c r="J61" i="85"/>
  <c r="J57" i="85"/>
  <c r="J55" i="85"/>
  <c r="J122" i="85"/>
  <c r="J123" i="85"/>
  <c r="J115" i="85"/>
  <c r="J111" i="85"/>
  <c r="J95" i="85"/>
  <c r="J83" i="85"/>
  <c r="J124" i="85"/>
  <c r="J96" i="85"/>
  <c r="J84" i="85"/>
  <c r="J62" i="85"/>
  <c r="J58" i="85"/>
  <c r="J125" i="85"/>
  <c r="J105" i="85"/>
  <c r="J97" i="85"/>
  <c r="J85" i="85"/>
  <c r="J49" i="85"/>
  <c r="J127" i="85"/>
  <c r="J117" i="85"/>
  <c r="J118" i="85"/>
  <c r="J119" i="85"/>
  <c r="J120" i="85"/>
  <c r="J114" i="85"/>
  <c r="J102" i="85"/>
  <c r="J92" i="85"/>
  <c r="J74" i="85"/>
  <c r="J70" i="85"/>
  <c r="J56" i="85"/>
  <c r="J108" i="85"/>
  <c r="J90" i="85"/>
  <c r="J87" i="85"/>
  <c r="J77" i="85"/>
  <c r="J50" i="85"/>
  <c r="J37" i="85"/>
  <c r="J100" i="85"/>
  <c r="J94" i="85"/>
  <c r="J47" i="85"/>
  <c r="J44" i="85"/>
  <c r="J71" i="85"/>
  <c r="J63" i="85"/>
  <c r="J41" i="85"/>
  <c r="J113" i="85"/>
  <c r="J66" i="85"/>
  <c r="J38" i="85"/>
  <c r="J131" i="85"/>
  <c r="J106" i="85"/>
  <c r="J98" i="85"/>
  <c r="J91" i="85"/>
  <c r="J78" i="85"/>
  <c r="J69" i="85"/>
  <c r="J48" i="85"/>
  <c r="J45" i="85"/>
  <c r="J101" i="85"/>
  <c r="J88" i="85"/>
  <c r="J82" i="85"/>
  <c r="J59" i="85"/>
  <c r="J42" i="85"/>
  <c r="J72" i="85"/>
  <c r="J51" i="85"/>
  <c r="J35" i="85"/>
  <c r="J107" i="85"/>
  <c r="J104" i="85"/>
  <c r="J79" i="85"/>
  <c r="J75" i="85"/>
  <c r="J67" i="85"/>
  <c r="J99" i="85"/>
  <c r="J86" i="85"/>
  <c r="J64" i="85"/>
  <c r="J46" i="85"/>
  <c r="J39" i="85"/>
  <c r="J36" i="85"/>
  <c r="J116" i="85"/>
  <c r="H53" i="85"/>
  <c r="J43" i="85"/>
  <c r="H100" i="88"/>
  <c r="J100" i="88" s="1"/>
  <c r="J22" i="88"/>
  <c r="V45" i="77"/>
  <c r="V49" i="77"/>
  <c r="V53" i="77"/>
  <c r="J61" i="77"/>
  <c r="J65" i="77"/>
  <c r="J69" i="77"/>
  <c r="V81" i="77"/>
  <c r="J87" i="77"/>
  <c r="V93" i="77"/>
  <c r="J97" i="77"/>
  <c r="V101" i="77"/>
  <c r="J108" i="77"/>
  <c r="R19" i="79"/>
  <c r="V33" i="79"/>
  <c r="V37" i="79"/>
  <c r="J41" i="79"/>
  <c r="R42" i="79"/>
  <c r="J45" i="79"/>
  <c r="R46" i="79"/>
  <c r="J49" i="79"/>
  <c r="V53" i="79"/>
  <c r="J59" i="79"/>
  <c r="R62" i="79"/>
  <c r="J70" i="79"/>
  <c r="J17" i="80"/>
  <c r="V19" i="80"/>
  <c r="V33" i="80"/>
  <c r="V39" i="80"/>
  <c r="V50" i="80"/>
  <c r="J53" i="80"/>
  <c r="V55" i="80"/>
  <c r="J65" i="80"/>
  <c r="J71" i="80"/>
  <c r="L74" i="80"/>
  <c r="N74" i="80" s="1"/>
  <c r="V75" i="80"/>
  <c r="J18" i="81"/>
  <c r="V24" i="81"/>
  <c r="F26" i="81"/>
  <c r="N35" i="81"/>
  <c r="F37" i="81"/>
  <c r="V40" i="81"/>
  <c r="J58" i="81"/>
  <c r="V59" i="81"/>
  <c r="F63" i="81"/>
  <c r="V66" i="81"/>
  <c r="X69" i="81"/>
  <c r="Z69" i="81" s="1"/>
  <c r="P12" i="84"/>
  <c r="Z52" i="84"/>
  <c r="X60" i="84"/>
  <c r="Z60" i="84" s="1"/>
  <c r="J112" i="85"/>
  <c r="X117" i="85"/>
  <c r="Z117" i="85" s="1"/>
  <c r="F30" i="86"/>
  <c r="F17" i="86"/>
  <c r="F16" i="86"/>
  <c r="F34" i="86"/>
  <c r="F18" i="86"/>
  <c r="F24" i="86"/>
  <c r="F23" i="86"/>
  <c r="F22" i="86"/>
  <c r="F26" i="86"/>
  <c r="F25" i="86"/>
  <c r="D20" i="86"/>
  <c r="F28" i="86"/>
  <c r="L12" i="86"/>
  <c r="N12" i="86" s="1"/>
  <c r="F27" i="86"/>
  <c r="V62" i="77"/>
  <c r="V66" i="77"/>
  <c r="J74" i="77"/>
  <c r="J78" i="77"/>
  <c r="J86" i="77"/>
  <c r="V90" i="77"/>
  <c r="J106" i="77"/>
  <c r="J107" i="77"/>
  <c r="N12" i="79"/>
  <c r="J22" i="79"/>
  <c r="R23" i="79"/>
  <c r="H27" i="79"/>
  <c r="V42" i="79"/>
  <c r="V46" i="79"/>
  <c r="R51" i="79"/>
  <c r="R52" i="79"/>
  <c r="V54" i="79"/>
  <c r="J58" i="79"/>
  <c r="V62" i="79"/>
  <c r="J69" i="79"/>
  <c r="J26" i="80"/>
  <c r="V27" i="80"/>
  <c r="J32" i="80"/>
  <c r="V36" i="80"/>
  <c r="J41" i="80"/>
  <c r="L53" i="80"/>
  <c r="V58" i="80"/>
  <c r="V59" i="80"/>
  <c r="V66" i="80"/>
  <c r="J68" i="80"/>
  <c r="X79" i="80"/>
  <c r="J28" i="81"/>
  <c r="F53" i="81"/>
  <c r="V56" i="81"/>
  <c r="N26" i="83"/>
  <c r="J26" i="83"/>
  <c r="H96" i="84"/>
  <c r="J22" i="84"/>
  <c r="Z85" i="84"/>
  <c r="Z91" i="84"/>
  <c r="V84" i="85"/>
  <c r="J68" i="85"/>
  <c r="J89" i="85"/>
  <c r="J85" i="77"/>
  <c r="V91" i="77"/>
  <c r="V99" i="77"/>
  <c r="J27" i="79"/>
  <c r="J29" i="79"/>
  <c r="J31" i="79"/>
  <c r="R32" i="79"/>
  <c r="J35" i="79"/>
  <c r="R36" i="79"/>
  <c r="J57" i="79"/>
  <c r="R60" i="79"/>
  <c r="R61" i="79"/>
  <c r="J67" i="79"/>
  <c r="J68" i="79"/>
  <c r="R72" i="79"/>
  <c r="N17" i="80"/>
  <c r="N25" i="80"/>
  <c r="J77" i="80"/>
  <c r="J83" i="80"/>
  <c r="J77" i="81"/>
  <c r="J59" i="81"/>
  <c r="J49" i="81"/>
  <c r="J33" i="81"/>
  <c r="J29" i="81"/>
  <c r="J79" i="81"/>
  <c r="J67" i="81"/>
  <c r="J61" i="81"/>
  <c r="J51" i="81"/>
  <c r="J43" i="81"/>
  <c r="J39" i="81"/>
  <c r="J25" i="81"/>
  <c r="J62" i="81"/>
  <c r="J52" i="81"/>
  <c r="J34" i="81"/>
  <c r="J30" i="81"/>
  <c r="J26" i="81"/>
  <c r="J24" i="81"/>
  <c r="J22" i="81"/>
  <c r="J81" i="81"/>
  <c r="J73" i="81"/>
  <c r="J53" i="81"/>
  <c r="J35" i="81"/>
  <c r="J74" i="81"/>
  <c r="J70" i="81"/>
  <c r="J55" i="81"/>
  <c r="J45" i="81"/>
  <c r="J41" i="81"/>
  <c r="J37" i="81"/>
  <c r="J75" i="81"/>
  <c r="J71" i="81"/>
  <c r="J65" i="81"/>
  <c r="J57" i="81"/>
  <c r="J47" i="81"/>
  <c r="J19" i="81"/>
  <c r="F46" i="81"/>
  <c r="Z48" i="81"/>
  <c r="X48" i="81"/>
  <c r="J50" i="81"/>
  <c r="J72" i="81"/>
  <c r="R28" i="83"/>
  <c r="R26" i="83"/>
  <c r="R24" i="83"/>
  <c r="R22" i="83"/>
  <c r="R30" i="83"/>
  <c r="R17" i="83"/>
  <c r="R19" i="83"/>
  <c r="J73" i="85"/>
  <c r="V40" i="77"/>
  <c r="V44" i="77"/>
  <c r="V48" i="77"/>
  <c r="V52" i="77"/>
  <c r="J56" i="77"/>
  <c r="J58" i="77"/>
  <c r="J60" i="77"/>
  <c r="J64" i="77"/>
  <c r="J68" i="77"/>
  <c r="J84" i="77"/>
  <c r="V88" i="77"/>
  <c r="J96" i="77"/>
  <c r="V110" i="77"/>
  <c r="J30" i="79"/>
  <c r="V32" i="79"/>
  <c r="V36" i="79"/>
  <c r="J40" i="79"/>
  <c r="R41" i="79"/>
  <c r="J44" i="79"/>
  <c r="R45" i="79"/>
  <c r="J48" i="79"/>
  <c r="R49" i="79"/>
  <c r="R50" i="79"/>
  <c r="V52" i="79"/>
  <c r="V60" i="79"/>
  <c r="V72" i="79"/>
  <c r="V18" i="80"/>
  <c r="J22" i="80"/>
  <c r="J25" i="80"/>
  <c r="J35" i="80"/>
  <c r="J43" i="80"/>
  <c r="V65" i="80"/>
  <c r="J74" i="80"/>
  <c r="L12" i="81"/>
  <c r="N12" i="81" s="1"/>
  <c r="J20" i="81"/>
  <c r="V22" i="81"/>
  <c r="V26" i="81"/>
  <c r="J32" i="81"/>
  <c r="X35" i="81"/>
  <c r="Z35" i="81" s="1"/>
  <c r="V47" i="81"/>
  <c r="V48" i="81"/>
  <c r="V58" i="81"/>
  <c r="J60" i="81"/>
  <c r="F76" i="81"/>
  <c r="J22" i="83"/>
  <c r="T96" i="84"/>
  <c r="V96" i="84" s="1"/>
  <c r="D12" i="85"/>
  <c r="X84" i="85"/>
  <c r="Z84" i="85" s="1"/>
  <c r="J110" i="85"/>
  <c r="V20" i="83"/>
  <c r="V22" i="83"/>
  <c r="V24" i="83"/>
  <c r="V26" i="83"/>
  <c r="V28" i="83"/>
  <c r="V18" i="84"/>
  <c r="J34" i="84"/>
  <c r="V46" i="84"/>
  <c r="J52" i="84"/>
  <c r="V54" i="84"/>
  <c r="V60" i="84"/>
  <c r="J75" i="84"/>
  <c r="V41" i="85"/>
  <c r="Z56" i="85"/>
  <c r="Z103" i="85"/>
  <c r="H94" i="93"/>
  <c r="J91" i="93"/>
  <c r="Z12" i="83"/>
  <c r="J18" i="83"/>
  <c r="J32" i="83"/>
  <c r="J88" i="84"/>
  <c r="J76" i="84"/>
  <c r="J70" i="84"/>
  <c r="J62" i="84"/>
  <c r="J98" i="84"/>
  <c r="J84" i="84"/>
  <c r="J80" i="84"/>
  <c r="J68" i="84"/>
  <c r="J58" i="84"/>
  <c r="J20" i="84"/>
  <c r="V36" i="84"/>
  <c r="V40" i="84"/>
  <c r="V44" i="84"/>
  <c r="J50" i="84"/>
  <c r="J67" i="84"/>
  <c r="V68" i="84"/>
  <c r="J74" i="84"/>
  <c r="J79" i="84"/>
  <c r="V80" i="84"/>
  <c r="J82" i="84"/>
  <c r="V83" i="84"/>
  <c r="L85" i="84"/>
  <c r="N85" i="84" s="1"/>
  <c r="V89" i="84"/>
  <c r="V127" i="85"/>
  <c r="V125" i="85"/>
  <c r="V117" i="85"/>
  <c r="V105" i="85"/>
  <c r="V97" i="85"/>
  <c r="V85" i="85"/>
  <c r="V77" i="85"/>
  <c r="V49" i="85"/>
  <c r="V45" i="85"/>
  <c r="V107" i="85"/>
  <c r="V99" i="85"/>
  <c r="V87" i="85"/>
  <c r="V79" i="85"/>
  <c r="V118" i="85"/>
  <c r="V106" i="85"/>
  <c r="V90" i="85"/>
  <c r="V78" i="85"/>
  <c r="V50" i="85"/>
  <c r="V46" i="85"/>
  <c r="V42" i="85"/>
  <c r="V38" i="85"/>
  <c r="V131" i="85"/>
  <c r="V113" i="85"/>
  <c r="V101" i="85"/>
  <c r="V89" i="85"/>
  <c r="V73" i="85"/>
  <c r="V69" i="85"/>
  <c r="V120" i="85"/>
  <c r="V119" i="85"/>
  <c r="V103" i="85"/>
  <c r="V122" i="85"/>
  <c r="V114" i="85"/>
  <c r="V123" i="85"/>
  <c r="V98" i="85"/>
  <c r="V86" i="85"/>
  <c r="V62" i="85"/>
  <c r="V58" i="85"/>
  <c r="V37" i="85"/>
  <c r="V55" i="85"/>
  <c r="V68" i="85"/>
  <c r="V83" i="85"/>
  <c r="V100" i="85"/>
  <c r="N107" i="85"/>
  <c r="X110" i="85"/>
  <c r="Z124" i="85"/>
  <c r="Z16" i="86"/>
  <c r="Z23" i="86"/>
  <c r="X25" i="88"/>
  <c r="Z25" i="88" s="1"/>
  <c r="N58" i="88"/>
  <c r="V73" i="88"/>
  <c r="D12" i="96"/>
  <c r="L13" i="96"/>
  <c r="V53" i="84"/>
  <c r="V63" i="84"/>
  <c r="V93" i="85"/>
  <c r="L98" i="85"/>
  <c r="V102" i="85"/>
  <c r="V112" i="85"/>
  <c r="V116" i="85"/>
  <c r="X122" i="85"/>
  <c r="V124" i="85"/>
  <c r="N89" i="92"/>
  <c r="L89" i="92"/>
  <c r="T129" i="85"/>
  <c r="F77" i="88"/>
  <c r="F76" i="88"/>
  <c r="F69" i="88"/>
  <c r="F61" i="88"/>
  <c r="F60" i="88"/>
  <c r="F53" i="88"/>
  <c r="F52" i="88"/>
  <c r="F24" i="88"/>
  <c r="F87" i="88"/>
  <c r="F83" i="88"/>
  <c r="F71" i="88"/>
  <c r="F70" i="88"/>
  <c r="F63" i="88"/>
  <c r="F62" i="88"/>
  <c r="F31" i="88"/>
  <c r="F27" i="88"/>
  <c r="F102" i="88"/>
  <c r="F88" i="88"/>
  <c r="F84" i="88"/>
  <c r="F80" i="88"/>
  <c r="F79" i="88"/>
  <c r="F32" i="88"/>
  <c r="F28" i="88"/>
  <c r="F67" i="88"/>
  <c r="F66" i="88"/>
  <c r="F55" i="88"/>
  <c r="F47" i="88"/>
  <c r="F46" i="88"/>
  <c r="F19" i="88"/>
  <c r="F85" i="88"/>
  <c r="F81" i="88"/>
  <c r="F57" i="88"/>
  <c r="F56" i="88"/>
  <c r="F49" i="88"/>
  <c r="F48" i="88"/>
  <c r="F33" i="88"/>
  <c r="F29" i="88"/>
  <c r="F75" i="88"/>
  <c r="F59" i="88"/>
  <c r="F58" i="88"/>
  <c r="F51" i="88"/>
  <c r="F50" i="88"/>
  <c r="F43" i="88"/>
  <c r="F39" i="88"/>
  <c r="F78" i="88"/>
  <c r="F73" i="88"/>
  <c r="F34" i="88"/>
  <c r="F94" i="88"/>
  <c r="F25" i="88"/>
  <c r="F98" i="88"/>
  <c r="F91" i="88"/>
  <c r="F64" i="88"/>
  <c r="F40" i="88"/>
  <c r="F30" i="88"/>
  <c r="F38" i="88"/>
  <c r="F74" i="88"/>
  <c r="F45" i="88"/>
  <c r="F35" i="88"/>
  <c r="F26" i="88"/>
  <c r="F95" i="88"/>
  <c r="F92" i="88"/>
  <c r="F86" i="88"/>
  <c r="F82" i="88"/>
  <c r="F36" i="88"/>
  <c r="F20" i="88"/>
  <c r="F96" i="88"/>
  <c r="F89" i="88"/>
  <c r="F72" i="88"/>
  <c r="F65" i="88"/>
  <c r="F41" i="88"/>
  <c r="F93" i="88"/>
  <c r="D22" i="88"/>
  <c r="F22" i="88" s="1"/>
  <c r="F18" i="88"/>
  <c r="L12" i="88"/>
  <c r="N12" i="88" s="1"/>
  <c r="F54" i="88"/>
  <c r="F44" i="88"/>
  <c r="F42" i="88"/>
  <c r="F37" i="88"/>
  <c r="F17" i="88"/>
  <c r="Z81" i="92"/>
  <c r="X81" i="92"/>
  <c r="V58" i="84"/>
  <c r="J66" i="84"/>
  <c r="V71" i="84"/>
  <c r="V74" i="84"/>
  <c r="J85" i="84"/>
  <c r="J91" i="84"/>
  <c r="X94" i="84"/>
  <c r="V53" i="85"/>
  <c r="N98" i="85"/>
  <c r="V110" i="85"/>
  <c r="Z120" i="85"/>
  <c r="Z122" i="85"/>
  <c r="P22" i="87"/>
  <c r="L14" i="88"/>
  <c r="Z56" i="88"/>
  <c r="Z36" i="89"/>
  <c r="V94" i="84"/>
  <c r="V92" i="84"/>
  <c r="V72" i="84"/>
  <c r="V88" i="84"/>
  <c r="V76" i="84"/>
  <c r="V64" i="84"/>
  <c r="V20" i="84"/>
  <c r="V22" i="84"/>
  <c r="V24" i="84"/>
  <c r="X35" i="84"/>
  <c r="Z35" i="84" s="1"/>
  <c r="J46" i="84"/>
  <c r="V52" i="84"/>
  <c r="X58" i="84"/>
  <c r="Z58" i="84" s="1"/>
  <c r="V62" i="84"/>
  <c r="L66" i="84"/>
  <c r="N66" i="84" s="1"/>
  <c r="V67" i="84"/>
  <c r="V75" i="84"/>
  <c r="V79" i="84"/>
  <c r="V82" i="84"/>
  <c r="V86" i="84"/>
  <c r="L91" i="84"/>
  <c r="N66" i="85"/>
  <c r="L88" i="85"/>
  <c r="N88" i="85" s="1"/>
  <c r="V95" i="85"/>
  <c r="V104" i="85"/>
  <c r="V85" i="88"/>
  <c r="V91" i="88"/>
  <c r="V25" i="84"/>
  <c r="V29" i="84"/>
  <c r="V33" i="84"/>
  <c r="J37" i="84"/>
  <c r="J41" i="84"/>
  <c r="J45" i="84"/>
  <c r="V49" i="84"/>
  <c r="J60" i="84"/>
  <c r="V61" i="84"/>
  <c r="J65" i="84"/>
  <c r="X75" i="84"/>
  <c r="Z75" i="84" s="1"/>
  <c r="V87" i="84"/>
  <c r="J90" i="84"/>
  <c r="L13" i="85"/>
  <c r="N13" i="85" s="1"/>
  <c r="L55" i="85"/>
  <c r="N55" i="85" s="1"/>
  <c r="V57" i="85"/>
  <c r="V59" i="85"/>
  <c r="D22" i="87"/>
  <c r="L16" i="87"/>
  <c r="X49" i="89"/>
  <c r="X82" i="89"/>
  <c r="Z82" i="89" s="1"/>
  <c r="V30" i="83"/>
  <c r="V38" i="84"/>
  <c r="V42" i="84"/>
  <c r="V50" i="84"/>
  <c r="J54" i="84"/>
  <c r="V70" i="84"/>
  <c r="J77" i="84"/>
  <c r="X91" i="84"/>
  <c r="V51" i="85"/>
  <c r="V72" i="85"/>
  <c r="Z92" i="85"/>
  <c r="N94" i="85"/>
  <c r="V109" i="85"/>
  <c r="V115" i="85"/>
  <c r="N117" i="85"/>
  <c r="H22" i="87"/>
  <c r="N16" i="87"/>
  <c r="R73" i="88"/>
  <c r="R66" i="88"/>
  <c r="R65" i="88"/>
  <c r="R46" i="88"/>
  <c r="R45" i="88"/>
  <c r="R41" i="88"/>
  <c r="R37" i="88"/>
  <c r="R67" i="88"/>
  <c r="R56" i="88"/>
  <c r="R55" i="88"/>
  <c r="R48" i="88"/>
  <c r="R47" i="88"/>
  <c r="R93" i="88"/>
  <c r="R92" i="88"/>
  <c r="R68" i="88"/>
  <c r="R25" i="88"/>
  <c r="R76" i="88"/>
  <c r="R75" i="88"/>
  <c r="R60" i="88"/>
  <c r="R59" i="88"/>
  <c r="R52" i="88"/>
  <c r="R51" i="88"/>
  <c r="R43" i="88"/>
  <c r="R39" i="88"/>
  <c r="R24" i="88"/>
  <c r="R22" i="88"/>
  <c r="R77" i="88"/>
  <c r="R70" i="88"/>
  <c r="R69" i="88"/>
  <c r="R62" i="88"/>
  <c r="R61" i="88"/>
  <c r="R53" i="88"/>
  <c r="R98" i="88"/>
  <c r="R87" i="88"/>
  <c r="R83" i="88"/>
  <c r="R72" i="88"/>
  <c r="R71" i="88"/>
  <c r="R64" i="88"/>
  <c r="R63" i="88"/>
  <c r="R31" i="88"/>
  <c r="R27" i="88"/>
  <c r="R102" i="88"/>
  <c r="R95" i="88"/>
  <c r="R88" i="88"/>
  <c r="R79" i="88"/>
  <c r="R38" i="88"/>
  <c r="R30" i="88"/>
  <c r="R74" i="88"/>
  <c r="R28" i="88"/>
  <c r="R89" i="88"/>
  <c r="R86" i="88"/>
  <c r="R57" i="88"/>
  <c r="R26" i="88"/>
  <c r="R20" i="88"/>
  <c r="R84" i="88"/>
  <c r="R36" i="88"/>
  <c r="R17" i="88"/>
  <c r="R82" i="88"/>
  <c r="R96" i="88"/>
  <c r="R80" i="88"/>
  <c r="R58" i="88"/>
  <c r="R33" i="88"/>
  <c r="P22" i="88"/>
  <c r="R90" i="88"/>
  <c r="R29" i="88"/>
  <c r="R18" i="88"/>
  <c r="X12" i="88"/>
  <c r="Z12" i="88" s="1"/>
  <c r="R94" i="88"/>
  <c r="R91" i="88"/>
  <c r="R85" i="88"/>
  <c r="R81" i="88"/>
  <c r="R50" i="88"/>
  <c r="R40" i="88"/>
  <c r="R35" i="88"/>
  <c r="R32" i="88"/>
  <c r="R19" i="88"/>
  <c r="Z17" i="88"/>
  <c r="R44" i="88"/>
  <c r="N70" i="88"/>
  <c r="Z49" i="89"/>
  <c r="V49" i="89"/>
  <c r="N64" i="84"/>
  <c r="Z66" i="84"/>
  <c r="V98" i="84"/>
  <c r="N77" i="85"/>
  <c r="V102" i="88"/>
  <c r="V88" i="88"/>
  <c r="V84" i="88"/>
  <c r="V80" i="88"/>
  <c r="V56" i="88"/>
  <c r="V48" i="88"/>
  <c r="V32" i="88"/>
  <c r="V28" i="88"/>
  <c r="V90" i="88"/>
  <c r="V74" i="88"/>
  <c r="V58" i="88"/>
  <c r="V50" i="88"/>
  <c r="V42" i="88"/>
  <c r="V38" i="88"/>
  <c r="V95" i="88"/>
  <c r="V75" i="88"/>
  <c r="V59" i="88"/>
  <c r="V51" i="88"/>
  <c r="V43" i="88"/>
  <c r="V39" i="88"/>
  <c r="V35" i="88"/>
  <c r="V94" i="88"/>
  <c r="V86" i="88"/>
  <c r="V82" i="88"/>
  <c r="V70" i="88"/>
  <c r="V62" i="88"/>
  <c r="V34" i="88"/>
  <c r="V30" i="88"/>
  <c r="V26" i="88"/>
  <c r="V98" i="88"/>
  <c r="V96" i="88"/>
  <c r="V72" i="88"/>
  <c r="V64" i="88"/>
  <c r="V44" i="88"/>
  <c r="V40" i="88"/>
  <c r="V36" i="88"/>
  <c r="V78" i="88"/>
  <c r="V66" i="88"/>
  <c r="V54" i="88"/>
  <c r="V46" i="88"/>
  <c r="V89" i="88"/>
  <c r="V71" i="88"/>
  <c r="V45" i="88"/>
  <c r="V69" i="88"/>
  <c r="V67" i="88"/>
  <c r="V57" i="88"/>
  <c r="V20" i="88"/>
  <c r="V17" i="88"/>
  <c r="V92" i="88"/>
  <c r="V60" i="88"/>
  <c r="V53" i="88"/>
  <c r="V65" i="88"/>
  <c r="V41" i="88"/>
  <c r="V93" i="88"/>
  <c r="V77" i="88"/>
  <c r="V55" i="88"/>
  <c r="V33" i="88"/>
  <c r="T22" i="88"/>
  <c r="V22" i="88" s="1"/>
  <c r="V31" i="88"/>
  <c r="V29" i="88"/>
  <c r="V24" i="88"/>
  <c r="V18" i="88"/>
  <c r="V87" i="88"/>
  <c r="V68" i="88"/>
  <c r="V63" i="88"/>
  <c r="V49" i="88"/>
  <c r="V37" i="88"/>
  <c r="V27" i="88"/>
  <c r="V25" i="88"/>
  <c r="V81" i="88"/>
  <c r="V79" i="88"/>
  <c r="V47" i="88"/>
  <c r="V19" i="88"/>
  <c r="V76" i="88"/>
  <c r="V52" i="88"/>
  <c r="V83" i="88"/>
  <c r="F90" i="88"/>
  <c r="V28" i="84"/>
  <c r="V32" i="84"/>
  <c r="V48" i="84"/>
  <c r="J64" i="84"/>
  <c r="V65" i="84"/>
  <c r="V66" i="84"/>
  <c r="V78" i="84"/>
  <c r="V84" i="84"/>
  <c r="V85" i="84"/>
  <c r="V121" i="85"/>
  <c r="F68" i="88"/>
  <c r="Z100" i="85"/>
  <c r="N110" i="85"/>
  <c r="N122" i="85"/>
  <c r="X127" i="85"/>
  <c r="J17" i="86"/>
  <c r="R18" i="86"/>
  <c r="T20" i="86"/>
  <c r="V20" i="86" s="1"/>
  <c r="R23" i="86"/>
  <c r="V25" i="86"/>
  <c r="Z27" i="86"/>
  <c r="R22" i="87"/>
  <c r="R20" i="87"/>
  <c r="R18" i="87"/>
  <c r="R16" i="87"/>
  <c r="R14" i="87"/>
  <c r="X14" i="87"/>
  <c r="J20" i="87"/>
  <c r="J96" i="88"/>
  <c r="J70" i="88"/>
  <c r="J62" i="88"/>
  <c r="J44" i="88"/>
  <c r="J40" i="88"/>
  <c r="J36" i="88"/>
  <c r="J98" i="88"/>
  <c r="J78" i="88"/>
  <c r="J72" i="88"/>
  <c r="J64" i="88"/>
  <c r="J54" i="88"/>
  <c r="J89" i="88"/>
  <c r="J67" i="88"/>
  <c r="J55" i="88"/>
  <c r="J47" i="88"/>
  <c r="J90" i="88"/>
  <c r="J74" i="88"/>
  <c r="J56" i="88"/>
  <c r="J48" i="88"/>
  <c r="J42" i="88"/>
  <c r="J38" i="88"/>
  <c r="J92" i="88"/>
  <c r="J68" i="88"/>
  <c r="J58" i="88"/>
  <c r="J50" i="88"/>
  <c r="J94" i="88"/>
  <c r="J86" i="88"/>
  <c r="J82" i="88"/>
  <c r="J76" i="88"/>
  <c r="J60" i="88"/>
  <c r="J52" i="88"/>
  <c r="J34" i="88"/>
  <c r="J30" i="88"/>
  <c r="J26" i="88"/>
  <c r="N24" i="88"/>
  <c r="J25" i="88"/>
  <c r="J49" i="88"/>
  <c r="J61" i="88"/>
  <c r="J73" i="88"/>
  <c r="Z18" i="89"/>
  <c r="R25" i="89"/>
  <c r="Z70" i="89"/>
  <c r="Z80" i="89"/>
  <c r="J60" i="92"/>
  <c r="J16" i="86"/>
  <c r="V18" i="86"/>
  <c r="V22" i="86"/>
  <c r="J30" i="86"/>
  <c r="Z64" i="88"/>
  <c r="H91" i="89"/>
  <c r="J87" i="89"/>
  <c r="R29" i="89"/>
  <c r="J70" i="92"/>
  <c r="P12" i="95"/>
  <c r="X13" i="95"/>
  <c r="Z13" i="95" s="1"/>
  <c r="N49" i="98"/>
  <c r="L49" i="98"/>
  <c r="V17" i="86"/>
  <c r="J27" i="86"/>
  <c r="N62" i="89"/>
  <c r="J98" i="92"/>
  <c r="R16" i="86"/>
  <c r="J26" i="86"/>
  <c r="R30" i="86"/>
  <c r="N60" i="88"/>
  <c r="Z66" i="88"/>
  <c r="N72" i="88"/>
  <c r="N26" i="89"/>
  <c r="J72" i="92"/>
  <c r="J85" i="92"/>
  <c r="N24" i="93"/>
  <c r="L24" i="93"/>
  <c r="J24" i="93"/>
  <c r="H20" i="86"/>
  <c r="J25" i="86"/>
  <c r="R28" i="86"/>
  <c r="L72" i="88"/>
  <c r="R82" i="89"/>
  <c r="R81" i="89"/>
  <c r="R70" i="89"/>
  <c r="R69" i="89"/>
  <c r="R45" i="89"/>
  <c r="R41" i="89"/>
  <c r="R37" i="89"/>
  <c r="R18" i="89"/>
  <c r="R64" i="89"/>
  <c r="R32" i="89"/>
  <c r="R28" i="89"/>
  <c r="R83" i="89"/>
  <c r="R75" i="89"/>
  <c r="R71" i="89"/>
  <c r="R56" i="89"/>
  <c r="R55" i="89"/>
  <c r="R19" i="89"/>
  <c r="R85" i="89"/>
  <c r="R47" i="89"/>
  <c r="R46" i="89"/>
  <c r="R42" i="89"/>
  <c r="R38" i="89"/>
  <c r="R77" i="89"/>
  <c r="R76" i="89"/>
  <c r="R72" i="89"/>
  <c r="R49" i="89"/>
  <c r="R48" i="89"/>
  <c r="R20" i="89"/>
  <c r="R89" i="89"/>
  <c r="R67" i="89"/>
  <c r="R60" i="89"/>
  <c r="R59" i="89"/>
  <c r="R43" i="89"/>
  <c r="R39" i="89"/>
  <c r="R78" i="89"/>
  <c r="R73" i="89"/>
  <c r="R62" i="89"/>
  <c r="R61" i="89"/>
  <c r="R26" i="89"/>
  <c r="R21" i="89"/>
  <c r="R80" i="89"/>
  <c r="R79" i="89"/>
  <c r="R63" i="89"/>
  <c r="R36" i="89"/>
  <c r="R35" i="89"/>
  <c r="R31" i="89"/>
  <c r="R27" i="89"/>
  <c r="P23" i="89"/>
  <c r="X62" i="89"/>
  <c r="Z62" i="89" s="1"/>
  <c r="Z77" i="89"/>
  <c r="P96" i="92"/>
  <c r="J36" i="92"/>
  <c r="Z43" i="92"/>
  <c r="Z71" i="93"/>
  <c r="Z12" i="86"/>
  <c r="V16" i="86"/>
  <c r="J20" i="86"/>
  <c r="J22" i="86"/>
  <c r="J24" i="86"/>
  <c r="V28" i="86"/>
  <c r="V30" i="86"/>
  <c r="V18" i="87"/>
  <c r="V29" i="87"/>
  <c r="X17" i="88"/>
  <c r="Z58" i="88"/>
  <c r="N62" i="88"/>
  <c r="R50" i="89"/>
  <c r="Z24" i="93"/>
  <c r="J23" i="86"/>
  <c r="R26" i="86"/>
  <c r="R27" i="86"/>
  <c r="F22" i="87"/>
  <c r="F20" i="87"/>
  <c r="F18" i="87"/>
  <c r="F16" i="87"/>
  <c r="F14" i="87"/>
  <c r="T16" i="87"/>
  <c r="J28" i="88"/>
  <c r="J45" i="88"/>
  <c r="Z46" i="88"/>
  <c r="X58" i="88"/>
  <c r="J71" i="88"/>
  <c r="Z72" i="88"/>
  <c r="J79" i="88"/>
  <c r="J88" i="88"/>
  <c r="Z93" i="88"/>
  <c r="J95" i="88"/>
  <c r="X12" i="89"/>
  <c r="R30" i="89"/>
  <c r="N66" i="89"/>
  <c r="J48" i="92"/>
  <c r="J58" i="92"/>
  <c r="J90" i="92"/>
  <c r="D12" i="93"/>
  <c r="L13" i="93"/>
  <c r="N13" i="93" s="1"/>
  <c r="J18" i="86"/>
  <c r="V26" i="86"/>
  <c r="V16" i="87"/>
  <c r="V26" i="87"/>
  <c r="Z48" i="88"/>
  <c r="X62" i="88"/>
  <c r="Z62" i="88" s="1"/>
  <c r="R52" i="89"/>
  <c r="R68" i="89"/>
  <c r="J40" i="92"/>
  <c r="Z60" i="96"/>
  <c r="P20" i="86"/>
  <c r="R24" i="86"/>
  <c r="R25" i="86"/>
  <c r="V27" i="86"/>
  <c r="N64" i="88"/>
  <c r="J93" i="92"/>
  <c r="J92" i="92"/>
  <c r="J84" i="92"/>
  <c r="J103" i="92"/>
  <c r="J100" i="92"/>
  <c r="J86" i="92"/>
  <c r="J73" i="92"/>
  <c r="J61" i="92"/>
  <c r="J49" i="92"/>
  <c r="J43" i="92"/>
  <c r="J37" i="92"/>
  <c r="J33" i="92"/>
  <c r="J19" i="92"/>
  <c r="J80" i="92"/>
  <c r="J50" i="92"/>
  <c r="J44" i="92"/>
  <c r="J28" i="92"/>
  <c r="J24" i="92"/>
  <c r="J20" i="92"/>
  <c r="J18" i="92"/>
  <c r="J16" i="92"/>
  <c r="J14" i="92"/>
  <c r="J81" i="92"/>
  <c r="J67" i="92"/>
  <c r="J51" i="92"/>
  <c r="H16" i="92"/>
  <c r="J82" i="92"/>
  <c r="J77" i="92"/>
  <c r="J74" i="92"/>
  <c r="J62" i="92"/>
  <c r="J52" i="92"/>
  <c r="J38" i="92"/>
  <c r="J34" i="92"/>
  <c r="J87" i="92"/>
  <c r="J53" i="92"/>
  <c r="J45" i="92"/>
  <c r="J29" i="92"/>
  <c r="J25" i="92"/>
  <c r="J21" i="92"/>
  <c r="J94" i="92"/>
  <c r="J83" i="92"/>
  <c r="J68" i="92"/>
  <c r="J54" i="92"/>
  <c r="J30" i="92"/>
  <c r="J78" i="92"/>
  <c r="J63" i="92"/>
  <c r="J55" i="92"/>
  <c r="J39" i="92"/>
  <c r="J35" i="92"/>
  <c r="J31" i="92"/>
  <c r="J96" i="92"/>
  <c r="J88" i="92"/>
  <c r="J75" i="92"/>
  <c r="J64" i="92"/>
  <c r="J56" i="92"/>
  <c r="J46" i="92"/>
  <c r="J26" i="92"/>
  <c r="J22" i="92"/>
  <c r="J89" i="92"/>
  <c r="J69" i="92"/>
  <c r="J65" i="92"/>
  <c r="J57" i="92"/>
  <c r="J79" i="92"/>
  <c r="J76" i="92"/>
  <c r="J71" i="92"/>
  <c r="J59" i="92"/>
  <c r="J47" i="92"/>
  <c r="J41" i="92"/>
  <c r="J27" i="92"/>
  <c r="J23" i="92"/>
  <c r="Z82" i="93"/>
  <c r="X82" i="93"/>
  <c r="R20" i="86"/>
  <c r="N12" i="87"/>
  <c r="N52" i="88"/>
  <c r="L64" i="88"/>
  <c r="J83" i="88"/>
  <c r="J85" i="88"/>
  <c r="J91" i="88"/>
  <c r="L98" i="88"/>
  <c r="R54" i="89"/>
  <c r="R66" i="89"/>
  <c r="N12" i="92"/>
  <c r="V18" i="89"/>
  <c r="J30" i="89"/>
  <c r="J34" i="89"/>
  <c r="J50" i="89"/>
  <c r="V54" i="89"/>
  <c r="J60" i="89"/>
  <c r="V70" i="89"/>
  <c r="V74" i="89"/>
  <c r="J78" i="89"/>
  <c r="V82" i="89"/>
  <c r="L12" i="92"/>
  <c r="R20" i="92"/>
  <c r="R24" i="92"/>
  <c r="R28" i="92"/>
  <c r="F32" i="92"/>
  <c r="F36" i="92"/>
  <c r="F40" i="92"/>
  <c r="R44" i="92"/>
  <c r="V51" i="92"/>
  <c r="V67" i="92"/>
  <c r="R80" i="92"/>
  <c r="R81" i="92"/>
  <c r="F89" i="92"/>
  <c r="F90" i="92"/>
  <c r="P92" i="92"/>
  <c r="X92" i="92" s="1"/>
  <c r="Z92" i="92" s="1"/>
  <c r="V93" i="92"/>
  <c r="R33" i="93"/>
  <c r="V37" i="93"/>
  <c r="V42" i="93"/>
  <c r="V52" i="93"/>
  <c r="R54" i="93"/>
  <c r="R57" i="93"/>
  <c r="R64" i="93"/>
  <c r="V65" i="93"/>
  <c r="R70" i="93"/>
  <c r="V71" i="93"/>
  <c r="J20" i="94"/>
  <c r="J31" i="94"/>
  <c r="Z36" i="95"/>
  <c r="F46" i="95"/>
  <c r="Z17" i="96"/>
  <c r="X60" i="96"/>
  <c r="T23" i="89"/>
  <c r="V36" i="89"/>
  <c r="V40" i="89"/>
  <c r="V44" i="89"/>
  <c r="J48" i="89"/>
  <c r="V52" i="89"/>
  <c r="J58" i="89"/>
  <c r="J66" i="89"/>
  <c r="V68" i="89"/>
  <c r="J72" i="89"/>
  <c r="J76" i="89"/>
  <c r="V80" i="89"/>
  <c r="T16" i="92"/>
  <c r="X16" i="92" s="1"/>
  <c r="R19" i="92"/>
  <c r="F22" i="92"/>
  <c r="F26" i="92"/>
  <c r="V33" i="92"/>
  <c r="V37" i="92"/>
  <c r="R42" i="92"/>
  <c r="R43" i="92"/>
  <c r="F46" i="92"/>
  <c r="V49" i="92"/>
  <c r="V61" i="92"/>
  <c r="R66" i="92"/>
  <c r="V73" i="92"/>
  <c r="R76" i="92"/>
  <c r="V81" i="92"/>
  <c r="F88" i="92"/>
  <c r="R98" i="92"/>
  <c r="V19" i="93"/>
  <c r="R26" i="93"/>
  <c r="R73" i="93"/>
  <c r="R76" i="93"/>
  <c r="V79" i="93"/>
  <c r="Z25" i="94"/>
  <c r="Z51" i="94"/>
  <c r="Z53" i="94"/>
  <c r="L56" i="95"/>
  <c r="V103" i="92"/>
  <c r="V100" i="92"/>
  <c r="V98" i="92"/>
  <c r="V92" i="92"/>
  <c r="V90" i="92"/>
  <c r="V82" i="92"/>
  <c r="V14" i="92"/>
  <c r="V16" i="92"/>
  <c r="V18" i="92"/>
  <c r="V42" i="92"/>
  <c r="V50" i="92"/>
  <c r="V66" i="92"/>
  <c r="V76" i="92"/>
  <c r="R29" i="93"/>
  <c r="R36" i="93"/>
  <c r="R44" i="93"/>
  <c r="R47" i="93"/>
  <c r="N50" i="93"/>
  <c r="R63" i="93"/>
  <c r="N78" i="93"/>
  <c r="J77" i="94"/>
  <c r="J71" i="94"/>
  <c r="J67" i="94"/>
  <c r="J49" i="94"/>
  <c r="J43" i="94"/>
  <c r="J39" i="94"/>
  <c r="J78" i="94"/>
  <c r="J50" i="94"/>
  <c r="J34" i="94"/>
  <c r="J30" i="94"/>
  <c r="J61" i="94"/>
  <c r="J51" i="94"/>
  <c r="J21" i="94"/>
  <c r="J81" i="94"/>
  <c r="J80" i="94"/>
  <c r="J72" i="94"/>
  <c r="J68" i="94"/>
  <c r="J52" i="94"/>
  <c r="J44" i="94"/>
  <c r="J40" i="94"/>
  <c r="J53" i="94"/>
  <c r="J35" i="94"/>
  <c r="J62" i="94"/>
  <c r="J54" i="94"/>
  <c r="J36" i="94"/>
  <c r="H23" i="94"/>
  <c r="J85" i="94"/>
  <c r="J73" i="94"/>
  <c r="J69" i="94"/>
  <c r="J63" i="94"/>
  <c r="J55" i="94"/>
  <c r="J45" i="94"/>
  <c r="J41" i="94"/>
  <c r="J37" i="94"/>
  <c r="J74" i="94"/>
  <c r="J64" i="94"/>
  <c r="J56" i="94"/>
  <c r="J32" i="94"/>
  <c r="J28" i="94"/>
  <c r="J75" i="94"/>
  <c r="J57" i="94"/>
  <c r="J19" i="94"/>
  <c r="J65" i="94"/>
  <c r="J59" i="94"/>
  <c r="J47" i="94"/>
  <c r="J33" i="94"/>
  <c r="J29" i="94"/>
  <c r="J23" i="94"/>
  <c r="J42" i="94"/>
  <c r="J48" i="94"/>
  <c r="V26" i="89"/>
  <c r="V30" i="89"/>
  <c r="V34" i="89"/>
  <c r="J38" i="89"/>
  <c r="J42" i="89"/>
  <c r="J46" i="89"/>
  <c r="V50" i="89"/>
  <c r="J56" i="89"/>
  <c r="V62" i="89"/>
  <c r="V78" i="89"/>
  <c r="X12" i="92"/>
  <c r="V19" i="92"/>
  <c r="V23" i="92"/>
  <c r="V27" i="92"/>
  <c r="R36" i="92"/>
  <c r="R40" i="92"/>
  <c r="R41" i="92"/>
  <c r="V43" i="92"/>
  <c r="V47" i="92"/>
  <c r="V59" i="92"/>
  <c r="F68" i="92"/>
  <c r="V71" i="92"/>
  <c r="V79" i="92"/>
  <c r="R85" i="92"/>
  <c r="R90" i="92"/>
  <c r="F94" i="92"/>
  <c r="F103" i="92"/>
  <c r="J22" i="93"/>
  <c r="R32" i="93"/>
  <c r="R56" i="93"/>
  <c r="L62" i="93"/>
  <c r="N62" i="93" s="1"/>
  <c r="V81" i="93"/>
  <c r="R27" i="98"/>
  <c r="J19" i="89"/>
  <c r="V39" i="89"/>
  <c r="V43" i="89"/>
  <c r="V51" i="89"/>
  <c r="J55" i="89"/>
  <c r="V59" i="89"/>
  <c r="V67" i="89"/>
  <c r="J71" i="89"/>
  <c r="J75" i="89"/>
  <c r="J83" i="89"/>
  <c r="V89" i="89"/>
  <c r="Z12" i="92"/>
  <c r="F21" i="92"/>
  <c r="F25" i="92"/>
  <c r="F29" i="92"/>
  <c r="V32" i="92"/>
  <c r="V36" i="92"/>
  <c r="V40" i="92"/>
  <c r="F45" i="92"/>
  <c r="V48" i="92"/>
  <c r="F52" i="92"/>
  <c r="F53" i="92"/>
  <c r="R57" i="92"/>
  <c r="R58" i="92"/>
  <c r="V60" i="92"/>
  <c r="R65" i="92"/>
  <c r="R69" i="92"/>
  <c r="R70" i="92"/>
  <c r="V72" i="92"/>
  <c r="X24" i="93"/>
  <c r="R25" i="93"/>
  <c r="V41" i="93"/>
  <c r="V67" i="93"/>
  <c r="R75" i="93"/>
  <c r="R72" i="94"/>
  <c r="R68" i="94"/>
  <c r="R53" i="94"/>
  <c r="R52" i="94"/>
  <c r="R44" i="94"/>
  <c r="R40" i="94"/>
  <c r="R25" i="94"/>
  <c r="R23" i="94"/>
  <c r="R36" i="94"/>
  <c r="R35" i="94"/>
  <c r="R31" i="94"/>
  <c r="R27" i="94"/>
  <c r="R63" i="94"/>
  <c r="R62" i="94"/>
  <c r="R55" i="94"/>
  <c r="R54" i="94"/>
  <c r="R85" i="94"/>
  <c r="R74" i="94"/>
  <c r="R73" i="94"/>
  <c r="R69" i="94"/>
  <c r="R45" i="94"/>
  <c r="R41" i="94"/>
  <c r="R37" i="94"/>
  <c r="R64" i="94"/>
  <c r="R57" i="94"/>
  <c r="R56" i="94"/>
  <c r="R32" i="94"/>
  <c r="R75" i="94"/>
  <c r="R19" i="94"/>
  <c r="R70" i="94"/>
  <c r="R59" i="94"/>
  <c r="R58" i="94"/>
  <c r="R47" i="94"/>
  <c r="R46" i="94"/>
  <c r="R42" i="94"/>
  <c r="R38" i="94"/>
  <c r="R66" i="94"/>
  <c r="R65" i="94"/>
  <c r="R33" i="94"/>
  <c r="R29" i="94"/>
  <c r="R77" i="94"/>
  <c r="R76" i="94"/>
  <c r="R60" i="94"/>
  <c r="R49" i="94"/>
  <c r="R48" i="94"/>
  <c r="R20" i="94"/>
  <c r="R78" i="94"/>
  <c r="R51" i="94"/>
  <c r="R50" i="94"/>
  <c r="R34" i="94"/>
  <c r="R30" i="94"/>
  <c r="P23" i="94"/>
  <c r="L26" i="94"/>
  <c r="J58" i="94"/>
  <c r="R71" i="94"/>
  <c r="F75" i="95"/>
  <c r="F59" i="95"/>
  <c r="F58" i="95"/>
  <c r="F43" i="95"/>
  <c r="F39" i="95"/>
  <c r="F82" i="95"/>
  <c r="F81" i="95"/>
  <c r="F70" i="95"/>
  <c r="F69" i="95"/>
  <c r="F50" i="95"/>
  <c r="F49" i="95"/>
  <c r="F34" i="95"/>
  <c r="F30" i="95"/>
  <c r="F61" i="95"/>
  <c r="F60" i="95"/>
  <c r="F21" i="95"/>
  <c r="F76" i="95"/>
  <c r="F72" i="95"/>
  <c r="F71" i="95"/>
  <c r="F52" i="95"/>
  <c r="F51" i="95"/>
  <c r="F44" i="95"/>
  <c r="F40" i="95"/>
  <c r="F84" i="95"/>
  <c r="F63" i="95"/>
  <c r="F62" i="95"/>
  <c r="F35" i="95"/>
  <c r="F31" i="95"/>
  <c r="F27" i="95"/>
  <c r="F26" i="95"/>
  <c r="F54" i="95"/>
  <c r="F53" i="95"/>
  <c r="F25" i="95"/>
  <c r="F77" i="95"/>
  <c r="F73" i="95"/>
  <c r="F45" i="95"/>
  <c r="F41" i="95"/>
  <c r="F37" i="95"/>
  <c r="F36" i="95"/>
  <c r="D23" i="95"/>
  <c r="F64" i="95"/>
  <c r="F32" i="95"/>
  <c r="F28" i="95"/>
  <c r="L12" i="95"/>
  <c r="N12" i="95" s="1"/>
  <c r="F55" i="95"/>
  <c r="F19" i="95"/>
  <c r="F18" i="95"/>
  <c r="F57" i="95"/>
  <c r="F56" i="95"/>
  <c r="F33" i="95"/>
  <c r="F29" i="95"/>
  <c r="Z56" i="95"/>
  <c r="X62" i="95"/>
  <c r="Z62" i="95" s="1"/>
  <c r="X52" i="96"/>
  <c r="Z52" i="96" s="1"/>
  <c r="D16" i="92"/>
  <c r="V41" i="92"/>
  <c r="V57" i="92"/>
  <c r="V65" i="92"/>
  <c r="V69" i="92"/>
  <c r="F74" i="92"/>
  <c r="F81" i="92"/>
  <c r="F82" i="92"/>
  <c r="V85" i="92"/>
  <c r="R88" i="92"/>
  <c r="R89" i="92"/>
  <c r="R96" i="92"/>
  <c r="F100" i="92"/>
  <c r="R50" i="93"/>
  <c r="R55" i="93"/>
  <c r="N58" i="93"/>
  <c r="R78" i="93"/>
  <c r="J80" i="93"/>
  <c r="N80" i="93"/>
  <c r="N26" i="94"/>
  <c r="J38" i="94"/>
  <c r="Z63" i="94"/>
  <c r="T83" i="94"/>
  <c r="V83" i="94" s="1"/>
  <c r="F66" i="95"/>
  <c r="F68" i="95"/>
  <c r="Z25" i="96"/>
  <c r="Z50" i="96"/>
  <c r="L90" i="96"/>
  <c r="V77" i="89"/>
  <c r="V22" i="92"/>
  <c r="V26" i="92"/>
  <c r="V46" i="92"/>
  <c r="V58" i="92"/>
  <c r="V70" i="92"/>
  <c r="V75" i="92"/>
  <c r="V84" i="92"/>
  <c r="V88" i="92"/>
  <c r="D92" i="92"/>
  <c r="L92" i="92" s="1"/>
  <c r="N92" i="92" s="1"/>
  <c r="F93" i="92"/>
  <c r="R83" i="93"/>
  <c r="R46" i="93"/>
  <c r="R45" i="93"/>
  <c r="R41" i="93"/>
  <c r="R37" i="93"/>
  <c r="R18" i="93"/>
  <c r="R67" i="93"/>
  <c r="R66" i="93"/>
  <c r="R42" i="93"/>
  <c r="R38" i="93"/>
  <c r="R80" i="93"/>
  <c r="R79" i="93"/>
  <c r="R60" i="93"/>
  <c r="R59" i="93"/>
  <c r="R52" i="93"/>
  <c r="R51" i="93"/>
  <c r="R43" i="93"/>
  <c r="R39" i="93"/>
  <c r="R24" i="93"/>
  <c r="R82" i="93"/>
  <c r="R81" i="93"/>
  <c r="R69" i="93"/>
  <c r="R62" i="93"/>
  <c r="R61" i="93"/>
  <c r="R53" i="93"/>
  <c r="P22" i="93"/>
  <c r="R22" i="93" s="1"/>
  <c r="R28" i="93"/>
  <c r="R31" i="93"/>
  <c r="R35" i="93"/>
  <c r="Z50" i="93"/>
  <c r="N52" i="93"/>
  <c r="R72" i="93"/>
  <c r="R89" i="93"/>
  <c r="J23" i="95"/>
  <c r="H86" i="95"/>
  <c r="N26" i="95"/>
  <c r="L64" i="96"/>
  <c r="N64" i="96" s="1"/>
  <c r="N90" i="96"/>
  <c r="J36" i="89"/>
  <c r="V38" i="89"/>
  <c r="V42" i="89"/>
  <c r="V46" i="89"/>
  <c r="J54" i="89"/>
  <c r="V58" i="89"/>
  <c r="V66" i="89"/>
  <c r="J74" i="89"/>
  <c r="J80" i="89"/>
  <c r="F19" i="92"/>
  <c r="F20" i="92"/>
  <c r="F24" i="92"/>
  <c r="F28" i="92"/>
  <c r="V31" i="92"/>
  <c r="V35" i="92"/>
  <c r="V39" i="92"/>
  <c r="F43" i="92"/>
  <c r="F44" i="92"/>
  <c r="V55" i="92"/>
  <c r="V63" i="92"/>
  <c r="R68" i="92"/>
  <c r="V78" i="92"/>
  <c r="F80" i="92"/>
  <c r="V89" i="92"/>
  <c r="R94" i="92"/>
  <c r="V96" i="92"/>
  <c r="V76" i="93"/>
  <c r="V72" i="93"/>
  <c r="V64" i="93"/>
  <c r="V56" i="93"/>
  <c r="V48" i="93"/>
  <c r="V32" i="93"/>
  <c r="V28" i="93"/>
  <c r="Z12" i="93"/>
  <c r="V77" i="93"/>
  <c r="V73" i="93"/>
  <c r="V57" i="93"/>
  <c r="V49" i="93"/>
  <c r="V33" i="93"/>
  <c r="V29" i="93"/>
  <c r="V25" i="93"/>
  <c r="V82" i="93"/>
  <c r="V74" i="93"/>
  <c r="V62" i="93"/>
  <c r="V34" i="93"/>
  <c r="V30" i="93"/>
  <c r="V26" i="93"/>
  <c r="V44" i="93"/>
  <c r="V40" i="93"/>
  <c r="T22" i="93"/>
  <c r="V31" i="93"/>
  <c r="R34" i="93"/>
  <c r="V43" i="93"/>
  <c r="Z46" i="93"/>
  <c r="V50" i="93"/>
  <c r="J52" i="93"/>
  <c r="V78" i="93"/>
  <c r="X80" i="93"/>
  <c r="Z80" i="93" s="1"/>
  <c r="V85" i="93"/>
  <c r="V89" i="93"/>
  <c r="N47" i="94"/>
  <c r="X26" i="95"/>
  <c r="Z26" i="95" s="1"/>
  <c r="F38" i="95"/>
  <c r="F78" i="95"/>
  <c r="L62" i="96"/>
  <c r="N62" i="96" s="1"/>
  <c r="V56" i="92"/>
  <c r="V64" i="92"/>
  <c r="V68" i="92"/>
  <c r="V94" i="92"/>
  <c r="R40" i="93"/>
  <c r="R49" i="93"/>
  <c r="R58" i="93"/>
  <c r="R74" i="93"/>
  <c r="R77" i="93"/>
  <c r="R94" i="98"/>
  <c r="R74" i="98"/>
  <c r="R59" i="98"/>
  <c r="R58" i="98"/>
  <c r="R51" i="98"/>
  <c r="R50" i="98"/>
  <c r="R34" i="98"/>
  <c r="R30" i="98"/>
  <c r="R98" i="98"/>
  <c r="R87" i="98"/>
  <c r="R86" i="98"/>
  <c r="R82" i="98"/>
  <c r="R70" i="98"/>
  <c r="R63" i="98"/>
  <c r="R62" i="98"/>
  <c r="R54" i="98"/>
  <c r="R77" i="98"/>
  <c r="R45" i="98"/>
  <c r="R41" i="98"/>
  <c r="R37" i="98"/>
  <c r="R89" i="98"/>
  <c r="R88" i="98"/>
  <c r="R65" i="98"/>
  <c r="R64" i="98"/>
  <c r="R32" i="98"/>
  <c r="R28" i="98"/>
  <c r="X12" i="98"/>
  <c r="R91" i="98"/>
  <c r="R90" i="98"/>
  <c r="R79" i="98"/>
  <c r="R78" i="98"/>
  <c r="R66" i="98"/>
  <c r="R47" i="98"/>
  <c r="R46" i="98"/>
  <c r="R42" i="98"/>
  <c r="R38" i="98"/>
  <c r="R73" i="98"/>
  <c r="R33" i="98"/>
  <c r="R29" i="98"/>
  <c r="R55" i="98"/>
  <c r="P23" i="98"/>
  <c r="R85" i="98"/>
  <c r="R76" i="98"/>
  <c r="R69" i="98"/>
  <c r="R92" i="98"/>
  <c r="R83" i="98"/>
  <c r="R72" i="98"/>
  <c r="R36" i="98"/>
  <c r="R20" i="98"/>
  <c r="R81" i="98"/>
  <c r="R61" i="98"/>
  <c r="R53" i="98"/>
  <c r="R43" i="98"/>
  <c r="R25" i="98"/>
  <c r="R48" i="98"/>
  <c r="R26" i="98"/>
  <c r="R56" i="98"/>
  <c r="R67" i="98"/>
  <c r="R39" i="98"/>
  <c r="R21" i="98"/>
  <c r="R18" i="98"/>
  <c r="R84" i="98"/>
  <c r="R68" i="98"/>
  <c r="R49" i="98"/>
  <c r="R57" i="98"/>
  <c r="R35" i="98"/>
  <c r="R44" i="98"/>
  <c r="R80" i="98"/>
  <c r="R75" i="98"/>
  <c r="R52" i="98"/>
  <c r="R31" i="98"/>
  <c r="R23" i="98"/>
  <c r="R19" i="98"/>
  <c r="R71" i="98"/>
  <c r="R40" i="98"/>
  <c r="Z12" i="89"/>
  <c r="J26" i="89"/>
  <c r="V28" i="89"/>
  <c r="V32" i="89"/>
  <c r="J40" i="89"/>
  <c r="J44" i="89"/>
  <c r="J52" i="89"/>
  <c r="V56" i="89"/>
  <c r="J62" i="89"/>
  <c r="F77" i="92"/>
  <c r="F87" i="92"/>
  <c r="F79" i="92"/>
  <c r="F75" i="92"/>
  <c r="V21" i="92"/>
  <c r="V25" i="92"/>
  <c r="V29" i="92"/>
  <c r="F41" i="92"/>
  <c r="F42" i="92"/>
  <c r="V45" i="92"/>
  <c r="V53" i="92"/>
  <c r="R62" i="92"/>
  <c r="F66" i="92"/>
  <c r="R74" i="92"/>
  <c r="R77" i="92"/>
  <c r="V87" i="92"/>
  <c r="F98" i="92"/>
  <c r="R20" i="93"/>
  <c r="R27" i="93"/>
  <c r="X52" i="93"/>
  <c r="Z52" i="93" s="1"/>
  <c r="Z58" i="93"/>
  <c r="N60" i="93"/>
  <c r="R65" i="93"/>
  <c r="R68" i="93"/>
  <c r="R71" i="93"/>
  <c r="V80" i="93"/>
  <c r="N82" i="93"/>
  <c r="L13" i="94"/>
  <c r="N13" i="94" s="1"/>
  <c r="D12" i="94"/>
  <c r="J18" i="94"/>
  <c r="N49" i="94"/>
  <c r="J76" i="94"/>
  <c r="Z18" i="95"/>
  <c r="J50" i="93"/>
  <c r="J58" i="93"/>
  <c r="J68" i="93"/>
  <c r="J78" i="93"/>
  <c r="V21" i="94"/>
  <c r="V23" i="94"/>
  <c r="V25" i="94"/>
  <c r="V53" i="94"/>
  <c r="Z55" i="94"/>
  <c r="V61" i="94"/>
  <c r="V81" i="94"/>
  <c r="T23" i="95"/>
  <c r="V36" i="95"/>
  <c r="V40" i="95"/>
  <c r="V44" i="95"/>
  <c r="J48" i="95"/>
  <c r="V52" i="95"/>
  <c r="J58" i="95"/>
  <c r="N60" i="95"/>
  <c r="J68" i="95"/>
  <c r="V72" i="95"/>
  <c r="V76" i="95"/>
  <c r="J80" i="95"/>
  <c r="R20" i="96"/>
  <c r="L24" i="96"/>
  <c r="N24" i="96" s="1"/>
  <c r="R26" i="96"/>
  <c r="J28" i="96"/>
  <c r="R35" i="96"/>
  <c r="V45" i="96"/>
  <c r="V67" i="96"/>
  <c r="R77" i="96"/>
  <c r="R84" i="96"/>
  <c r="R88" i="96"/>
  <c r="V97" i="96"/>
  <c r="Z68" i="98"/>
  <c r="J38" i="93"/>
  <c r="J42" i="93"/>
  <c r="J48" i="93"/>
  <c r="J56" i="93"/>
  <c r="J66" i="93"/>
  <c r="V39" i="94"/>
  <c r="V43" i="94"/>
  <c r="V51" i="94"/>
  <c r="V67" i="94"/>
  <c r="V71" i="94"/>
  <c r="V26" i="95"/>
  <c r="V30" i="95"/>
  <c r="V34" i="95"/>
  <c r="J38" i="95"/>
  <c r="J42" i="95"/>
  <c r="J46" i="95"/>
  <c r="V50" i="95"/>
  <c r="J56" i="95"/>
  <c r="V62" i="95"/>
  <c r="J66" i="95"/>
  <c r="V70" i="95"/>
  <c r="J74" i="95"/>
  <c r="J78" i="95"/>
  <c r="V82" i="95"/>
  <c r="J88" i="95"/>
  <c r="X17" i="96"/>
  <c r="J19" i="96"/>
  <c r="J24" i="96"/>
  <c r="X25" i="96"/>
  <c r="R28" i="96"/>
  <c r="R31" i="96"/>
  <c r="J33" i="96"/>
  <c r="R34" i="96"/>
  <c r="V35" i="96"/>
  <c r="J37" i="96"/>
  <c r="V52" i="96"/>
  <c r="R54" i="96"/>
  <c r="J61" i="96"/>
  <c r="R62" i="96"/>
  <c r="R69" i="96"/>
  <c r="R72" i="96"/>
  <c r="V77" i="96"/>
  <c r="V79" i="96"/>
  <c r="Z90" i="96"/>
  <c r="N94" i="96"/>
  <c r="V76" i="94"/>
  <c r="V39" i="95"/>
  <c r="V43" i="95"/>
  <c r="V51" i="95"/>
  <c r="V59" i="95"/>
  <c r="V71" i="95"/>
  <c r="V75" i="95"/>
  <c r="R25" i="96"/>
  <c r="R42" i="96"/>
  <c r="N56" i="96"/>
  <c r="V59" i="96"/>
  <c r="Z62" i="96"/>
  <c r="N66" i="96"/>
  <c r="V69" i="96"/>
  <c r="R76" i="96"/>
  <c r="J83" i="96"/>
  <c r="J85" i="96"/>
  <c r="J87" i="96"/>
  <c r="J89" i="96"/>
  <c r="N79" i="98"/>
  <c r="V20" i="95"/>
  <c r="V48" i="95"/>
  <c r="V60" i="95"/>
  <c r="V68" i="95"/>
  <c r="V80" i="95"/>
  <c r="V44" i="96"/>
  <c r="V47" i="96"/>
  <c r="J68" i="96"/>
  <c r="J71" i="96"/>
  <c r="R74" i="96"/>
  <c r="R81" i="96"/>
  <c r="J71" i="93"/>
  <c r="J85" i="93"/>
  <c r="J87" i="93"/>
  <c r="V38" i="94"/>
  <c r="V42" i="94"/>
  <c r="V46" i="94"/>
  <c r="V58" i="94"/>
  <c r="V66" i="94"/>
  <c r="V70" i="94"/>
  <c r="V29" i="95"/>
  <c r="V33" i="95"/>
  <c r="J37" i="95"/>
  <c r="J41" i="95"/>
  <c r="J45" i="95"/>
  <c r="V49" i="95"/>
  <c r="V57" i="95"/>
  <c r="V69" i="95"/>
  <c r="J73" i="95"/>
  <c r="J77" i="95"/>
  <c r="V19" i="96"/>
  <c r="H22" i="96"/>
  <c r="Z24" i="96"/>
  <c r="V25" i="96"/>
  <c r="R33" i="96"/>
  <c r="V37" i="96"/>
  <c r="J41" i="96"/>
  <c r="N46" i="96"/>
  <c r="V51" i="96"/>
  <c r="J53" i="96"/>
  <c r="R61" i="96"/>
  <c r="V64" i="96"/>
  <c r="X66" i="96"/>
  <c r="Z66" i="96" s="1"/>
  <c r="V81" i="96"/>
  <c r="V85" i="96"/>
  <c r="Z94" i="96"/>
  <c r="X66" i="94"/>
  <c r="Z66" i="94" s="1"/>
  <c r="V88" i="95"/>
  <c r="V38" i="95"/>
  <c r="V42" i="95"/>
  <c r="V46" i="95"/>
  <c r="V58" i="95"/>
  <c r="V66" i="95"/>
  <c r="V74" i="95"/>
  <c r="V78" i="95"/>
  <c r="J86" i="95"/>
  <c r="J94" i="96"/>
  <c r="J76" i="96"/>
  <c r="J72" i="96"/>
  <c r="J66" i="96"/>
  <c r="J95" i="96"/>
  <c r="J78" i="96"/>
  <c r="J56" i="96"/>
  <c r="J48" i="96"/>
  <c r="J42" i="96"/>
  <c r="J38" i="96"/>
  <c r="J105" i="96"/>
  <c r="J96" i="96"/>
  <c r="J88" i="96"/>
  <c r="J97" i="96"/>
  <c r="J79" i="96"/>
  <c r="J59" i="96"/>
  <c r="J51" i="96"/>
  <c r="J43" i="96"/>
  <c r="J39" i="96"/>
  <c r="J25" i="96"/>
  <c r="J98" i="96"/>
  <c r="J80" i="96"/>
  <c r="J74" i="96"/>
  <c r="J60" i="96"/>
  <c r="J52" i="96"/>
  <c r="J100" i="96"/>
  <c r="J90" i="96"/>
  <c r="J62" i="96"/>
  <c r="J44" i="96"/>
  <c r="J40" i="96"/>
  <c r="J36" i="96"/>
  <c r="J92" i="96"/>
  <c r="J86" i="96"/>
  <c r="J82" i="96"/>
  <c r="J70" i="96"/>
  <c r="J64" i="96"/>
  <c r="J54" i="96"/>
  <c r="J18" i="96"/>
  <c r="J22" i="96"/>
  <c r="V24" i="96"/>
  <c r="V33" i="96"/>
  <c r="V39" i="96"/>
  <c r="J46" i="96"/>
  <c r="J50" i="96"/>
  <c r="J55" i="96"/>
  <c r="Z56" i="96"/>
  <c r="V61" i="96"/>
  <c r="J63" i="96"/>
  <c r="J73" i="96"/>
  <c r="L80" i="96"/>
  <c r="N80" i="96" s="1"/>
  <c r="V83" i="96"/>
  <c r="V87" i="96"/>
  <c r="V89" i="96"/>
  <c r="D100" i="96"/>
  <c r="L100" i="96" s="1"/>
  <c r="V47" i="95"/>
  <c r="V55" i="95"/>
  <c r="V67" i="95"/>
  <c r="V79" i="95"/>
  <c r="R53" i="96"/>
  <c r="R68" i="96"/>
  <c r="R71" i="96"/>
  <c r="V105" i="96"/>
  <c r="J36" i="93"/>
  <c r="J40" i="93"/>
  <c r="J44" i="93"/>
  <c r="J62" i="93"/>
  <c r="V37" i="94"/>
  <c r="V41" i="94"/>
  <c r="V45" i="94"/>
  <c r="V57" i="94"/>
  <c r="V69" i="94"/>
  <c r="V73" i="94"/>
  <c r="V85" i="94"/>
  <c r="J26" i="95"/>
  <c r="V28" i="95"/>
  <c r="V32" i="95"/>
  <c r="J40" i="95"/>
  <c r="J44" i="95"/>
  <c r="J52" i="95"/>
  <c r="V56" i="95"/>
  <c r="J62" i="95"/>
  <c r="V64" i="95"/>
  <c r="J72" i="95"/>
  <c r="J76" i="95"/>
  <c r="J84" i="95"/>
  <c r="P22" i="96"/>
  <c r="N35" i="96"/>
  <c r="V41" i="96"/>
  <c r="X46" i="96"/>
  <c r="Z46" i="96" s="1"/>
  <c r="V53" i="96"/>
  <c r="J65" i="96"/>
  <c r="L26" i="95"/>
  <c r="V37" i="95"/>
  <c r="V41" i="95"/>
  <c r="V45" i="95"/>
  <c r="X56" i="95"/>
  <c r="L62" i="95"/>
  <c r="N62" i="95" s="1"/>
  <c r="V65" i="95"/>
  <c r="V73" i="95"/>
  <c r="V77" i="95"/>
  <c r="L84" i="95"/>
  <c r="R105" i="96"/>
  <c r="R73" i="96"/>
  <c r="R58" i="96"/>
  <c r="R57" i="96"/>
  <c r="R97" i="96"/>
  <c r="R96" i="96"/>
  <c r="R80" i="96"/>
  <c r="R79" i="96"/>
  <c r="R60" i="96"/>
  <c r="R59" i="96"/>
  <c r="R52" i="96"/>
  <c r="R51" i="96"/>
  <c r="R43" i="96"/>
  <c r="R39" i="96"/>
  <c r="R24" i="96"/>
  <c r="R98" i="96"/>
  <c r="R90" i="96"/>
  <c r="R89" i="96"/>
  <c r="R85" i="96"/>
  <c r="R101" i="96"/>
  <c r="R44" i="96"/>
  <c r="R40" i="96"/>
  <c r="R36" i="96"/>
  <c r="R17" i="96"/>
  <c r="R92" i="96"/>
  <c r="R91" i="96"/>
  <c r="R75" i="96"/>
  <c r="R64" i="96"/>
  <c r="R63" i="96"/>
  <c r="R94" i="96"/>
  <c r="R93" i="96"/>
  <c r="R66" i="96"/>
  <c r="R65" i="96"/>
  <c r="R46" i="96"/>
  <c r="R45" i="96"/>
  <c r="R41" i="96"/>
  <c r="R37" i="96"/>
  <c r="R95" i="96"/>
  <c r="R87" i="96"/>
  <c r="R83" i="96"/>
  <c r="R67" i="96"/>
  <c r="R56" i="96"/>
  <c r="R55" i="96"/>
  <c r="R48" i="96"/>
  <c r="R47" i="96"/>
  <c r="R19" i="96"/>
  <c r="R18" i="96"/>
  <c r="T103" i="96"/>
  <c r="V103" i="96" s="1"/>
  <c r="R32" i="96"/>
  <c r="V55" i="96"/>
  <c r="R70" i="96"/>
  <c r="V73" i="96"/>
  <c r="V18" i="95"/>
  <c r="V54" i="95"/>
  <c r="J82" i="95"/>
  <c r="V100" i="96"/>
  <c r="V96" i="96"/>
  <c r="V88" i="96"/>
  <c r="V84" i="96"/>
  <c r="V80" i="96"/>
  <c r="V68" i="96"/>
  <c r="V60" i="96"/>
  <c r="V98" i="96"/>
  <c r="V90" i="96"/>
  <c r="V74" i="96"/>
  <c r="V62" i="96"/>
  <c r="V34" i="96"/>
  <c r="V30" i="96"/>
  <c r="V26" i="96"/>
  <c r="V101" i="96"/>
  <c r="V92" i="96"/>
  <c r="V91" i="96"/>
  <c r="V75" i="96"/>
  <c r="V71" i="96"/>
  <c r="V63" i="96"/>
  <c r="V31" i="96"/>
  <c r="V27" i="96"/>
  <c r="V94" i="96"/>
  <c r="V86" i="96"/>
  <c r="V82" i="96"/>
  <c r="V70" i="96"/>
  <c r="V66" i="96"/>
  <c r="V54" i="96"/>
  <c r="V93" i="96"/>
  <c r="V76" i="96"/>
  <c r="V72" i="96"/>
  <c r="V56" i="96"/>
  <c r="V48" i="96"/>
  <c r="V32" i="96"/>
  <c r="V28" i="96"/>
  <c r="V78" i="96"/>
  <c r="V58" i="96"/>
  <c r="V50" i="96"/>
  <c r="V42" i="96"/>
  <c r="V38" i="96"/>
  <c r="Z12" i="96"/>
  <c r="V18" i="96"/>
  <c r="V22" i="96"/>
  <c r="R29" i="96"/>
  <c r="V46" i="96"/>
  <c r="R49" i="96"/>
  <c r="R50" i="96"/>
  <c r="Z58" i="96"/>
  <c r="Z80" i="96"/>
  <c r="J84" i="96"/>
  <c r="T23" i="98"/>
  <c r="V40" i="98"/>
  <c r="Z47" i="98"/>
  <c r="X47" i="98"/>
  <c r="J49" i="98"/>
  <c r="V52" i="98"/>
  <c r="J54" i="98"/>
  <c r="L57" i="98"/>
  <c r="V60" i="98"/>
  <c r="J62" i="98"/>
  <c r="Z63" i="98"/>
  <c r="J65" i="98"/>
  <c r="Z76" i="98"/>
  <c r="J84" i="98"/>
  <c r="Z87" i="98"/>
  <c r="J89" i="98"/>
  <c r="V27" i="98"/>
  <c r="V31" i="98"/>
  <c r="V44" i="98"/>
  <c r="V46" i="98"/>
  <c r="J56" i="98"/>
  <c r="X68" i="98"/>
  <c r="V75" i="98"/>
  <c r="V54" i="98"/>
  <c r="V62" i="98"/>
  <c r="J46" i="99"/>
  <c r="J36" i="99"/>
  <c r="J30" i="99"/>
  <c r="J26" i="99"/>
  <c r="J41" i="99"/>
  <c r="J43" i="99"/>
  <c r="J34" i="99"/>
  <c r="J23" i="99"/>
  <c r="J21" i="99"/>
  <c r="J19" i="99"/>
  <c r="H19" i="99"/>
  <c r="J52" i="99"/>
  <c r="J27" i="99"/>
  <c r="J39" i="99"/>
  <c r="J31" i="99"/>
  <c r="J24" i="99"/>
  <c r="J48" i="99"/>
  <c r="J35" i="99"/>
  <c r="J40" i="99"/>
  <c r="J32" i="99"/>
  <c r="J28" i="99"/>
  <c r="J25" i="99"/>
  <c r="J54" i="99"/>
  <c r="J44" i="99"/>
  <c r="N12" i="99"/>
  <c r="J50" i="99"/>
  <c r="J33" i="99"/>
  <c r="J37" i="99"/>
  <c r="J17" i="99"/>
  <c r="J57" i="99"/>
  <c r="J42" i="99"/>
  <c r="J38" i="99"/>
  <c r="J22" i="99"/>
  <c r="L46" i="101"/>
  <c r="N46" i="101" s="1"/>
  <c r="J91" i="98"/>
  <c r="J79" i="98"/>
  <c r="J73" i="98"/>
  <c r="J47" i="98"/>
  <c r="J33" i="98"/>
  <c r="J29" i="98"/>
  <c r="J92" i="98"/>
  <c r="J94" i="98"/>
  <c r="J85" i="98"/>
  <c r="J81" i="98"/>
  <c r="J69" i="98"/>
  <c r="J59" i="98"/>
  <c r="J51" i="98"/>
  <c r="J21" i="98"/>
  <c r="J98" i="98"/>
  <c r="J60" i="98"/>
  <c r="J52" i="98"/>
  <c r="J44" i="98"/>
  <c r="J40" i="98"/>
  <c r="J75" i="98"/>
  <c r="J61" i="98"/>
  <c r="J53" i="98"/>
  <c r="J35" i="98"/>
  <c r="J31" i="98"/>
  <c r="J27" i="98"/>
  <c r="J25" i="98"/>
  <c r="J87" i="98"/>
  <c r="J77" i="98"/>
  <c r="J63" i="98"/>
  <c r="J45" i="98"/>
  <c r="J41" i="98"/>
  <c r="J37" i="98"/>
  <c r="J88" i="98"/>
  <c r="J64" i="98"/>
  <c r="J32" i="98"/>
  <c r="J28" i="98"/>
  <c r="J34" i="98"/>
  <c r="J43" i="98"/>
  <c r="V70" i="98"/>
  <c r="L79" i="98"/>
  <c r="J90" i="98"/>
  <c r="X91" i="98"/>
  <c r="Z91" i="98" s="1"/>
  <c r="P100" i="96"/>
  <c r="X100" i="96" s="1"/>
  <c r="J20" i="98"/>
  <c r="L25" i="98"/>
  <c r="N25" i="98" s="1"/>
  <c r="J30" i="98"/>
  <c r="V39" i="98"/>
  <c r="X51" i="98"/>
  <c r="N53" i="98"/>
  <c r="L53" i="98"/>
  <c r="X59" i="98"/>
  <c r="N61" i="98"/>
  <c r="L61" i="98"/>
  <c r="V67" i="98"/>
  <c r="J72" i="98"/>
  <c r="J74" i="98"/>
  <c r="J29" i="99"/>
  <c r="J36" i="98"/>
  <c r="J38" i="98"/>
  <c r="Z51" i="98"/>
  <c r="J58" i="98"/>
  <c r="J66" i="98"/>
  <c r="J83" i="98"/>
  <c r="N25" i="101"/>
  <c r="J25" i="101"/>
  <c r="L25" i="101"/>
  <c r="V85" i="98"/>
  <c r="V81" i="98"/>
  <c r="V69" i="98"/>
  <c r="V61" i="98"/>
  <c r="V53" i="98"/>
  <c r="V25" i="98"/>
  <c r="V21" i="98"/>
  <c r="V98" i="98"/>
  <c r="V86" i="98"/>
  <c r="V82" i="98"/>
  <c r="V89" i="98"/>
  <c r="V77" i="98"/>
  <c r="V65" i="98"/>
  <c r="V45" i="98"/>
  <c r="V41" i="98"/>
  <c r="V37" i="98"/>
  <c r="V88" i="98"/>
  <c r="V72" i="98"/>
  <c r="V64" i="98"/>
  <c r="V32" i="98"/>
  <c r="V91" i="98"/>
  <c r="V83" i="98"/>
  <c r="V79" i="98"/>
  <c r="V71" i="98"/>
  <c r="V55" i="98"/>
  <c r="V47" i="98"/>
  <c r="V19" i="98"/>
  <c r="V73" i="98"/>
  <c r="V57" i="98"/>
  <c r="V49" i="98"/>
  <c r="V33" i="98"/>
  <c r="V29" i="98"/>
  <c r="V94" i="98"/>
  <c r="V92" i="98"/>
  <c r="V84" i="98"/>
  <c r="V80" i="98"/>
  <c r="V68" i="98"/>
  <c r="V56" i="98"/>
  <c r="V48" i="98"/>
  <c r="V34" i="98"/>
  <c r="V51" i="98"/>
  <c r="V59" i="98"/>
  <c r="J76" i="98"/>
  <c r="J78" i="98"/>
  <c r="X79" i="98"/>
  <c r="Z79" i="98" s="1"/>
  <c r="V90" i="98"/>
  <c r="V71" i="101"/>
  <c r="V59" i="101"/>
  <c r="V47" i="101"/>
  <c r="V63" i="101"/>
  <c r="V62" i="101"/>
  <c r="V46" i="101"/>
  <c r="V60" i="101"/>
  <c r="V56" i="101"/>
  <c r="V44" i="101"/>
  <c r="V40" i="101"/>
  <c r="V36" i="101"/>
  <c r="T23" i="101"/>
  <c r="V72" i="101"/>
  <c r="V64" i="101"/>
  <c r="V69" i="101"/>
  <c r="V67" i="101"/>
  <c r="V61" i="101"/>
  <c r="V45" i="101"/>
  <c r="V41" i="101"/>
  <c r="V37" i="101"/>
  <c r="V73" i="101"/>
  <c r="V65" i="101"/>
  <c r="V57" i="101"/>
  <c r="V52" i="101"/>
  <c r="V51" i="101"/>
  <c r="V19" i="101"/>
  <c r="V54" i="101"/>
  <c r="V48" i="101"/>
  <c r="V80" i="101"/>
  <c r="V75" i="101"/>
  <c r="V70" i="101"/>
  <c r="V53" i="101"/>
  <c r="V33" i="101"/>
  <c r="V29" i="101"/>
  <c r="V58" i="101"/>
  <c r="V20" i="101"/>
  <c r="V76" i="101"/>
  <c r="V68" i="101"/>
  <c r="V66" i="101"/>
  <c r="V49" i="101"/>
  <c r="V34" i="101"/>
  <c r="V30" i="101"/>
  <c r="V26" i="101"/>
  <c r="V55" i="101"/>
  <c r="V50" i="101"/>
  <c r="V25" i="101"/>
  <c r="V21" i="101"/>
  <c r="V27" i="101"/>
  <c r="V18" i="101"/>
  <c r="V38" i="101"/>
  <c r="V43" i="101"/>
  <c r="V32" i="101"/>
  <c r="V28" i="101"/>
  <c r="V39" i="101"/>
  <c r="V42" i="101"/>
  <c r="V31" i="101"/>
  <c r="Z12" i="98"/>
  <c r="H23" i="98"/>
  <c r="J23" i="98" s="1"/>
  <c r="V26" i="98"/>
  <c r="V28" i="98"/>
  <c r="V30" i="98"/>
  <c r="V38" i="98"/>
  <c r="J42" i="98"/>
  <c r="V43" i="98"/>
  <c r="J55" i="98"/>
  <c r="V66" i="98"/>
  <c r="V74" i="98"/>
  <c r="J16" i="99"/>
  <c r="L17" i="100"/>
  <c r="V20" i="98"/>
  <c r="V58" i="98"/>
  <c r="N63" i="98"/>
  <c r="J71" i="98"/>
  <c r="V78" i="98"/>
  <c r="N87" i="98"/>
  <c r="D12" i="98"/>
  <c r="V36" i="98"/>
  <c r="V50" i="98"/>
  <c r="L65" i="98"/>
  <c r="N65" i="98" s="1"/>
  <c r="J80" i="98"/>
  <c r="L89" i="98"/>
  <c r="J45" i="99"/>
  <c r="V24" i="99"/>
  <c r="V27" i="99"/>
  <c r="R55" i="100"/>
  <c r="R45" i="100"/>
  <c r="R44" i="100"/>
  <c r="R28" i="100"/>
  <c r="R24" i="100"/>
  <c r="R47" i="100"/>
  <c r="R46" i="100"/>
  <c r="R38" i="100"/>
  <c r="R34" i="100"/>
  <c r="R19" i="100"/>
  <c r="R17" i="100"/>
  <c r="R30" i="100"/>
  <c r="R29" i="100"/>
  <c r="R25" i="100"/>
  <c r="R21" i="100"/>
  <c r="P17" i="100"/>
  <c r="X19" i="100"/>
  <c r="Z19" i="100" s="1"/>
  <c r="R35" i="100"/>
  <c r="J40" i="100"/>
  <c r="R41" i="100"/>
  <c r="V45" i="100"/>
  <c r="V53" i="100"/>
  <c r="L48" i="101"/>
  <c r="N48" i="101" s="1"/>
  <c r="L65" i="101"/>
  <c r="N65" i="101" s="1"/>
  <c r="N26" i="104"/>
  <c r="L26" i="104"/>
  <c r="J26" i="104"/>
  <c r="D12" i="99"/>
  <c r="V31" i="99"/>
  <c r="L38" i="99"/>
  <c r="V40" i="100"/>
  <c r="V36" i="100"/>
  <c r="V32" i="100"/>
  <c r="Z12" i="100"/>
  <c r="V47" i="100"/>
  <c r="V19" i="100"/>
  <c r="V17" i="100"/>
  <c r="V15" i="100"/>
  <c r="V29" i="100"/>
  <c r="V25" i="100"/>
  <c r="V21" i="100"/>
  <c r="V50" i="100"/>
  <c r="V48" i="100"/>
  <c r="T17" i="100"/>
  <c r="V24" i="100"/>
  <c r="R32" i="100"/>
  <c r="J34" i="100"/>
  <c r="V35" i="100"/>
  <c r="R48" i="100"/>
  <c r="P12" i="101"/>
  <c r="V23" i="99"/>
  <c r="V34" i="99"/>
  <c r="R40" i="100"/>
  <c r="T19" i="99"/>
  <c r="N20" i="100"/>
  <c r="J39" i="100"/>
  <c r="J46" i="100"/>
  <c r="R51" i="100"/>
  <c r="V55" i="100"/>
  <c r="Z56" i="101"/>
  <c r="Z71" i="101"/>
  <c r="N75" i="101"/>
  <c r="P12" i="99"/>
  <c r="V17" i="99"/>
  <c r="V19" i="99"/>
  <c r="V21" i="99"/>
  <c r="L31" i="99"/>
  <c r="R15" i="100"/>
  <c r="J20" i="100"/>
  <c r="R23" i="100"/>
  <c r="J25" i="100"/>
  <c r="R31" i="100"/>
  <c r="J36" i="100"/>
  <c r="N50" i="100"/>
  <c r="V51" i="100"/>
  <c r="D12" i="101"/>
  <c r="L18" i="101"/>
  <c r="N18" i="101" s="1"/>
  <c r="J18" i="101"/>
  <c r="L59" i="101"/>
  <c r="N59" i="101" s="1"/>
  <c r="J59" i="101"/>
  <c r="L18" i="102"/>
  <c r="D12" i="102"/>
  <c r="V57" i="99"/>
  <c r="V54" i="99"/>
  <c r="V52" i="99"/>
  <c r="V42" i="99"/>
  <c r="V45" i="99"/>
  <c r="V35" i="99"/>
  <c r="V50" i="99"/>
  <c r="V48" i="99"/>
  <c r="V46" i="99"/>
  <c r="V38" i="99"/>
  <c r="V30" i="99"/>
  <c r="V26" i="99"/>
  <c r="V22" i="99"/>
  <c r="V29" i="99"/>
  <c r="V41" i="99"/>
  <c r="J42" i="100"/>
  <c r="L45" i="100"/>
  <c r="D53" i="100"/>
  <c r="R60" i="100"/>
  <c r="X59" i="101"/>
  <c r="N59" i="102"/>
  <c r="L59" i="102"/>
  <c r="V44" i="99"/>
  <c r="J19" i="100"/>
  <c r="Z59" i="101"/>
  <c r="J22" i="100"/>
  <c r="J38" i="100"/>
  <c r="J53" i="100"/>
  <c r="H78" i="101"/>
  <c r="J23" i="101"/>
  <c r="Z28" i="102"/>
  <c r="V25" i="99"/>
  <c r="V28" i="99"/>
  <c r="X48" i="99"/>
  <c r="J35" i="100"/>
  <c r="R42" i="100"/>
  <c r="V43" i="100"/>
  <c r="H96" i="102"/>
  <c r="J48" i="100"/>
  <c r="J30" i="100"/>
  <c r="H17" i="100"/>
  <c r="J51" i="100"/>
  <c r="J50" i="100"/>
  <c r="J55" i="100"/>
  <c r="J41" i="100"/>
  <c r="J27" i="100"/>
  <c r="J23" i="100"/>
  <c r="L12" i="100"/>
  <c r="J60" i="100"/>
  <c r="J57" i="100"/>
  <c r="J43" i="100"/>
  <c r="J37" i="100"/>
  <c r="J33" i="100"/>
  <c r="J44" i="100"/>
  <c r="J28" i="100"/>
  <c r="J24" i="100"/>
  <c r="J14" i="100"/>
  <c r="J17" i="100"/>
  <c r="J29" i="100"/>
  <c r="J32" i="100"/>
  <c r="J26" i="100"/>
  <c r="N50" i="101"/>
  <c r="F33" i="100"/>
  <c r="F37" i="100"/>
  <c r="J29" i="101"/>
  <c r="J33" i="101"/>
  <c r="J53" i="101"/>
  <c r="J58" i="101"/>
  <c r="N71" i="101"/>
  <c r="J22" i="102"/>
  <c r="J32" i="102"/>
  <c r="V33" i="102"/>
  <c r="J35" i="102"/>
  <c r="J45" i="102"/>
  <c r="Z63" i="102"/>
  <c r="Z90" i="102"/>
  <c r="X90" i="102"/>
  <c r="F41" i="100"/>
  <c r="F42" i="100"/>
  <c r="J76" i="101"/>
  <c r="J75" i="101"/>
  <c r="J55" i="101"/>
  <c r="J69" i="101"/>
  <c r="J63" i="101"/>
  <c r="J57" i="101"/>
  <c r="J67" i="101"/>
  <c r="J52" i="101"/>
  <c r="J38" i="101"/>
  <c r="J42" i="101"/>
  <c r="J47" i="101"/>
  <c r="J70" i="101"/>
  <c r="J80" i="101"/>
  <c r="V84" i="102"/>
  <c r="V80" i="102"/>
  <c r="V75" i="102"/>
  <c r="V67" i="102"/>
  <c r="V59" i="102"/>
  <c r="V35" i="102"/>
  <c r="V31" i="102"/>
  <c r="V98" i="102"/>
  <c r="V86" i="102"/>
  <c r="V74" i="102"/>
  <c r="V58" i="102"/>
  <c r="V50" i="102"/>
  <c r="V81" i="102"/>
  <c r="V77" i="102"/>
  <c r="V69" i="102"/>
  <c r="V61" i="102"/>
  <c r="V49" i="102"/>
  <c r="V45" i="102"/>
  <c r="V41" i="102"/>
  <c r="V88" i="102"/>
  <c r="V76" i="102"/>
  <c r="V68" i="102"/>
  <c r="V60" i="102"/>
  <c r="V52" i="102"/>
  <c r="V36" i="102"/>
  <c r="V32" i="102"/>
  <c r="V28" i="102"/>
  <c r="V87" i="102"/>
  <c r="V63" i="102"/>
  <c r="V90" i="102"/>
  <c r="V82" i="102"/>
  <c r="V93" i="102"/>
  <c r="V91" i="102"/>
  <c r="V83" i="102"/>
  <c r="V79" i="102"/>
  <c r="V71" i="102"/>
  <c r="V55" i="102"/>
  <c r="V47" i="102"/>
  <c r="V43" i="102"/>
  <c r="V39" i="102"/>
  <c r="V94" i="102"/>
  <c r="V66" i="102"/>
  <c r="V38" i="102"/>
  <c r="V34" i="102"/>
  <c r="V30" i="102"/>
  <c r="V20" i="102"/>
  <c r="Z27" i="102"/>
  <c r="Z65" i="102"/>
  <c r="F28" i="104"/>
  <c r="F85" i="104"/>
  <c r="F32" i="100"/>
  <c r="F36" i="100"/>
  <c r="F40" i="100"/>
  <c r="F53" i="100"/>
  <c r="J28" i="101"/>
  <c r="J32" i="101"/>
  <c r="J46" i="101"/>
  <c r="J51" i="101"/>
  <c r="J65" i="101"/>
  <c r="J73" i="101"/>
  <c r="V22" i="102"/>
  <c r="J25" i="102"/>
  <c r="J37" i="102"/>
  <c r="X52" i="102"/>
  <c r="V57" i="102"/>
  <c r="J59" i="102"/>
  <c r="N75" i="102"/>
  <c r="V89" i="102"/>
  <c r="V49" i="104"/>
  <c r="L56" i="105"/>
  <c r="N56" i="105" s="1"/>
  <c r="Z48" i="101"/>
  <c r="J75" i="102"/>
  <c r="N85" i="102"/>
  <c r="V40" i="104"/>
  <c r="Z52" i="102"/>
  <c r="J68" i="102"/>
  <c r="J50" i="101"/>
  <c r="J64" i="101"/>
  <c r="Z65" i="101"/>
  <c r="J72" i="101"/>
  <c r="J78" i="101"/>
  <c r="T25" i="102"/>
  <c r="V29" i="102"/>
  <c r="J31" i="102"/>
  <c r="Z85" i="102"/>
  <c r="T63" i="103"/>
  <c r="Z16" i="103"/>
  <c r="T65" i="105"/>
  <c r="V65" i="105" s="1"/>
  <c r="L50" i="101"/>
  <c r="P12" i="102"/>
  <c r="N39" i="102"/>
  <c r="J81" i="102"/>
  <c r="J52" i="103"/>
  <c r="J42" i="103"/>
  <c r="J36" i="103"/>
  <c r="J32" i="103"/>
  <c r="J65" i="103"/>
  <c r="J43" i="103"/>
  <c r="J27" i="103"/>
  <c r="J23" i="103"/>
  <c r="J70" i="103"/>
  <c r="J67" i="103"/>
  <c r="J53" i="103"/>
  <c r="J45" i="103"/>
  <c r="J56" i="103"/>
  <c r="J48" i="103"/>
  <c r="J38" i="103"/>
  <c r="J34" i="103"/>
  <c r="J30" i="103"/>
  <c r="J57" i="103"/>
  <c r="J49" i="103"/>
  <c r="J50" i="103"/>
  <c r="J31" i="103"/>
  <c r="J24" i="103"/>
  <c r="H16" i="103"/>
  <c r="J63" i="103"/>
  <c r="J55" i="103"/>
  <c r="J44" i="103"/>
  <c r="J40" i="103"/>
  <c r="J37" i="103"/>
  <c r="J21" i="103"/>
  <c r="J47" i="103"/>
  <c r="J28" i="103"/>
  <c r="J59" i="103"/>
  <c r="J25" i="103"/>
  <c r="J51" i="103"/>
  <c r="J41" i="103"/>
  <c r="J35" i="103"/>
  <c r="J22" i="103"/>
  <c r="J29" i="103"/>
  <c r="J26" i="103"/>
  <c r="N12" i="103"/>
  <c r="J61" i="103"/>
  <c r="J19" i="103"/>
  <c r="J58" i="103"/>
  <c r="J46" i="103"/>
  <c r="J39" i="103"/>
  <c r="J20" i="103"/>
  <c r="J18" i="103"/>
  <c r="J16" i="103"/>
  <c r="J14" i="103"/>
  <c r="F20" i="100"/>
  <c r="F21" i="100"/>
  <c r="F25" i="100"/>
  <c r="J21" i="101"/>
  <c r="J35" i="101"/>
  <c r="X13" i="102"/>
  <c r="Z13" i="102" s="1"/>
  <c r="L27" i="102"/>
  <c r="N27" i="102" s="1"/>
  <c r="X28" i="102"/>
  <c r="J33" i="102"/>
  <c r="V51" i="102"/>
  <c r="J53" i="102"/>
  <c r="L12" i="103"/>
  <c r="X46" i="103"/>
  <c r="Z46" i="103" s="1"/>
  <c r="F46" i="104"/>
  <c r="H92" i="104"/>
  <c r="J23" i="104"/>
  <c r="L63" i="101"/>
  <c r="N63" i="101" s="1"/>
  <c r="J71" i="101"/>
  <c r="J27" i="102"/>
  <c r="P63" i="103"/>
  <c r="X16" i="103"/>
  <c r="J33" i="103"/>
  <c r="V71" i="104"/>
  <c r="V82" i="104"/>
  <c r="V81" i="104"/>
  <c r="V77" i="104"/>
  <c r="V73" i="104"/>
  <c r="V57" i="104"/>
  <c r="V33" i="104"/>
  <c r="V29" i="104"/>
  <c r="V94" i="104"/>
  <c r="V84" i="104"/>
  <c r="V72" i="104"/>
  <c r="V68" i="104"/>
  <c r="V60" i="104"/>
  <c r="V48" i="104"/>
  <c r="V20" i="104"/>
  <c r="V83" i="104"/>
  <c r="V86" i="104"/>
  <c r="V78" i="104"/>
  <c r="V74" i="104"/>
  <c r="V62" i="104"/>
  <c r="V50" i="104"/>
  <c r="V34" i="104"/>
  <c r="V30" i="104"/>
  <c r="V26" i="104"/>
  <c r="V85" i="104"/>
  <c r="V69" i="104"/>
  <c r="V61" i="104"/>
  <c r="V64" i="104"/>
  <c r="V52" i="104"/>
  <c r="V87" i="104"/>
  <c r="V79" i="104"/>
  <c r="V75" i="104"/>
  <c r="V63" i="104"/>
  <c r="V51" i="104"/>
  <c r="V35" i="104"/>
  <c r="V31" i="104"/>
  <c r="V27" i="104"/>
  <c r="V70" i="104"/>
  <c r="V54" i="104"/>
  <c r="V18" i="104"/>
  <c r="V65" i="104"/>
  <c r="V53" i="104"/>
  <c r="V45" i="104"/>
  <c r="V41" i="104"/>
  <c r="V37" i="104"/>
  <c r="V67" i="104"/>
  <c r="V47" i="104"/>
  <c r="V88" i="104"/>
  <c r="V55" i="104"/>
  <c r="V36" i="104"/>
  <c r="V43" i="104"/>
  <c r="V25" i="104"/>
  <c r="V76" i="104"/>
  <c r="V58" i="104"/>
  <c r="V32" i="104"/>
  <c r="V56" i="104"/>
  <c r="V39" i="104"/>
  <c r="V28" i="104"/>
  <c r="V66" i="104"/>
  <c r="V21" i="104"/>
  <c r="V90" i="104"/>
  <c r="V46" i="104"/>
  <c r="V44" i="104"/>
  <c r="V38" i="104"/>
  <c r="V80" i="104"/>
  <c r="V59" i="104"/>
  <c r="T23" i="104"/>
  <c r="V23" i="104" s="1"/>
  <c r="F87" i="104"/>
  <c r="F86" i="104"/>
  <c r="F79" i="104"/>
  <c r="F75" i="104"/>
  <c r="F70" i="104"/>
  <c r="F25" i="104"/>
  <c r="F23" i="104"/>
  <c r="F65" i="104"/>
  <c r="F64" i="104"/>
  <c r="F53" i="104"/>
  <c r="F52" i="104"/>
  <c r="F45" i="104"/>
  <c r="F41" i="104"/>
  <c r="D23" i="104"/>
  <c r="F88" i="104"/>
  <c r="F80" i="104"/>
  <c r="F76" i="104"/>
  <c r="F71" i="104"/>
  <c r="F55" i="104"/>
  <c r="F54" i="104"/>
  <c r="F19" i="104"/>
  <c r="F18" i="104"/>
  <c r="F66" i="104"/>
  <c r="F90" i="104"/>
  <c r="F81" i="104"/>
  <c r="F77" i="104"/>
  <c r="F57" i="104"/>
  <c r="F56" i="104"/>
  <c r="F94" i="104"/>
  <c r="F72" i="104"/>
  <c r="F20" i="104"/>
  <c r="F83" i="104"/>
  <c r="F82" i="104"/>
  <c r="F67" i="104"/>
  <c r="F59" i="104"/>
  <c r="F58" i="104"/>
  <c r="F47" i="104"/>
  <c r="F43" i="104"/>
  <c r="F39" i="104"/>
  <c r="F78" i="104"/>
  <c r="F74" i="104"/>
  <c r="F73" i="104"/>
  <c r="F34" i="104"/>
  <c r="F30" i="104"/>
  <c r="F61" i="104"/>
  <c r="F49" i="104"/>
  <c r="F40" i="104"/>
  <c r="F38" i="104"/>
  <c r="F31" i="104"/>
  <c r="F29" i="104"/>
  <c r="F69" i="104"/>
  <c r="F27" i="104"/>
  <c r="F84" i="104"/>
  <c r="F50" i="104"/>
  <c r="F36" i="104"/>
  <c r="F62" i="104"/>
  <c r="F60" i="104"/>
  <c r="F68" i="104"/>
  <c r="F51" i="104"/>
  <c r="F48" i="104"/>
  <c r="F32" i="104"/>
  <c r="F44" i="104"/>
  <c r="F26" i="104"/>
  <c r="F21" i="104"/>
  <c r="F63" i="104"/>
  <c r="F42" i="104"/>
  <c r="F35" i="104"/>
  <c r="F33" i="104"/>
  <c r="F37" i="104"/>
  <c r="J68" i="101"/>
  <c r="J89" i="102"/>
  <c r="J90" i="102"/>
  <c r="J64" i="102"/>
  <c r="J54" i="102"/>
  <c r="J91" i="102"/>
  <c r="J83" i="102"/>
  <c r="J79" i="102"/>
  <c r="J71" i="102"/>
  <c r="J65" i="102"/>
  <c r="J55" i="102"/>
  <c r="J47" i="102"/>
  <c r="J43" i="102"/>
  <c r="J72" i="102"/>
  <c r="J66" i="102"/>
  <c r="J56" i="102"/>
  <c r="J38" i="102"/>
  <c r="J94" i="102"/>
  <c r="J93" i="102"/>
  <c r="J73" i="102"/>
  <c r="J57" i="102"/>
  <c r="J39" i="102"/>
  <c r="J21" i="102"/>
  <c r="J84" i="102"/>
  <c r="J80" i="102"/>
  <c r="J48" i="102"/>
  <c r="J44" i="102"/>
  <c r="J40" i="102"/>
  <c r="J85" i="102"/>
  <c r="J67" i="102"/>
  <c r="J98" i="102"/>
  <c r="J86" i="102"/>
  <c r="J87" i="102"/>
  <c r="J77" i="102"/>
  <c r="J69" i="102"/>
  <c r="J61" i="102"/>
  <c r="J51" i="102"/>
  <c r="J23" i="102"/>
  <c r="J88" i="102"/>
  <c r="J82" i="102"/>
  <c r="J78" i="102"/>
  <c r="J70" i="102"/>
  <c r="J62" i="102"/>
  <c r="J52" i="102"/>
  <c r="J46" i="102"/>
  <c r="J42" i="102"/>
  <c r="J28" i="102"/>
  <c r="X54" i="102"/>
  <c r="Z54" i="102" s="1"/>
  <c r="V70" i="102"/>
  <c r="V72" i="102"/>
  <c r="J76" i="102"/>
  <c r="Z77" i="102"/>
  <c r="R21" i="103"/>
  <c r="R34" i="103"/>
  <c r="V37" i="103"/>
  <c r="R44" i="103"/>
  <c r="R55" i="103"/>
  <c r="Z84" i="104"/>
  <c r="H72" i="105"/>
  <c r="J72" i="105" s="1"/>
  <c r="F41" i="103"/>
  <c r="F40" i="103"/>
  <c r="F63" i="103"/>
  <c r="F61" i="103"/>
  <c r="F52" i="103"/>
  <c r="F36" i="103"/>
  <c r="F32" i="103"/>
  <c r="F55" i="103"/>
  <c r="F54" i="103"/>
  <c r="F47" i="103"/>
  <c r="F46" i="103"/>
  <c r="F38" i="103"/>
  <c r="F33" i="103"/>
  <c r="V34" i="103"/>
  <c r="Z44" i="103"/>
  <c r="N46" i="103"/>
  <c r="F49" i="103"/>
  <c r="R50" i="103"/>
  <c r="Z50" i="104"/>
  <c r="N37" i="104"/>
  <c r="R54" i="103"/>
  <c r="R53" i="103"/>
  <c r="R46" i="103"/>
  <c r="R45" i="103"/>
  <c r="R37" i="103"/>
  <c r="R33" i="103"/>
  <c r="R29" i="103"/>
  <c r="R28" i="103"/>
  <c r="R24" i="103"/>
  <c r="R59" i="103"/>
  <c r="R51" i="103"/>
  <c r="R40" i="103"/>
  <c r="R39" i="103"/>
  <c r="R35" i="103"/>
  <c r="R31" i="103"/>
  <c r="R63" i="103"/>
  <c r="R61" i="103"/>
  <c r="R19" i="103"/>
  <c r="R23" i="103"/>
  <c r="R30" i="103"/>
  <c r="F35" i="103"/>
  <c r="F51" i="103"/>
  <c r="F56" i="103"/>
  <c r="J25" i="104"/>
  <c r="V56" i="103"/>
  <c r="V48" i="103"/>
  <c r="V28" i="103"/>
  <c r="V55" i="103"/>
  <c r="V47" i="103"/>
  <c r="V57" i="103"/>
  <c r="V49" i="103"/>
  <c r="V42" i="103"/>
  <c r="V26" i="103"/>
  <c r="V41" i="103"/>
  <c r="V14" i="103"/>
  <c r="V16" i="103"/>
  <c r="V18" i="103"/>
  <c r="V23" i="103"/>
  <c r="F25" i="103"/>
  <c r="V30" i="103"/>
  <c r="R38" i="103"/>
  <c r="V45" i="103"/>
  <c r="F53" i="103"/>
  <c r="V54" i="103"/>
  <c r="R57" i="103"/>
  <c r="F59" i="103"/>
  <c r="V61" i="103"/>
  <c r="R65" i="103"/>
  <c r="L25" i="104"/>
  <c r="N25" i="104" s="1"/>
  <c r="Z26" i="104"/>
  <c r="X37" i="104"/>
  <c r="X56" i="104"/>
  <c r="Z56" i="104" s="1"/>
  <c r="N62" i="104"/>
  <c r="X68" i="104"/>
  <c r="X25" i="105"/>
  <c r="X12" i="103"/>
  <c r="V19" i="103"/>
  <c r="R26" i="103"/>
  <c r="F28" i="103"/>
  <c r="V38" i="103"/>
  <c r="R42" i="103"/>
  <c r="V65" i="103"/>
  <c r="R70" i="103"/>
  <c r="X48" i="104"/>
  <c r="Z48" i="104" s="1"/>
  <c r="X60" i="104"/>
  <c r="Z60" i="104" s="1"/>
  <c r="Z68" i="104"/>
  <c r="Z25" i="105"/>
  <c r="R32" i="103"/>
  <c r="R48" i="103"/>
  <c r="Z37" i="104"/>
  <c r="D16" i="103"/>
  <c r="R22" i="103"/>
  <c r="V32" i="103"/>
  <c r="F34" i="103"/>
  <c r="V35" i="103"/>
  <c r="R41" i="103"/>
  <c r="N44" i="103"/>
  <c r="F50" i="103"/>
  <c r="V51" i="103"/>
  <c r="L58" i="103"/>
  <c r="V59" i="103"/>
  <c r="V70" i="103"/>
  <c r="P12" i="104"/>
  <c r="X13" i="104"/>
  <c r="N50" i="104"/>
  <c r="L50" i="104"/>
  <c r="Z62" i="104"/>
  <c r="R25" i="103"/>
  <c r="R47" i="103"/>
  <c r="N50" i="103"/>
  <c r="R56" i="103"/>
  <c r="Z25" i="104"/>
  <c r="N58" i="103"/>
  <c r="X50" i="106"/>
  <c r="Z50" i="106" s="1"/>
  <c r="J49" i="104"/>
  <c r="J61" i="104"/>
  <c r="L62" i="104"/>
  <c r="J69" i="104"/>
  <c r="J85" i="104"/>
  <c r="L86" i="104"/>
  <c r="N86" i="104" s="1"/>
  <c r="X90" i="104"/>
  <c r="D12" i="105"/>
  <c r="V21" i="105"/>
  <c r="V23" i="105"/>
  <c r="V25" i="105"/>
  <c r="Z26" i="105"/>
  <c r="V29" i="105"/>
  <c r="Z48" i="106"/>
  <c r="N66" i="106"/>
  <c r="J30" i="104"/>
  <c r="J34" i="104"/>
  <c r="J48" i="104"/>
  <c r="J60" i="104"/>
  <c r="J68" i="104"/>
  <c r="J74" i="104"/>
  <c r="J78" i="104"/>
  <c r="J84" i="104"/>
  <c r="J59" i="105"/>
  <c r="J61" i="105"/>
  <c r="J53" i="105"/>
  <c r="J35" i="105"/>
  <c r="J65" i="105"/>
  <c r="J63" i="105"/>
  <c r="J55" i="105"/>
  <c r="J56" i="105"/>
  <c r="J46" i="105"/>
  <c r="J32" i="105"/>
  <c r="J28" i="105"/>
  <c r="J69" i="105"/>
  <c r="J47" i="105"/>
  <c r="J49" i="105"/>
  <c r="J50" i="105"/>
  <c r="V26" i="105"/>
  <c r="J45" i="105"/>
  <c r="N48" i="105"/>
  <c r="J58" i="105"/>
  <c r="F37" i="106"/>
  <c r="J39" i="104"/>
  <c r="J43" i="104"/>
  <c r="J47" i="104"/>
  <c r="J59" i="104"/>
  <c r="J67" i="104"/>
  <c r="J73" i="104"/>
  <c r="J83" i="104"/>
  <c r="J19" i="105"/>
  <c r="J42" i="105"/>
  <c r="J48" i="105"/>
  <c r="Z54" i="105"/>
  <c r="H97" i="106"/>
  <c r="Z66" i="106"/>
  <c r="X86" i="106"/>
  <c r="Z86" i="106" s="1"/>
  <c r="L42" i="109"/>
  <c r="N42" i="109" s="1"/>
  <c r="D40" i="109"/>
  <c r="L40" i="109" s="1"/>
  <c r="N40" i="109" s="1"/>
  <c r="J72" i="104"/>
  <c r="J82" i="104"/>
  <c r="J94" i="104"/>
  <c r="F82" i="106"/>
  <c r="J77" i="104"/>
  <c r="J81" i="104"/>
  <c r="P12" i="105"/>
  <c r="N50" i="105"/>
  <c r="L26" i="106"/>
  <c r="N26" i="106" s="1"/>
  <c r="N60" i="106"/>
  <c r="Z62" i="106"/>
  <c r="X62" i="106"/>
  <c r="Z64" i="106"/>
  <c r="L26" i="108"/>
  <c r="N26" i="108" s="1"/>
  <c r="J38" i="104"/>
  <c r="J42" i="104"/>
  <c r="J46" i="104"/>
  <c r="J56" i="104"/>
  <c r="J66" i="104"/>
  <c r="J90" i="104"/>
  <c r="J92" i="104"/>
  <c r="V55" i="105"/>
  <c r="V67" i="105"/>
  <c r="V57" i="105"/>
  <c r="V45" i="105"/>
  <c r="V41" i="105"/>
  <c r="V37" i="105"/>
  <c r="V58" i="105"/>
  <c r="V50" i="105"/>
  <c r="V42" i="105"/>
  <c r="V38" i="105"/>
  <c r="V60" i="105"/>
  <c r="V52" i="105"/>
  <c r="V59" i="105"/>
  <c r="V51" i="105"/>
  <c r="V43" i="105"/>
  <c r="V39" i="105"/>
  <c r="V35" i="105"/>
  <c r="V63" i="105"/>
  <c r="V61" i="105"/>
  <c r="V53" i="105"/>
  <c r="V56" i="105"/>
  <c r="V44" i="105"/>
  <c r="V40" i="105"/>
  <c r="V36" i="105"/>
  <c r="J27" i="105"/>
  <c r="V48" i="105"/>
  <c r="X18" i="106"/>
  <c r="Z18" i="106" s="1"/>
  <c r="X26" i="106"/>
  <c r="L56" i="106"/>
  <c r="N70" i="106"/>
  <c r="P12" i="106"/>
  <c r="X13" i="106"/>
  <c r="V18" i="106"/>
  <c r="Z26" i="106"/>
  <c r="N56" i="106"/>
  <c r="N12" i="104"/>
  <c r="J18" i="104"/>
  <c r="J28" i="104"/>
  <c r="J32" i="104"/>
  <c r="J36" i="104"/>
  <c r="J54" i="104"/>
  <c r="J76" i="104"/>
  <c r="J80" i="104"/>
  <c r="J88" i="104"/>
  <c r="L25" i="105"/>
  <c r="N25" i="105" s="1"/>
  <c r="J26" i="105"/>
  <c r="V33" i="105"/>
  <c r="J38" i="105"/>
  <c r="X50" i="105"/>
  <c r="J67" i="105"/>
  <c r="N54" i="106"/>
  <c r="Z70" i="106"/>
  <c r="J41" i="104"/>
  <c r="J45" i="104"/>
  <c r="J53" i="104"/>
  <c r="J65" i="104"/>
  <c r="J21" i="105"/>
  <c r="V30" i="105"/>
  <c r="Z56" i="106"/>
  <c r="N50" i="106"/>
  <c r="J75" i="104"/>
  <c r="J79" i="104"/>
  <c r="F91" i="106"/>
  <c r="F83" i="106"/>
  <c r="F79" i="106"/>
  <c r="F59" i="106"/>
  <c r="F58" i="106"/>
  <c r="F47" i="106"/>
  <c r="F43" i="106"/>
  <c r="F39" i="106"/>
  <c r="F74" i="106"/>
  <c r="F34" i="106"/>
  <c r="F30" i="106"/>
  <c r="F95" i="106"/>
  <c r="F85" i="106"/>
  <c r="F84" i="106"/>
  <c r="F69" i="106"/>
  <c r="F61" i="106"/>
  <c r="F60" i="106"/>
  <c r="F49" i="106"/>
  <c r="F48" i="106"/>
  <c r="F21" i="106"/>
  <c r="F80" i="106"/>
  <c r="F76" i="106"/>
  <c r="F75" i="106"/>
  <c r="F44" i="106"/>
  <c r="F40" i="106"/>
  <c r="F87" i="106"/>
  <c r="F86" i="106"/>
  <c r="F71" i="106"/>
  <c r="F70" i="106"/>
  <c r="F63" i="106"/>
  <c r="F62" i="106"/>
  <c r="F51" i="106"/>
  <c r="F50" i="106"/>
  <c r="F35" i="106"/>
  <c r="F31" i="106"/>
  <c r="F27" i="106"/>
  <c r="F26" i="106"/>
  <c r="F25" i="106"/>
  <c r="F23" i="106"/>
  <c r="F88" i="106"/>
  <c r="F81" i="106"/>
  <c r="F77" i="106"/>
  <c r="F65" i="106"/>
  <c r="F64" i="106"/>
  <c r="F53" i="106"/>
  <c r="F52" i="106"/>
  <c r="F45" i="106"/>
  <c r="F41" i="106"/>
  <c r="D23" i="106"/>
  <c r="F89" i="106"/>
  <c r="F72" i="106"/>
  <c r="F36" i="106"/>
  <c r="F32" i="106"/>
  <c r="F28" i="106"/>
  <c r="L12" i="106"/>
  <c r="N12" i="106" s="1"/>
  <c r="F67" i="106"/>
  <c r="F66" i="106"/>
  <c r="F55" i="106"/>
  <c r="F54" i="106"/>
  <c r="F19" i="106"/>
  <c r="F18" i="106"/>
  <c r="F73" i="106"/>
  <c r="F57" i="106"/>
  <c r="F56" i="106"/>
  <c r="F33" i="106"/>
  <c r="F29" i="106"/>
  <c r="F68" i="106"/>
  <c r="F20" i="106"/>
  <c r="F46" i="106"/>
  <c r="N48" i="106"/>
  <c r="F78" i="106"/>
  <c r="F95" i="108"/>
  <c r="F84" i="108"/>
  <c r="F83" i="108"/>
  <c r="F68" i="108"/>
  <c r="F67" i="108"/>
  <c r="F56" i="108"/>
  <c r="F55" i="108"/>
  <c r="F79" i="108"/>
  <c r="F47" i="108"/>
  <c r="F43" i="108"/>
  <c r="F39" i="108"/>
  <c r="F86" i="108"/>
  <c r="F85" i="108"/>
  <c r="F74" i="108"/>
  <c r="F69" i="108"/>
  <c r="F49" i="108"/>
  <c r="F48" i="108"/>
  <c r="F88" i="108"/>
  <c r="F87" i="108"/>
  <c r="F80" i="108"/>
  <c r="F75" i="108"/>
  <c r="F51" i="108"/>
  <c r="F50" i="108"/>
  <c r="F35" i="108"/>
  <c r="F31" i="108"/>
  <c r="F27" i="108"/>
  <c r="F26" i="108"/>
  <c r="F70" i="108"/>
  <c r="F62" i="108"/>
  <c r="F61" i="108"/>
  <c r="F25" i="108"/>
  <c r="F89" i="108"/>
  <c r="F81" i="108"/>
  <c r="F77" i="108"/>
  <c r="F76" i="108"/>
  <c r="F45" i="108"/>
  <c r="F41" i="108"/>
  <c r="D23" i="108"/>
  <c r="F23" i="108" s="1"/>
  <c r="F64" i="108"/>
  <c r="F63" i="108"/>
  <c r="F52" i="108"/>
  <c r="F36" i="108"/>
  <c r="F32" i="108"/>
  <c r="F28" i="108"/>
  <c r="F72" i="108"/>
  <c r="F53" i="108"/>
  <c r="F29" i="108"/>
  <c r="F21" i="108"/>
  <c r="F91" i="108"/>
  <c r="F82" i="108"/>
  <c r="F66" i="108"/>
  <c r="F59" i="108"/>
  <c r="F34" i="108"/>
  <c r="F19" i="108"/>
  <c r="F73" i="108"/>
  <c r="F54" i="108"/>
  <c r="F37" i="108"/>
  <c r="F30" i="108"/>
  <c r="L12" i="108"/>
  <c r="N12" i="108" s="1"/>
  <c r="F71" i="108"/>
  <c r="F57" i="108"/>
  <c r="F60" i="108"/>
  <c r="F20" i="108"/>
  <c r="F78" i="108"/>
  <c r="F42" i="108"/>
  <c r="F33" i="108"/>
  <c r="F58" i="108"/>
  <c r="F46" i="108"/>
  <c r="F44" i="108"/>
  <c r="F40" i="108"/>
  <c r="F38" i="108"/>
  <c r="F18" i="108"/>
  <c r="N67" i="108"/>
  <c r="L67" i="108"/>
  <c r="V27" i="106"/>
  <c r="V31" i="106"/>
  <c r="V35" i="106"/>
  <c r="J39" i="106"/>
  <c r="J43" i="106"/>
  <c r="J47" i="106"/>
  <c r="V51" i="106"/>
  <c r="J59" i="106"/>
  <c r="V63" i="106"/>
  <c r="V71" i="106"/>
  <c r="J79" i="106"/>
  <c r="J83" i="106"/>
  <c r="V87" i="106"/>
  <c r="L15" i="108"/>
  <c r="N53" i="108"/>
  <c r="N55" i="108"/>
  <c r="J61" i="108"/>
  <c r="N72" i="108"/>
  <c r="L72" i="108"/>
  <c r="T23" i="106"/>
  <c r="V40" i="106"/>
  <c r="V44" i="106"/>
  <c r="V52" i="106"/>
  <c r="J58" i="106"/>
  <c r="V64" i="106"/>
  <c r="J68" i="106"/>
  <c r="V76" i="106"/>
  <c r="V80" i="106"/>
  <c r="V88" i="106"/>
  <c r="J93" i="106"/>
  <c r="V95" i="106"/>
  <c r="P12" i="108"/>
  <c r="N18" i="108"/>
  <c r="J38" i="108"/>
  <c r="J46" i="108"/>
  <c r="L48" i="108"/>
  <c r="N48" i="108" s="1"/>
  <c r="J55" i="108"/>
  <c r="J72" i="108"/>
  <c r="V26" i="106"/>
  <c r="V30" i="106"/>
  <c r="V34" i="106"/>
  <c r="J38" i="106"/>
  <c r="J42" i="106"/>
  <c r="J46" i="106"/>
  <c r="V50" i="106"/>
  <c r="J56" i="106"/>
  <c r="V62" i="106"/>
  <c r="V70" i="106"/>
  <c r="V74" i="106"/>
  <c r="J78" i="106"/>
  <c r="J82" i="106"/>
  <c r="V86" i="106"/>
  <c r="J26" i="108"/>
  <c r="J35" i="108"/>
  <c r="Z53" i="108"/>
  <c r="N65" i="108"/>
  <c r="J67" i="108"/>
  <c r="N83" i="108"/>
  <c r="V36" i="110"/>
  <c r="J19" i="106"/>
  <c r="J37" i="106"/>
  <c r="V39" i="106"/>
  <c r="V43" i="106"/>
  <c r="V47" i="106"/>
  <c r="J55" i="106"/>
  <c r="V59" i="106"/>
  <c r="J67" i="106"/>
  <c r="V75" i="106"/>
  <c r="V79" i="106"/>
  <c r="V83" i="106"/>
  <c r="J84" i="108"/>
  <c r="J85" i="108"/>
  <c r="J79" i="108"/>
  <c r="J57" i="108"/>
  <c r="J47" i="108"/>
  <c r="J43" i="108"/>
  <c r="J39" i="108"/>
  <c r="J86" i="108"/>
  <c r="J74" i="108"/>
  <c r="J58" i="108"/>
  <c r="J48" i="108"/>
  <c r="J34" i="108"/>
  <c r="J30" i="108"/>
  <c r="J87" i="108"/>
  <c r="J69" i="108"/>
  <c r="J88" i="108"/>
  <c r="J80" i="108"/>
  <c r="J60" i="108"/>
  <c r="J50" i="108"/>
  <c r="J44" i="108"/>
  <c r="J40" i="108"/>
  <c r="J75" i="108"/>
  <c r="J76" i="108"/>
  <c r="J70" i="108"/>
  <c r="J62" i="108"/>
  <c r="H23" i="108"/>
  <c r="J23" i="108" s="1"/>
  <c r="J89" i="108"/>
  <c r="J81" i="108"/>
  <c r="J77" i="108"/>
  <c r="J63" i="108"/>
  <c r="J45" i="108"/>
  <c r="J41" i="108"/>
  <c r="J64" i="108"/>
  <c r="J52" i="108"/>
  <c r="J36" i="108"/>
  <c r="J32" i="108"/>
  <c r="J28" i="108"/>
  <c r="J18" i="108"/>
  <c r="J91" i="108"/>
  <c r="J71" i="108"/>
  <c r="J65" i="108"/>
  <c r="J53" i="108"/>
  <c r="J37" i="108"/>
  <c r="J20" i="108"/>
  <c r="J25" i="108"/>
  <c r="L37" i="108"/>
  <c r="N50" i="108"/>
  <c r="Z61" i="108"/>
  <c r="J83" i="108"/>
  <c r="R16" i="109"/>
  <c r="N19" i="109"/>
  <c r="Z43" i="110"/>
  <c r="J28" i="106"/>
  <c r="J32" i="106"/>
  <c r="J36" i="106"/>
  <c r="V48" i="106"/>
  <c r="J54" i="106"/>
  <c r="V60" i="106"/>
  <c r="J66" i="106"/>
  <c r="V68" i="106"/>
  <c r="J72" i="106"/>
  <c r="V84" i="106"/>
  <c r="J89" i="106"/>
  <c r="R48" i="109"/>
  <c r="R24" i="109"/>
  <c r="R20" i="109"/>
  <c r="P16" i="109"/>
  <c r="R38" i="109"/>
  <c r="R34" i="109"/>
  <c r="R30" i="109"/>
  <c r="R41" i="109"/>
  <c r="R40" i="109"/>
  <c r="R25" i="109"/>
  <c r="R21" i="109"/>
  <c r="R50" i="109"/>
  <c r="R42" i="109"/>
  <c r="R43" i="109"/>
  <c r="R35" i="109"/>
  <c r="R31" i="109"/>
  <c r="R26" i="109"/>
  <c r="R22" i="109"/>
  <c r="R53" i="109"/>
  <c r="R44" i="109"/>
  <c r="R36" i="109"/>
  <c r="R32" i="109"/>
  <c r="X12" i="109"/>
  <c r="R46" i="109"/>
  <c r="R28" i="109"/>
  <c r="R27" i="109"/>
  <c r="R23" i="109"/>
  <c r="T16" i="109"/>
  <c r="V29" i="106"/>
  <c r="V33" i="106"/>
  <c r="J41" i="106"/>
  <c r="J45" i="106"/>
  <c r="J53" i="106"/>
  <c r="V57" i="106"/>
  <c r="J65" i="106"/>
  <c r="V73" i="106"/>
  <c r="J77" i="106"/>
  <c r="J81" i="106"/>
  <c r="J97" i="106"/>
  <c r="N37" i="108"/>
  <c r="V69" i="110"/>
  <c r="V61" i="110"/>
  <c r="V57" i="110"/>
  <c r="V73" i="110"/>
  <c r="V71" i="110"/>
  <c r="V63" i="110"/>
  <c r="V74" i="110"/>
  <c r="V58" i="110"/>
  <c r="V46" i="110"/>
  <c r="V38" i="110"/>
  <c r="V34" i="110"/>
  <c r="V30" i="110"/>
  <c r="V65" i="110"/>
  <c r="V49" i="110"/>
  <c r="V29" i="110"/>
  <c r="V48" i="110"/>
  <c r="V59" i="110"/>
  <c r="V51" i="110"/>
  <c r="V39" i="110"/>
  <c r="V35" i="110"/>
  <c r="V31" i="110"/>
  <c r="V78" i="110"/>
  <c r="V66" i="110"/>
  <c r="V50" i="110"/>
  <c r="V26" i="110"/>
  <c r="V22" i="110"/>
  <c r="Z12" i="110"/>
  <c r="V53" i="110"/>
  <c r="V41" i="110"/>
  <c r="V68" i="110"/>
  <c r="V60" i="110"/>
  <c r="V52" i="110"/>
  <c r="V67" i="110"/>
  <c r="V55" i="110"/>
  <c r="V43" i="110"/>
  <c r="V27" i="110"/>
  <c r="V23" i="110"/>
  <c r="V70" i="110"/>
  <c r="V64" i="110"/>
  <c r="V56" i="110"/>
  <c r="T17" i="110"/>
  <c r="V17" i="110" s="1"/>
  <c r="V37" i="110"/>
  <c r="V28" i="110"/>
  <c r="V33" i="110"/>
  <c r="V44" i="110"/>
  <c r="V24" i="110"/>
  <c r="V19" i="110"/>
  <c r="V20" i="110"/>
  <c r="V42" i="110"/>
  <c r="V45" i="110"/>
  <c r="V47" i="110"/>
  <c r="V15" i="110"/>
  <c r="V25" i="110"/>
  <c r="V38" i="106"/>
  <c r="V42" i="106"/>
  <c r="V46" i="106"/>
  <c r="J52" i="106"/>
  <c r="V58" i="106"/>
  <c r="J64" i="106"/>
  <c r="V78" i="106"/>
  <c r="V82" i="106"/>
  <c r="J88" i="106"/>
  <c r="Z26" i="108"/>
  <c r="J54" i="108"/>
  <c r="J73" i="108"/>
  <c r="Z19" i="109"/>
  <c r="R37" i="109"/>
  <c r="V67" i="106"/>
  <c r="J87" i="106"/>
  <c r="V91" i="106"/>
  <c r="Z50" i="108"/>
  <c r="X50" i="108"/>
  <c r="J26" i="106"/>
  <c r="V28" i="106"/>
  <c r="V32" i="106"/>
  <c r="V36" i="106"/>
  <c r="J40" i="106"/>
  <c r="J44" i="106"/>
  <c r="J50" i="106"/>
  <c r="V56" i="106"/>
  <c r="J62" i="106"/>
  <c r="J70" i="106"/>
  <c r="V72" i="106"/>
  <c r="J76" i="106"/>
  <c r="J80" i="106"/>
  <c r="J86" i="106"/>
  <c r="V89" i="106"/>
  <c r="J19" i="108"/>
  <c r="Z25" i="108"/>
  <c r="Z37" i="108"/>
  <c r="V50" i="108"/>
  <c r="J56" i="108"/>
  <c r="J66" i="108"/>
  <c r="J82" i="108"/>
  <c r="Z87" i="108"/>
  <c r="V45" i="106"/>
  <c r="L50" i="106"/>
  <c r="V53" i="106"/>
  <c r="X56" i="106"/>
  <c r="L62" i="106"/>
  <c r="N62" i="106" s="1"/>
  <c r="V65" i="106"/>
  <c r="J69" i="106"/>
  <c r="L70" i="106"/>
  <c r="J75" i="106"/>
  <c r="V77" i="106"/>
  <c r="V81" i="106"/>
  <c r="J85" i="106"/>
  <c r="L86" i="106"/>
  <c r="N86" i="106" s="1"/>
  <c r="J30" i="106"/>
  <c r="J34" i="106"/>
  <c r="J48" i="106"/>
  <c r="V54" i="106"/>
  <c r="J60" i="106"/>
  <c r="V66" i="106"/>
  <c r="J74" i="106"/>
  <c r="J84" i="106"/>
  <c r="T93" i="108"/>
  <c r="J68" i="108"/>
  <c r="V21" i="110"/>
  <c r="V39" i="108"/>
  <c r="V43" i="108"/>
  <c r="V47" i="108"/>
  <c r="V59" i="108"/>
  <c r="V79" i="108"/>
  <c r="V87" i="108"/>
  <c r="V53" i="109"/>
  <c r="V50" i="109"/>
  <c r="V48" i="109"/>
  <c r="V14" i="109"/>
  <c r="V16" i="109"/>
  <c r="V18" i="109"/>
  <c r="N19" i="110"/>
  <c r="F59" i="110"/>
  <c r="V20" i="108"/>
  <c r="V48" i="108"/>
  <c r="V56" i="108"/>
  <c r="V68" i="108"/>
  <c r="V84" i="108"/>
  <c r="V19" i="109"/>
  <c r="V23" i="109"/>
  <c r="V27" i="109"/>
  <c r="J31" i="109"/>
  <c r="J35" i="109"/>
  <c r="F41" i="109"/>
  <c r="J42" i="109"/>
  <c r="R20" i="110"/>
  <c r="R27" i="110"/>
  <c r="F31" i="110"/>
  <c r="F35" i="110"/>
  <c r="F39" i="110"/>
  <c r="R42" i="110"/>
  <c r="R61" i="110"/>
  <c r="V29" i="108"/>
  <c r="V33" i="108"/>
  <c r="V57" i="108"/>
  <c r="V73" i="108"/>
  <c r="V85" i="108"/>
  <c r="V95" i="108"/>
  <c r="Z12" i="109"/>
  <c r="F21" i="109"/>
  <c r="F25" i="109"/>
  <c r="V28" i="109"/>
  <c r="V32" i="109"/>
  <c r="V36" i="109"/>
  <c r="J40" i="109"/>
  <c r="J41" i="109"/>
  <c r="V46" i="109"/>
  <c r="J50" i="109"/>
  <c r="R19" i="110"/>
  <c r="F22" i="110"/>
  <c r="X45" i="110"/>
  <c r="Z45" i="110" s="1"/>
  <c r="R67" i="110"/>
  <c r="V38" i="108"/>
  <c r="V42" i="108"/>
  <c r="V46" i="108"/>
  <c r="V54" i="108"/>
  <c r="V66" i="108"/>
  <c r="V78" i="108"/>
  <c r="V82" i="108"/>
  <c r="D16" i="109"/>
  <c r="J21" i="109"/>
  <c r="J25" i="109"/>
  <c r="F30" i="109"/>
  <c r="F34" i="109"/>
  <c r="F38" i="109"/>
  <c r="V44" i="109"/>
  <c r="D76" i="110"/>
  <c r="F76" i="110" s="1"/>
  <c r="L17" i="110"/>
  <c r="N17" i="110" s="1"/>
  <c r="J22" i="110"/>
  <c r="R24" i="110"/>
  <c r="F26" i="110"/>
  <c r="J78" i="110"/>
  <c r="V71" i="108"/>
  <c r="V83" i="108"/>
  <c r="R55" i="110"/>
  <c r="R54" i="110"/>
  <c r="R70" i="110"/>
  <c r="R69" i="110"/>
  <c r="R57" i="110"/>
  <c r="R56" i="110"/>
  <c r="R71" i="110"/>
  <c r="R64" i="110"/>
  <c r="R63" i="110"/>
  <c r="R74" i="110"/>
  <c r="R73" i="110"/>
  <c r="R58" i="110"/>
  <c r="R47" i="110"/>
  <c r="R46" i="110"/>
  <c r="R38" i="110"/>
  <c r="R34" i="110"/>
  <c r="R65" i="110"/>
  <c r="R30" i="110"/>
  <c r="R29" i="110"/>
  <c r="R25" i="110"/>
  <c r="R21" i="110"/>
  <c r="R49" i="110"/>
  <c r="R48" i="110"/>
  <c r="R59" i="110"/>
  <c r="R39" i="110"/>
  <c r="R35" i="110"/>
  <c r="R31" i="110"/>
  <c r="R78" i="110"/>
  <c r="R66" i="110"/>
  <c r="R51" i="110"/>
  <c r="R50" i="110"/>
  <c r="R26" i="110"/>
  <c r="R22" i="110"/>
  <c r="X12" i="110"/>
  <c r="R60" i="110"/>
  <c r="R53" i="110"/>
  <c r="R52" i="110"/>
  <c r="R41" i="110"/>
  <c r="R40" i="110"/>
  <c r="R36" i="110"/>
  <c r="R32" i="110"/>
  <c r="H76" i="110"/>
  <c r="R33" i="110"/>
  <c r="V52" i="108"/>
  <c r="V64" i="108"/>
  <c r="V72" i="108"/>
  <c r="H16" i="109"/>
  <c r="V31" i="109"/>
  <c r="V35" i="109"/>
  <c r="P40" i="109"/>
  <c r="X40" i="109" s="1"/>
  <c r="Z40" i="109" s="1"/>
  <c r="V43" i="109"/>
  <c r="X13" i="110"/>
  <c r="Z13" i="110" s="1"/>
  <c r="P17" i="110"/>
  <c r="R28" i="110"/>
  <c r="R37" i="110"/>
  <c r="J41" i="110"/>
  <c r="N51" i="110"/>
  <c r="X55" i="110"/>
  <c r="Z55" i="110" s="1"/>
  <c r="X57" i="110"/>
  <c r="Z57" i="110" s="1"/>
  <c r="J60" i="110"/>
  <c r="N73" i="110"/>
  <c r="V77" i="108"/>
  <c r="V81" i="108"/>
  <c r="V89" i="108"/>
  <c r="V91" i="108"/>
  <c r="V18" i="108"/>
  <c r="V62" i="108"/>
  <c r="V70" i="108"/>
  <c r="J19" i="109"/>
  <c r="V21" i="109"/>
  <c r="V25" i="109"/>
  <c r="J29" i="109"/>
  <c r="J33" i="109"/>
  <c r="J37" i="109"/>
  <c r="V41" i="109"/>
  <c r="F78" i="110"/>
  <c r="F66" i="110"/>
  <c r="F50" i="110"/>
  <c r="F49" i="110"/>
  <c r="F60" i="110"/>
  <c r="F52" i="110"/>
  <c r="F51" i="110"/>
  <c r="F67" i="110"/>
  <c r="F27" i="110"/>
  <c r="F23" i="110"/>
  <c r="F54" i="110"/>
  <c r="F53" i="110"/>
  <c r="F42" i="110"/>
  <c r="F41" i="110"/>
  <c r="F69" i="110"/>
  <c r="F68" i="110"/>
  <c r="F61" i="110"/>
  <c r="F37" i="110"/>
  <c r="F33" i="110"/>
  <c r="F56" i="110"/>
  <c r="F55" i="110"/>
  <c r="F44" i="110"/>
  <c r="F43" i="110"/>
  <c r="F28" i="110"/>
  <c r="F24" i="110"/>
  <c r="F71" i="110"/>
  <c r="F70" i="110"/>
  <c r="F63" i="110"/>
  <c r="F62" i="110"/>
  <c r="F58" i="110"/>
  <c r="F57" i="110"/>
  <c r="F46" i="110"/>
  <c r="F45" i="110"/>
  <c r="F38" i="110"/>
  <c r="F34" i="110"/>
  <c r="F74" i="110"/>
  <c r="F65" i="110"/>
  <c r="F64" i="110"/>
  <c r="F73" i="110"/>
  <c r="F48" i="110"/>
  <c r="F47" i="110"/>
  <c r="F19" i="110"/>
  <c r="F17" i="110"/>
  <c r="F15" i="110"/>
  <c r="L15" i="110"/>
  <c r="F21" i="110"/>
  <c r="F32" i="110"/>
  <c r="F36" i="110"/>
  <c r="F40" i="110"/>
  <c r="N49" i="110"/>
  <c r="Z53" i="110"/>
  <c r="N64" i="110"/>
  <c r="V31" i="108"/>
  <c r="V35" i="108"/>
  <c r="V51" i="108"/>
  <c r="V63" i="108"/>
  <c r="V75" i="108"/>
  <c r="V30" i="109"/>
  <c r="V34" i="109"/>
  <c r="V38" i="109"/>
  <c r="V40" i="109"/>
  <c r="J51" i="110"/>
  <c r="J67" i="110"/>
  <c r="J53" i="110"/>
  <c r="J68" i="110"/>
  <c r="J54" i="110"/>
  <c r="J42" i="110"/>
  <c r="J69" i="110"/>
  <c r="J61" i="110"/>
  <c r="J55" i="110"/>
  <c r="J43" i="110"/>
  <c r="J37" i="110"/>
  <c r="J33" i="110"/>
  <c r="J70" i="110"/>
  <c r="J62" i="110"/>
  <c r="J56" i="110"/>
  <c r="J44" i="110"/>
  <c r="J28" i="110"/>
  <c r="J24" i="110"/>
  <c r="J71" i="110"/>
  <c r="J63" i="110"/>
  <c r="J57" i="110"/>
  <c r="J45" i="110"/>
  <c r="J64" i="110"/>
  <c r="J58" i="110"/>
  <c r="J46" i="110"/>
  <c r="J38" i="110"/>
  <c r="J34" i="110"/>
  <c r="J20" i="110"/>
  <c r="J74" i="110"/>
  <c r="J73" i="110"/>
  <c r="J65" i="110"/>
  <c r="J47" i="110"/>
  <c r="J29" i="110"/>
  <c r="J25" i="110"/>
  <c r="J21" i="110"/>
  <c r="J19" i="110"/>
  <c r="J17" i="110"/>
  <c r="J15" i="110"/>
  <c r="J76" i="110"/>
  <c r="J48" i="110"/>
  <c r="J59" i="110"/>
  <c r="J49" i="110"/>
  <c r="J39" i="110"/>
  <c r="J35" i="110"/>
  <c r="J31" i="110"/>
  <c r="J23" i="110"/>
  <c r="F25" i="110"/>
  <c r="J32" i="110"/>
  <c r="J36" i="110"/>
  <c r="J40" i="110"/>
  <c r="X41" i="110"/>
  <c r="Z41" i="110" s="1"/>
  <c r="V80" i="108"/>
  <c r="R62" i="110"/>
  <c r="L64" i="110"/>
  <c r="T122" i="21" l="1"/>
  <c r="V122" i="21" s="1"/>
  <c r="V102" i="45"/>
  <c r="V106" i="45"/>
  <c r="T78" i="101"/>
  <c r="P62" i="61"/>
  <c r="X16" i="61"/>
  <c r="H81" i="56"/>
  <c r="N16" i="56"/>
  <c r="L18" i="4"/>
  <c r="D27" i="4"/>
  <c r="D80" i="110"/>
  <c r="L76" i="110"/>
  <c r="N76" i="110" s="1"/>
  <c r="H82" i="101"/>
  <c r="F68" i="101"/>
  <c r="F75" i="101"/>
  <c r="F62" i="101"/>
  <c r="F72" i="101"/>
  <c r="F71" i="101"/>
  <c r="F67" i="101"/>
  <c r="F51" i="101"/>
  <c r="F50" i="101"/>
  <c r="F58" i="101"/>
  <c r="F53" i="101"/>
  <c r="F33" i="101"/>
  <c r="F29" i="101"/>
  <c r="F76" i="101"/>
  <c r="F66" i="101"/>
  <c r="F63" i="101"/>
  <c r="F59" i="101"/>
  <c r="F49" i="101"/>
  <c r="F34" i="101"/>
  <c r="F30" i="101"/>
  <c r="F60" i="101"/>
  <c r="F44" i="101"/>
  <c r="F40" i="101"/>
  <c r="F36" i="101"/>
  <c r="F35" i="101"/>
  <c r="F69" i="101"/>
  <c r="F64" i="101"/>
  <c r="F56" i="101"/>
  <c r="F25" i="101"/>
  <c r="F61" i="101"/>
  <c r="F57" i="101"/>
  <c r="F45" i="101"/>
  <c r="F41" i="101"/>
  <c r="F37" i="101"/>
  <c r="D23" i="101"/>
  <c r="F65" i="101"/>
  <c r="F46" i="101"/>
  <c r="F19" i="101"/>
  <c r="F18" i="101"/>
  <c r="F80" i="101"/>
  <c r="F70" i="101"/>
  <c r="F52" i="101"/>
  <c r="F47" i="101"/>
  <c r="F42" i="101"/>
  <c r="F38" i="101"/>
  <c r="F73" i="101"/>
  <c r="F26" i="101"/>
  <c r="F54" i="101"/>
  <c r="F31" i="101"/>
  <c r="F20" i="101"/>
  <c r="F55" i="101"/>
  <c r="F27" i="101"/>
  <c r="F43" i="101"/>
  <c r="F32" i="101"/>
  <c r="F28" i="101"/>
  <c r="F21" i="101"/>
  <c r="F48" i="101"/>
  <c r="F39" i="101"/>
  <c r="L12" i="101"/>
  <c r="N12" i="101" s="1"/>
  <c r="F35" i="99"/>
  <c r="F52" i="99"/>
  <c r="F43" i="99"/>
  <c r="F42" i="99"/>
  <c r="F34" i="99"/>
  <c r="F46" i="99"/>
  <c r="F38" i="99"/>
  <c r="F30" i="99"/>
  <c r="F23" i="99"/>
  <c r="F22" i="99"/>
  <c r="F21" i="99"/>
  <c r="F27" i="99"/>
  <c r="D19" i="99"/>
  <c r="F39" i="99"/>
  <c r="F24" i="99"/>
  <c r="F31" i="99"/>
  <c r="F48" i="99"/>
  <c r="F32" i="99"/>
  <c r="F40" i="99"/>
  <c r="F28" i="99"/>
  <c r="F25" i="99"/>
  <c r="F44" i="99"/>
  <c r="L12" i="99"/>
  <c r="F29" i="99"/>
  <c r="F26" i="99"/>
  <c r="F45" i="99"/>
  <c r="F37" i="99"/>
  <c r="F17" i="99"/>
  <c r="F16" i="99"/>
  <c r="F41" i="99"/>
  <c r="F33" i="99"/>
  <c r="F36" i="99"/>
  <c r="F76" i="94"/>
  <c r="F60" i="94"/>
  <c r="F59" i="94"/>
  <c r="F48" i="94"/>
  <c r="F47" i="94"/>
  <c r="F20" i="94"/>
  <c r="F71" i="94"/>
  <c r="F67" i="94"/>
  <c r="F66" i="94"/>
  <c r="F43" i="94"/>
  <c r="F39" i="94"/>
  <c r="F78" i="94"/>
  <c r="F77" i="94"/>
  <c r="F50" i="94"/>
  <c r="F49" i="94"/>
  <c r="F34" i="94"/>
  <c r="F30" i="94"/>
  <c r="F61" i="94"/>
  <c r="F81" i="94"/>
  <c r="F72" i="94"/>
  <c r="F68" i="94"/>
  <c r="F52" i="94"/>
  <c r="F51" i="94"/>
  <c r="F44" i="94"/>
  <c r="F40" i="94"/>
  <c r="F80" i="94"/>
  <c r="F35" i="94"/>
  <c r="F31" i="94"/>
  <c r="F27" i="94"/>
  <c r="F26" i="94"/>
  <c r="F62" i="94"/>
  <c r="F54" i="94"/>
  <c r="F53" i="94"/>
  <c r="F85" i="94"/>
  <c r="F73" i="94"/>
  <c r="F69" i="94"/>
  <c r="F45" i="94"/>
  <c r="F41" i="94"/>
  <c r="F37" i="94"/>
  <c r="F36" i="94"/>
  <c r="F64" i="94"/>
  <c r="F63" i="94"/>
  <c r="F56" i="94"/>
  <c r="F55" i="94"/>
  <c r="F32" i="94"/>
  <c r="F28" i="94"/>
  <c r="L12" i="94"/>
  <c r="N12" i="94" s="1"/>
  <c r="F70" i="94"/>
  <c r="F58" i="94"/>
  <c r="F57" i="94"/>
  <c r="F46" i="94"/>
  <c r="F42" i="94"/>
  <c r="F38" i="94"/>
  <c r="F25" i="94"/>
  <c r="F74" i="94"/>
  <c r="F18" i="94"/>
  <c r="F21" i="94"/>
  <c r="F19" i="94"/>
  <c r="F75" i="94"/>
  <c r="F65" i="94"/>
  <c r="F23" i="94"/>
  <c r="F29" i="94"/>
  <c r="F33" i="94"/>
  <c r="D23" i="94"/>
  <c r="P96" i="98"/>
  <c r="X23" i="98"/>
  <c r="H90" i="95"/>
  <c r="P32" i="86"/>
  <c r="X20" i="86"/>
  <c r="P87" i="89"/>
  <c r="X23" i="89"/>
  <c r="R23" i="89"/>
  <c r="L22" i="87"/>
  <c r="D26" i="87"/>
  <c r="P74" i="79"/>
  <c r="X27" i="79"/>
  <c r="Z27" i="79" s="1"/>
  <c r="J31" i="76"/>
  <c r="H91" i="76"/>
  <c r="T122" i="75"/>
  <c r="N16" i="60"/>
  <c r="H61" i="60"/>
  <c r="L16" i="61"/>
  <c r="D62" i="61"/>
  <c r="F114" i="69"/>
  <c r="F122" i="69"/>
  <c r="F119" i="69"/>
  <c r="F118" i="69"/>
  <c r="F104" i="69"/>
  <c r="F103" i="69"/>
  <c r="F96" i="69"/>
  <c r="F92" i="69"/>
  <c r="F87" i="69"/>
  <c r="F83" i="69"/>
  <c r="F79" i="69"/>
  <c r="F78" i="69"/>
  <c r="F123" i="69"/>
  <c r="F77" i="69"/>
  <c r="F70" i="69"/>
  <c r="F66" i="69"/>
  <c r="F62" i="69"/>
  <c r="F58" i="69"/>
  <c r="F54" i="69"/>
  <c r="F105" i="69"/>
  <c r="F97" i="69"/>
  <c r="F93" i="69"/>
  <c r="F89" i="69"/>
  <c r="F88" i="69"/>
  <c r="D75" i="69"/>
  <c r="F75" i="69" s="1"/>
  <c r="F84" i="69"/>
  <c r="F80" i="69"/>
  <c r="F132" i="69"/>
  <c r="F125" i="69"/>
  <c r="F124" i="69"/>
  <c r="F120" i="69"/>
  <c r="F115" i="69"/>
  <c r="F107" i="69"/>
  <c r="F106" i="69"/>
  <c r="F71" i="69"/>
  <c r="F67" i="69"/>
  <c r="F63" i="69"/>
  <c r="F59" i="69"/>
  <c r="F55" i="69"/>
  <c r="F116" i="69"/>
  <c r="F98" i="69"/>
  <c r="F94" i="69"/>
  <c r="F90" i="69"/>
  <c r="F109" i="69"/>
  <c r="F108" i="69"/>
  <c r="F85" i="69"/>
  <c r="F81" i="69"/>
  <c r="F100" i="69"/>
  <c r="F99" i="69"/>
  <c r="F72" i="69"/>
  <c r="F68" i="69"/>
  <c r="F64" i="69"/>
  <c r="F60" i="69"/>
  <c r="F56" i="69"/>
  <c r="L12" i="69"/>
  <c r="N12" i="69" s="1"/>
  <c r="F127" i="69"/>
  <c r="F121" i="69"/>
  <c r="F117" i="69"/>
  <c r="F111" i="69"/>
  <c r="F110" i="69"/>
  <c r="F95" i="69"/>
  <c r="F91" i="69"/>
  <c r="F61" i="69"/>
  <c r="F102" i="69"/>
  <c r="F57" i="69"/>
  <c r="F112" i="69"/>
  <c r="F53" i="69"/>
  <c r="F82" i="69"/>
  <c r="F73" i="69"/>
  <c r="F128" i="69"/>
  <c r="F69" i="69"/>
  <c r="F52" i="69"/>
  <c r="F101" i="69"/>
  <c r="F65" i="69"/>
  <c r="F113" i="69"/>
  <c r="F86" i="69"/>
  <c r="P65" i="60"/>
  <c r="H102" i="45"/>
  <c r="F128" i="42"/>
  <c r="T131" i="27"/>
  <c r="H125" i="21"/>
  <c r="V17" i="9"/>
  <c r="P106" i="9"/>
  <c r="X18" i="113"/>
  <c r="P27" i="113"/>
  <c r="X18" i="111"/>
  <c r="P27" i="111"/>
  <c r="D27" i="53"/>
  <c r="L18" i="53"/>
  <c r="H27" i="52"/>
  <c r="N18" i="52"/>
  <c r="T27" i="43"/>
  <c r="Z18" i="43"/>
  <c r="L18" i="47"/>
  <c r="D27" i="47"/>
  <c r="T27" i="41"/>
  <c r="Z18" i="41"/>
  <c r="L18" i="38"/>
  <c r="D27" i="38"/>
  <c r="H27" i="40"/>
  <c r="N18" i="40"/>
  <c r="H27" i="31"/>
  <c r="N18" i="31"/>
  <c r="T27" i="25"/>
  <c r="Z18" i="25"/>
  <c r="H27" i="22"/>
  <c r="N18" i="22"/>
  <c r="H27" i="17"/>
  <c r="N18" i="17"/>
  <c r="T27" i="7"/>
  <c r="Z18" i="7"/>
  <c r="T108" i="64"/>
  <c r="Z16" i="64"/>
  <c r="H27" i="44"/>
  <c r="N18" i="44"/>
  <c r="H27" i="35"/>
  <c r="N18" i="35"/>
  <c r="L18" i="20"/>
  <c r="D27" i="20"/>
  <c r="D93" i="106"/>
  <c r="L23" i="106"/>
  <c r="N23" i="106" s="1"/>
  <c r="F34" i="105"/>
  <c r="F30" i="105"/>
  <c r="F55" i="105"/>
  <c r="F54" i="105"/>
  <c r="F67" i="105"/>
  <c r="F57" i="105"/>
  <c r="F56" i="105"/>
  <c r="F45" i="105"/>
  <c r="F41" i="105"/>
  <c r="F37" i="105"/>
  <c r="F32" i="105"/>
  <c r="F28" i="105"/>
  <c r="F72" i="105"/>
  <c r="F69" i="105"/>
  <c r="F58" i="105"/>
  <c r="F49" i="105"/>
  <c r="F48" i="105"/>
  <c r="F51" i="105"/>
  <c r="F40" i="105"/>
  <c r="F20" i="105"/>
  <c r="F63" i="105"/>
  <c r="F46" i="105"/>
  <c r="F43" i="105"/>
  <c r="F59" i="105"/>
  <c r="F29" i="105"/>
  <c r="F52" i="105"/>
  <c r="F21" i="105"/>
  <c r="F47" i="105"/>
  <c r="F38" i="105"/>
  <c r="F35" i="105"/>
  <c r="F44" i="105"/>
  <c r="F26" i="105"/>
  <c r="F60" i="105"/>
  <c r="F53" i="105"/>
  <c r="F27" i="105"/>
  <c r="F25" i="105"/>
  <c r="F23" i="105"/>
  <c r="F65" i="105"/>
  <c r="F61" i="105"/>
  <c r="F36" i="105"/>
  <c r="F33" i="105"/>
  <c r="D23" i="105"/>
  <c r="F50" i="105"/>
  <c r="F39" i="105"/>
  <c r="L12" i="105"/>
  <c r="N12" i="105" s="1"/>
  <c r="F42" i="105"/>
  <c r="F19" i="105"/>
  <c r="F18" i="105"/>
  <c r="F31" i="105"/>
  <c r="P67" i="103"/>
  <c r="X63" i="103"/>
  <c r="R40" i="99"/>
  <c r="R39" i="99"/>
  <c r="R27" i="99"/>
  <c r="R45" i="99"/>
  <c r="R44" i="99"/>
  <c r="R36" i="99"/>
  <c r="R35" i="99"/>
  <c r="R31" i="99"/>
  <c r="R24" i="99"/>
  <c r="R48" i="99"/>
  <c r="R43" i="99"/>
  <c r="R32" i="99"/>
  <c r="R28" i="99"/>
  <c r="R25" i="99"/>
  <c r="X12" i="99"/>
  <c r="R33" i="99"/>
  <c r="R16" i="99"/>
  <c r="R41" i="99"/>
  <c r="R29" i="99"/>
  <c r="R37" i="99"/>
  <c r="R26" i="99"/>
  <c r="R22" i="99"/>
  <c r="R17" i="99"/>
  <c r="R42" i="99"/>
  <c r="R38" i="99"/>
  <c r="R21" i="99"/>
  <c r="R19" i="99"/>
  <c r="R46" i="99"/>
  <c r="R30" i="99"/>
  <c r="R52" i="99"/>
  <c r="P19" i="99"/>
  <c r="R34" i="99"/>
  <c r="R23" i="99"/>
  <c r="P53" i="100"/>
  <c r="X17" i="100"/>
  <c r="T96" i="98"/>
  <c r="Z23" i="98"/>
  <c r="P83" i="94"/>
  <c r="X23" i="94"/>
  <c r="Z23" i="94" s="1"/>
  <c r="T133" i="85"/>
  <c r="T32" i="83"/>
  <c r="T88" i="80"/>
  <c r="F98" i="74"/>
  <c r="F77" i="74"/>
  <c r="F73" i="74"/>
  <c r="F69" i="74"/>
  <c r="F90" i="74"/>
  <c r="F89" i="74"/>
  <c r="F74" i="74"/>
  <c r="F70" i="74"/>
  <c r="F92" i="74"/>
  <c r="F91" i="74"/>
  <c r="F75" i="74"/>
  <c r="F71" i="74"/>
  <c r="F87" i="74"/>
  <c r="F84" i="74"/>
  <c r="F63" i="74"/>
  <c r="F52" i="74"/>
  <c r="F45" i="74"/>
  <c r="F38" i="74"/>
  <c r="F88" i="74"/>
  <c r="F76" i="74"/>
  <c r="F61" i="74"/>
  <c r="F42" i="74"/>
  <c r="F95" i="74"/>
  <c r="F59" i="74"/>
  <c r="F49" i="74"/>
  <c r="L12" i="74"/>
  <c r="N12" i="74" s="1"/>
  <c r="F82" i="74"/>
  <c r="F79" i="74"/>
  <c r="F66" i="74"/>
  <c r="F46" i="74"/>
  <c r="F39" i="74"/>
  <c r="F85" i="74"/>
  <c r="F72" i="74"/>
  <c r="F64" i="74"/>
  <c r="F54" i="74"/>
  <c r="F96" i="74"/>
  <c r="D54" i="74"/>
  <c r="F50" i="74"/>
  <c r="F43" i="74"/>
  <c r="F80" i="74"/>
  <c r="F62" i="74"/>
  <c r="F56" i="74"/>
  <c r="F40" i="74"/>
  <c r="F86" i="74"/>
  <c r="F83" i="74"/>
  <c r="F67" i="74"/>
  <c r="F60" i="74"/>
  <c r="F57" i="74"/>
  <c r="F47" i="74"/>
  <c r="F51" i="74"/>
  <c r="F37" i="74"/>
  <c r="F36" i="74"/>
  <c r="F41" i="74"/>
  <c r="F78" i="74"/>
  <c r="F68" i="74"/>
  <c r="F93" i="74"/>
  <c r="F58" i="74"/>
  <c r="F48" i="74"/>
  <c r="F81" i="74"/>
  <c r="F44" i="74"/>
  <c r="F102" i="74"/>
  <c r="F94" i="74"/>
  <c r="F65" i="74"/>
  <c r="R80" i="74"/>
  <c r="R79" i="74"/>
  <c r="R81" i="74"/>
  <c r="R65" i="74"/>
  <c r="R61" i="74"/>
  <c r="R95" i="74"/>
  <c r="R94" i="74"/>
  <c r="R83" i="74"/>
  <c r="R82" i="74"/>
  <c r="R67" i="74"/>
  <c r="R66" i="74"/>
  <c r="R62" i="74"/>
  <c r="R58" i="74"/>
  <c r="R96" i="74"/>
  <c r="R85" i="74"/>
  <c r="R84" i="74"/>
  <c r="R76" i="74"/>
  <c r="R98" i="74"/>
  <c r="R63" i="74"/>
  <c r="R59" i="74"/>
  <c r="R78" i="74"/>
  <c r="R77" i="74"/>
  <c r="R73" i="74"/>
  <c r="R69" i="74"/>
  <c r="R46" i="74"/>
  <c r="R39" i="74"/>
  <c r="R92" i="74"/>
  <c r="P54" i="74"/>
  <c r="R54" i="74" s="1"/>
  <c r="R89" i="74"/>
  <c r="R72" i="74"/>
  <c r="R64" i="74"/>
  <c r="R56" i="74"/>
  <c r="R50" i="74"/>
  <c r="R43" i="74"/>
  <c r="R57" i="74"/>
  <c r="R40" i="74"/>
  <c r="R93" i="74"/>
  <c r="R47" i="74"/>
  <c r="R36" i="74"/>
  <c r="R86" i="74"/>
  <c r="R60" i="74"/>
  <c r="R44" i="74"/>
  <c r="R90" i="74"/>
  <c r="R70" i="74"/>
  <c r="R51" i="74"/>
  <c r="R37" i="74"/>
  <c r="R87" i="74"/>
  <c r="R75" i="74"/>
  <c r="R48" i="74"/>
  <c r="R41" i="74"/>
  <c r="R71" i="74"/>
  <c r="R42" i="74"/>
  <c r="R91" i="74"/>
  <c r="R68" i="74"/>
  <c r="R52" i="74"/>
  <c r="R102" i="74"/>
  <c r="R38" i="74"/>
  <c r="X12" i="74"/>
  <c r="Z12" i="74" s="1"/>
  <c r="R49" i="74"/>
  <c r="R74" i="74"/>
  <c r="R88" i="74"/>
  <c r="R45" i="74"/>
  <c r="D78" i="59"/>
  <c r="H62" i="61"/>
  <c r="N16" i="61"/>
  <c r="T74" i="59"/>
  <c r="H82" i="57"/>
  <c r="F104" i="51"/>
  <c r="F103" i="51"/>
  <c r="F96" i="51"/>
  <c r="F95" i="51"/>
  <c r="F84" i="51"/>
  <c r="F83" i="51"/>
  <c r="F68" i="51"/>
  <c r="F64" i="51"/>
  <c r="F60" i="51"/>
  <c r="F59" i="51"/>
  <c r="F58" i="51"/>
  <c r="F51" i="51"/>
  <c r="F47" i="51"/>
  <c r="F43" i="51"/>
  <c r="F107" i="51"/>
  <c r="F86" i="51"/>
  <c r="F85" i="51"/>
  <c r="F78" i="51"/>
  <c r="F74" i="51"/>
  <c r="D56" i="51"/>
  <c r="F56" i="51" s="1"/>
  <c r="F108" i="51"/>
  <c r="F106" i="51"/>
  <c r="F97" i="51"/>
  <c r="F69" i="51"/>
  <c r="F65" i="51"/>
  <c r="F61" i="51"/>
  <c r="F109" i="51"/>
  <c r="F88" i="51"/>
  <c r="F87" i="51"/>
  <c r="F52" i="51"/>
  <c r="F48" i="51"/>
  <c r="F44" i="51"/>
  <c r="L12" i="51"/>
  <c r="N12" i="51" s="1"/>
  <c r="F110" i="51"/>
  <c r="F99" i="51"/>
  <c r="F98" i="51"/>
  <c r="F79" i="51"/>
  <c r="F75" i="51"/>
  <c r="F71" i="51"/>
  <c r="F70" i="51"/>
  <c r="F90" i="51"/>
  <c r="F89" i="51"/>
  <c r="F66" i="51"/>
  <c r="F62" i="51"/>
  <c r="F53" i="51"/>
  <c r="F49" i="51"/>
  <c r="F45" i="51"/>
  <c r="F41" i="51"/>
  <c r="F40" i="51"/>
  <c r="F114" i="51"/>
  <c r="F100" i="51"/>
  <c r="F92" i="51"/>
  <c r="F91" i="51"/>
  <c r="F80" i="51"/>
  <c r="F76" i="51"/>
  <c r="F72" i="51"/>
  <c r="F67" i="51"/>
  <c r="F63" i="51"/>
  <c r="F102" i="51"/>
  <c r="F82" i="51"/>
  <c r="F42" i="51"/>
  <c r="F101" i="51"/>
  <c r="F81" i="51"/>
  <c r="F77" i="51"/>
  <c r="F73" i="51"/>
  <c r="F93" i="51"/>
  <c r="F54" i="51"/>
  <c r="F50" i="51"/>
  <c r="F46" i="51"/>
  <c r="F94" i="51"/>
  <c r="D26" i="54"/>
  <c r="L22" i="54"/>
  <c r="H140" i="36"/>
  <c r="H145" i="39"/>
  <c r="R106" i="33"/>
  <c r="R94" i="33"/>
  <c r="R82" i="33"/>
  <c r="R89" i="33"/>
  <c r="R74" i="33"/>
  <c r="R73" i="33"/>
  <c r="R96" i="33"/>
  <c r="R95" i="33"/>
  <c r="R84" i="33"/>
  <c r="R83" i="33"/>
  <c r="R75" i="33"/>
  <c r="R64" i="33"/>
  <c r="R63" i="33"/>
  <c r="R59" i="33"/>
  <c r="R55" i="33"/>
  <c r="R32" i="33"/>
  <c r="R110" i="33"/>
  <c r="R90" i="33"/>
  <c r="R97" i="33"/>
  <c r="R85" i="33"/>
  <c r="R101" i="33"/>
  <c r="R91" i="33"/>
  <c r="R104" i="33"/>
  <c r="R93" i="33"/>
  <c r="R92" i="33"/>
  <c r="R88" i="33"/>
  <c r="R81" i="33"/>
  <c r="R80" i="33"/>
  <c r="R53" i="33"/>
  <c r="R52" i="33"/>
  <c r="R48" i="33"/>
  <c r="R44" i="33"/>
  <c r="R105" i="33"/>
  <c r="R103" i="33"/>
  <c r="R43" i="33"/>
  <c r="R42" i="33"/>
  <c r="P40" i="33"/>
  <c r="R35" i="33"/>
  <c r="R86" i="33"/>
  <c r="R79" i="33"/>
  <c r="R70" i="33"/>
  <c r="R62" i="33"/>
  <c r="R50" i="33"/>
  <c r="R76" i="33"/>
  <c r="R67" i="33"/>
  <c r="R54" i="33"/>
  <c r="X12" i="33"/>
  <c r="Z12" i="33" s="1"/>
  <c r="R60" i="33"/>
  <c r="R57" i="33"/>
  <c r="R47" i="33"/>
  <c r="R36" i="33"/>
  <c r="R87" i="33"/>
  <c r="R68" i="33"/>
  <c r="R77" i="33"/>
  <c r="R71" i="33"/>
  <c r="R33" i="33"/>
  <c r="R99" i="33"/>
  <c r="R51" i="33"/>
  <c r="R45" i="33"/>
  <c r="R37" i="33"/>
  <c r="R58" i="33"/>
  <c r="R78" i="33"/>
  <c r="R72" i="33"/>
  <c r="R66" i="33"/>
  <c r="R65" i="33"/>
  <c r="R61" i="33"/>
  <c r="R38" i="33"/>
  <c r="R102" i="33"/>
  <c r="R100" i="33"/>
  <c r="R34" i="33"/>
  <c r="R56" i="33"/>
  <c r="R49" i="33"/>
  <c r="R46" i="33"/>
  <c r="R69" i="33"/>
  <c r="L82" i="24"/>
  <c r="D143" i="24"/>
  <c r="L16" i="6"/>
  <c r="D22" i="6"/>
  <c r="R316" i="3"/>
  <c r="R266" i="3"/>
  <c r="R255" i="3"/>
  <c r="R254" i="3"/>
  <c r="R247" i="3"/>
  <c r="R246" i="3"/>
  <c r="R239" i="3"/>
  <c r="R238" i="3"/>
  <c r="R210" i="3"/>
  <c r="R206" i="3"/>
  <c r="R317" i="3"/>
  <c r="R297" i="3"/>
  <c r="R282" i="3"/>
  <c r="R281" i="3"/>
  <c r="R277" i="3"/>
  <c r="R233" i="3"/>
  <c r="R226" i="3"/>
  <c r="R225" i="3"/>
  <c r="R202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318" i="3"/>
  <c r="R305" i="3"/>
  <c r="R304" i="3"/>
  <c r="R292" i="3"/>
  <c r="R288" i="3"/>
  <c r="R272" i="3"/>
  <c r="R257" i="3"/>
  <c r="R256" i="3"/>
  <c r="R248" i="3"/>
  <c r="R240" i="3"/>
  <c r="R220" i="3"/>
  <c r="R216" i="3"/>
  <c r="R201" i="3"/>
  <c r="R199" i="3"/>
  <c r="R137" i="3"/>
  <c r="R319" i="3"/>
  <c r="R283" i="3"/>
  <c r="R267" i="3"/>
  <c r="R227" i="3"/>
  <c r="R211" i="3"/>
  <c r="R207" i="3"/>
  <c r="R203" i="3"/>
  <c r="P199" i="3"/>
  <c r="R320" i="3"/>
  <c r="R306" i="3"/>
  <c r="R299" i="3"/>
  <c r="R298" i="3"/>
  <c r="R278" i="3"/>
  <c r="R259" i="3"/>
  <c r="R258" i="3"/>
  <c r="R234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321" i="3"/>
  <c r="R309" i="3"/>
  <c r="R308" i="3"/>
  <c r="R293" i="3"/>
  <c r="R289" i="3"/>
  <c r="R273" i="3"/>
  <c r="R250" i="3"/>
  <c r="R249" i="3"/>
  <c r="R241" i="3"/>
  <c r="R221" i="3"/>
  <c r="R217" i="3"/>
  <c r="R311" i="3"/>
  <c r="R279" i="3"/>
  <c r="R251" i="3"/>
  <c r="R236" i="3"/>
  <c r="R235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312" i="3"/>
  <c r="R302" i="3"/>
  <c r="R294" i="3"/>
  <c r="R290" i="3"/>
  <c r="R286" i="3"/>
  <c r="R275" i="3"/>
  <c r="R274" i="3"/>
  <c r="R263" i="3"/>
  <c r="R262" i="3"/>
  <c r="R243" i="3"/>
  <c r="R242" i="3"/>
  <c r="R231" i="3"/>
  <c r="R230" i="3"/>
  <c r="R222" i="3"/>
  <c r="R218" i="3"/>
  <c r="R214" i="3"/>
  <c r="X12" i="3"/>
  <c r="Z12" i="3" s="1"/>
  <c r="R330" i="3"/>
  <c r="R329" i="3"/>
  <c r="R314" i="3"/>
  <c r="R280" i="3"/>
  <c r="R276" i="3"/>
  <c r="R265" i="3"/>
  <c r="R264" i="3"/>
  <c r="R253" i="3"/>
  <c r="R252" i="3"/>
  <c r="R245" i="3"/>
  <c r="R244" i="3"/>
  <c r="R232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295" i="3"/>
  <c r="R270" i="3"/>
  <c r="R268" i="3"/>
  <c r="R260" i="3"/>
  <c r="R215" i="3"/>
  <c r="R301" i="3"/>
  <c r="R229" i="3"/>
  <c r="R219" i="3"/>
  <c r="R285" i="3"/>
  <c r="R223" i="3"/>
  <c r="R212" i="3"/>
  <c r="R208" i="3"/>
  <c r="R291" i="3"/>
  <c r="R303" i="3"/>
  <c r="R204" i="3"/>
  <c r="R261" i="3"/>
  <c r="R310" i="3"/>
  <c r="R296" i="3"/>
  <c r="R287" i="3"/>
  <c r="R315" i="3"/>
  <c r="R313" i="3"/>
  <c r="R271" i="3"/>
  <c r="R284" i="3"/>
  <c r="R269" i="3"/>
  <c r="R237" i="3"/>
  <c r="R224" i="3"/>
  <c r="R213" i="3"/>
  <c r="R300" i="3"/>
  <c r="R228" i="3"/>
  <c r="R209" i="3"/>
  <c r="R205" i="3"/>
  <c r="R325" i="3"/>
  <c r="H271" i="15"/>
  <c r="X18" i="49"/>
  <c r="P27" i="49"/>
  <c r="N18" i="50"/>
  <c r="H27" i="50"/>
  <c r="P27" i="43"/>
  <c r="X18" i="43"/>
  <c r="X18" i="32"/>
  <c r="P27" i="32"/>
  <c r="T27" i="28"/>
  <c r="Z18" i="28"/>
  <c r="H27" i="28"/>
  <c r="N18" i="28"/>
  <c r="T27" i="20"/>
  <c r="Z18" i="20"/>
  <c r="L18" i="13"/>
  <c r="D27" i="13"/>
  <c r="T27" i="8"/>
  <c r="Z18" i="8"/>
  <c r="T27" i="23"/>
  <c r="Z18" i="23"/>
  <c r="P27" i="10"/>
  <c r="X18" i="10"/>
  <c r="P27" i="4"/>
  <c r="X18" i="4"/>
  <c r="F71" i="48"/>
  <c r="F70" i="48"/>
  <c r="F63" i="48"/>
  <c r="F62" i="48"/>
  <c r="F58" i="48"/>
  <c r="F57" i="48"/>
  <c r="F46" i="48"/>
  <c r="F45" i="48"/>
  <c r="F38" i="48"/>
  <c r="F34" i="48"/>
  <c r="F74" i="48"/>
  <c r="F65" i="48"/>
  <c r="F64" i="48"/>
  <c r="F29" i="48"/>
  <c r="F25" i="48"/>
  <c r="F73" i="48"/>
  <c r="F48" i="48"/>
  <c r="F47" i="48"/>
  <c r="F19" i="48"/>
  <c r="F17" i="48"/>
  <c r="F15" i="48"/>
  <c r="F59" i="48"/>
  <c r="F39" i="48"/>
  <c r="F35" i="48"/>
  <c r="F31" i="48"/>
  <c r="F30" i="48"/>
  <c r="D17" i="48"/>
  <c r="F78" i="48"/>
  <c r="F66" i="48"/>
  <c r="F50" i="48"/>
  <c r="F49" i="48"/>
  <c r="F26" i="48"/>
  <c r="F22" i="48"/>
  <c r="L12" i="48"/>
  <c r="N12" i="48" s="1"/>
  <c r="F67" i="48"/>
  <c r="F54" i="48"/>
  <c r="F53" i="48"/>
  <c r="F42" i="48"/>
  <c r="F41" i="48"/>
  <c r="F55" i="48"/>
  <c r="F44" i="48"/>
  <c r="F61" i="48"/>
  <c r="F51" i="48"/>
  <c r="F40" i="48"/>
  <c r="F68" i="48"/>
  <c r="F37" i="48"/>
  <c r="F33" i="48"/>
  <c r="F28" i="48"/>
  <c r="F24" i="48"/>
  <c r="F56" i="48"/>
  <c r="F52" i="48"/>
  <c r="F43" i="48"/>
  <c r="F60" i="48"/>
  <c r="F69" i="48"/>
  <c r="F36" i="48"/>
  <c r="F23" i="48"/>
  <c r="F27" i="48"/>
  <c r="F20" i="48"/>
  <c r="F21" i="48"/>
  <c r="F32" i="48"/>
  <c r="L18" i="43"/>
  <c r="D27" i="43"/>
  <c r="H27" i="16"/>
  <c r="N18" i="16"/>
  <c r="H46" i="109"/>
  <c r="N16" i="109"/>
  <c r="H100" i="102"/>
  <c r="R80" i="101"/>
  <c r="R65" i="101"/>
  <c r="R64" i="101"/>
  <c r="R71" i="101"/>
  <c r="R70" i="101"/>
  <c r="R66" i="101"/>
  <c r="R59" i="101"/>
  <c r="R58" i="101"/>
  <c r="R76" i="101"/>
  <c r="R75" i="101"/>
  <c r="R68" i="101"/>
  <c r="R56" i="101"/>
  <c r="R55" i="101"/>
  <c r="R26" i="101"/>
  <c r="R21" i="101"/>
  <c r="R60" i="101"/>
  <c r="R72" i="101"/>
  <c r="R69" i="101"/>
  <c r="R67" i="101"/>
  <c r="R61" i="101"/>
  <c r="R73" i="101"/>
  <c r="R57" i="101"/>
  <c r="R51" i="101"/>
  <c r="R32" i="101"/>
  <c r="R28" i="101"/>
  <c r="X12" i="101"/>
  <c r="Z12" i="101" s="1"/>
  <c r="R52" i="101"/>
  <c r="R47" i="101"/>
  <c r="R42" i="101"/>
  <c r="R38" i="101"/>
  <c r="R62" i="101"/>
  <c r="R54" i="101"/>
  <c r="R53" i="101"/>
  <c r="R48" i="101"/>
  <c r="R33" i="101"/>
  <c r="R29" i="101"/>
  <c r="R43" i="101"/>
  <c r="R39" i="101"/>
  <c r="R63" i="101"/>
  <c r="R49" i="101"/>
  <c r="R35" i="101"/>
  <c r="R34" i="101"/>
  <c r="R30" i="101"/>
  <c r="R40" i="101"/>
  <c r="R31" i="101"/>
  <c r="R20" i="101"/>
  <c r="R27" i="101"/>
  <c r="P23" i="101"/>
  <c r="R45" i="101"/>
  <c r="R18" i="101"/>
  <c r="R36" i="101"/>
  <c r="R41" i="101"/>
  <c r="R25" i="101"/>
  <c r="R46" i="101"/>
  <c r="R19" i="101"/>
  <c r="R50" i="101"/>
  <c r="R44" i="101"/>
  <c r="R37" i="101"/>
  <c r="F90" i="98"/>
  <c r="F89" i="98"/>
  <c r="F78" i="98"/>
  <c r="F66" i="98"/>
  <c r="F65" i="98"/>
  <c r="F46" i="98"/>
  <c r="F42" i="98"/>
  <c r="F38" i="98"/>
  <c r="F92" i="98"/>
  <c r="F91" i="98"/>
  <c r="F74" i="98"/>
  <c r="F58" i="98"/>
  <c r="F57" i="98"/>
  <c r="F50" i="98"/>
  <c r="F49" i="98"/>
  <c r="F34" i="98"/>
  <c r="F30" i="98"/>
  <c r="F94" i="98"/>
  <c r="F85" i="98"/>
  <c r="F81" i="98"/>
  <c r="F69" i="98"/>
  <c r="F68" i="98"/>
  <c r="F98" i="98"/>
  <c r="F60" i="98"/>
  <c r="F59" i="98"/>
  <c r="F52" i="98"/>
  <c r="F51" i="98"/>
  <c r="F44" i="98"/>
  <c r="F40" i="98"/>
  <c r="F86" i="98"/>
  <c r="F82" i="98"/>
  <c r="F70" i="98"/>
  <c r="F62" i="98"/>
  <c r="F61" i="98"/>
  <c r="F54" i="98"/>
  <c r="F53" i="98"/>
  <c r="F25" i="98"/>
  <c r="F77" i="98"/>
  <c r="F76" i="98"/>
  <c r="F45" i="98"/>
  <c r="F41" i="98"/>
  <c r="F37" i="98"/>
  <c r="F36" i="98"/>
  <c r="F35" i="98"/>
  <c r="F19" i="98"/>
  <c r="F80" i="98"/>
  <c r="F87" i="98"/>
  <c r="F71" i="98"/>
  <c r="F63" i="98"/>
  <c r="F55" i="98"/>
  <c r="F47" i="98"/>
  <c r="D23" i="98"/>
  <c r="F83" i="98"/>
  <c r="F32" i="98"/>
  <c r="F28" i="98"/>
  <c r="L12" i="98"/>
  <c r="N12" i="98" s="1"/>
  <c r="F88" i="98"/>
  <c r="F64" i="98"/>
  <c r="F20" i="98"/>
  <c r="F72" i="98"/>
  <c r="F43" i="98"/>
  <c r="F79" i="98"/>
  <c r="F48" i="98"/>
  <c r="F73" i="98"/>
  <c r="F67" i="98"/>
  <c r="F39" i="98"/>
  <c r="F29" i="98"/>
  <c r="F18" i="98"/>
  <c r="F75" i="98"/>
  <c r="F31" i="98"/>
  <c r="F84" i="98"/>
  <c r="F26" i="98"/>
  <c r="F33" i="98"/>
  <c r="F56" i="98"/>
  <c r="F21" i="98"/>
  <c r="F27" i="98"/>
  <c r="L23" i="95"/>
  <c r="N23" i="95" s="1"/>
  <c r="D86" i="95"/>
  <c r="F79" i="93"/>
  <c r="F81" i="93"/>
  <c r="F80" i="93"/>
  <c r="F69" i="93"/>
  <c r="F61" i="93"/>
  <c r="F60" i="93"/>
  <c r="F53" i="93"/>
  <c r="F52" i="93"/>
  <c r="F24" i="93"/>
  <c r="F70" i="93"/>
  <c r="F54" i="93"/>
  <c r="F89" i="93"/>
  <c r="F55" i="93"/>
  <c r="F47" i="93"/>
  <c r="F46" i="93"/>
  <c r="F19" i="93"/>
  <c r="F18" i="93"/>
  <c r="F77" i="93"/>
  <c r="F73" i="93"/>
  <c r="F57" i="93"/>
  <c r="F56" i="93"/>
  <c r="F49" i="93"/>
  <c r="F48" i="93"/>
  <c r="F76" i="93"/>
  <c r="F26" i="93"/>
  <c r="F82" i="93"/>
  <c r="F42" i="93"/>
  <c r="F68" i="93"/>
  <c r="F64" i="93"/>
  <c r="F37" i="93"/>
  <c r="F33" i="93"/>
  <c r="F45" i="93"/>
  <c r="F30" i="93"/>
  <c r="F74" i="93"/>
  <c r="F40" i="93"/>
  <c r="F27" i="93"/>
  <c r="F20" i="93"/>
  <c r="F83" i="93"/>
  <c r="F71" i="93"/>
  <c r="F65" i="93"/>
  <c r="F58" i="93"/>
  <c r="L12" i="93"/>
  <c r="N12" i="93" s="1"/>
  <c r="F66" i="93"/>
  <c r="F43" i="93"/>
  <c r="F38" i="93"/>
  <c r="F34" i="93"/>
  <c r="F72" i="93"/>
  <c r="F31" i="93"/>
  <c r="F28" i="93"/>
  <c r="F78" i="93"/>
  <c r="F62" i="93"/>
  <c r="F59" i="93"/>
  <c r="F50" i="93"/>
  <c r="D22" i="93"/>
  <c r="F22" i="93" s="1"/>
  <c r="F44" i="93"/>
  <c r="F36" i="93"/>
  <c r="F32" i="93"/>
  <c r="F63" i="93"/>
  <c r="F25" i="93"/>
  <c r="F85" i="93"/>
  <c r="F51" i="93"/>
  <c r="F75" i="93"/>
  <c r="F41" i="93"/>
  <c r="F39" i="93"/>
  <c r="F35" i="93"/>
  <c r="F29" i="93"/>
  <c r="F67" i="93"/>
  <c r="N22" i="87"/>
  <c r="H26" i="87"/>
  <c r="F114" i="85"/>
  <c r="F102" i="85"/>
  <c r="F74" i="85"/>
  <c r="F70" i="85"/>
  <c r="F121" i="85"/>
  <c r="F120" i="85"/>
  <c r="F104" i="85"/>
  <c r="F103" i="85"/>
  <c r="F123" i="85"/>
  <c r="F122" i="85"/>
  <c r="F115" i="85"/>
  <c r="F111" i="85"/>
  <c r="F110" i="85"/>
  <c r="F95" i="85"/>
  <c r="F94" i="85"/>
  <c r="F83" i="85"/>
  <c r="F82" i="85"/>
  <c r="F75" i="85"/>
  <c r="F71" i="85"/>
  <c r="F67" i="85"/>
  <c r="F66" i="85"/>
  <c r="D53" i="85"/>
  <c r="F62" i="85"/>
  <c r="F58" i="85"/>
  <c r="F125" i="85"/>
  <c r="F124" i="85"/>
  <c r="F116" i="85"/>
  <c r="F112" i="85"/>
  <c r="F119" i="85"/>
  <c r="F91" i="85"/>
  <c r="F90" i="85"/>
  <c r="F51" i="85"/>
  <c r="F47" i="85"/>
  <c r="F43" i="85"/>
  <c r="F39" i="85"/>
  <c r="F105" i="85"/>
  <c r="F80" i="85"/>
  <c r="F76" i="85"/>
  <c r="F68" i="85"/>
  <c r="F60" i="85"/>
  <c r="F40" i="85"/>
  <c r="F108" i="85"/>
  <c r="F87" i="85"/>
  <c r="F65" i="85"/>
  <c r="F50" i="85"/>
  <c r="F37" i="85"/>
  <c r="F97" i="85"/>
  <c r="F77" i="85"/>
  <c r="F55" i="85"/>
  <c r="F44" i="85"/>
  <c r="F117" i="85"/>
  <c r="F100" i="85"/>
  <c r="F84" i="85"/>
  <c r="F81" i="85"/>
  <c r="F63" i="85"/>
  <c r="F41" i="85"/>
  <c r="F113" i="85"/>
  <c r="F61" i="85"/>
  <c r="F56" i="85"/>
  <c r="F38" i="85"/>
  <c r="F131" i="85"/>
  <c r="F106" i="85"/>
  <c r="F78" i="85"/>
  <c r="F69" i="85"/>
  <c r="F48" i="85"/>
  <c r="F45" i="85"/>
  <c r="F109" i="85"/>
  <c r="F101" i="85"/>
  <c r="F98" i="85"/>
  <c r="F85" i="85"/>
  <c r="F59" i="85"/>
  <c r="F42" i="85"/>
  <c r="F88" i="85"/>
  <c r="F72" i="85"/>
  <c r="F57" i="85"/>
  <c r="F92" i="85"/>
  <c r="F49" i="85"/>
  <c r="F35" i="85"/>
  <c r="F89" i="85"/>
  <c r="F86" i="85"/>
  <c r="F73" i="85"/>
  <c r="L12" i="85"/>
  <c r="N12" i="85" s="1"/>
  <c r="F118" i="85"/>
  <c r="F99" i="85"/>
  <c r="F53" i="85"/>
  <c r="F93" i="85"/>
  <c r="F64" i="85"/>
  <c r="F107" i="85"/>
  <c r="F36" i="85"/>
  <c r="F127" i="85"/>
  <c r="F46" i="85"/>
  <c r="F96" i="85"/>
  <c r="F79" i="85"/>
  <c r="D32" i="86"/>
  <c r="L20" i="86"/>
  <c r="H129" i="85"/>
  <c r="F115" i="75"/>
  <c r="F107" i="75"/>
  <c r="F95" i="75"/>
  <c r="F94" i="75"/>
  <c r="F63" i="75"/>
  <c r="F59" i="75"/>
  <c r="F102" i="75"/>
  <c r="F86" i="75"/>
  <c r="F85" i="75"/>
  <c r="F118" i="75"/>
  <c r="F97" i="75"/>
  <c r="F96" i="75"/>
  <c r="F77" i="75"/>
  <c r="F73" i="75"/>
  <c r="F69" i="75"/>
  <c r="F119" i="75"/>
  <c r="F117" i="75"/>
  <c r="F108" i="75"/>
  <c r="F104" i="75"/>
  <c r="F103" i="75"/>
  <c r="F64" i="75"/>
  <c r="F60" i="75"/>
  <c r="F120" i="75"/>
  <c r="F87" i="75"/>
  <c r="F79" i="75"/>
  <c r="F78" i="75"/>
  <c r="F51" i="75"/>
  <c r="F110" i="75"/>
  <c r="F109" i="75"/>
  <c r="F98" i="75"/>
  <c r="F74" i="75"/>
  <c r="F70" i="75"/>
  <c r="F124" i="75"/>
  <c r="F112" i="75"/>
  <c r="F111" i="75"/>
  <c r="F52" i="75"/>
  <c r="F48" i="75"/>
  <c r="F44" i="75"/>
  <c r="F40" i="75"/>
  <c r="F99" i="75"/>
  <c r="F91" i="75"/>
  <c r="F90" i="75"/>
  <c r="F75" i="75"/>
  <c r="F71" i="75"/>
  <c r="F101" i="75"/>
  <c r="F100" i="75"/>
  <c r="F93" i="75"/>
  <c r="F92" i="75"/>
  <c r="F56" i="75"/>
  <c r="F49" i="75"/>
  <c r="F45" i="75"/>
  <c r="F41" i="75"/>
  <c r="F37" i="75"/>
  <c r="F36" i="75"/>
  <c r="F105" i="75"/>
  <c r="F62" i="75"/>
  <c r="F83" i="75"/>
  <c r="F76" i="75"/>
  <c r="F66" i="75"/>
  <c r="F47" i="75"/>
  <c r="F42" i="75"/>
  <c r="F81" i="75"/>
  <c r="F50" i="75"/>
  <c r="L12" i="75"/>
  <c r="N12" i="75" s="1"/>
  <c r="F113" i="75"/>
  <c r="F67" i="75"/>
  <c r="F106" i="75"/>
  <c r="F88" i="75"/>
  <c r="F57" i="75"/>
  <c r="F43" i="75"/>
  <c r="F38" i="75"/>
  <c r="F84" i="75"/>
  <c r="F61" i="75"/>
  <c r="D54" i="75"/>
  <c r="F82" i="75"/>
  <c r="F65" i="75"/>
  <c r="F46" i="75"/>
  <c r="F114" i="75"/>
  <c r="F80" i="75"/>
  <c r="F68" i="75"/>
  <c r="F58" i="75"/>
  <c r="F89" i="75"/>
  <c r="F72" i="75"/>
  <c r="F39" i="75"/>
  <c r="L27" i="79"/>
  <c r="D74" i="79"/>
  <c r="T79" i="70"/>
  <c r="Z22" i="70"/>
  <c r="V22" i="70"/>
  <c r="T65" i="68"/>
  <c r="Z16" i="68"/>
  <c r="N16" i="55"/>
  <c r="H33" i="55"/>
  <c r="D78" i="57"/>
  <c r="L16" i="57"/>
  <c r="T138" i="42"/>
  <c r="R109" i="27"/>
  <c r="R102" i="27"/>
  <c r="R101" i="27"/>
  <c r="R57" i="27"/>
  <c r="R53" i="27"/>
  <c r="R49" i="27"/>
  <c r="R45" i="27"/>
  <c r="R117" i="27"/>
  <c r="R116" i="27"/>
  <c r="R93" i="27"/>
  <c r="R92" i="27"/>
  <c r="R84" i="27"/>
  <c r="R80" i="27"/>
  <c r="R76" i="27"/>
  <c r="R129" i="27"/>
  <c r="R103" i="27"/>
  <c r="R71" i="27"/>
  <c r="R67" i="27"/>
  <c r="R118" i="27"/>
  <c r="R110" i="27"/>
  <c r="R95" i="27"/>
  <c r="R94" i="27"/>
  <c r="R58" i="27"/>
  <c r="R54" i="27"/>
  <c r="R50" i="27"/>
  <c r="R46" i="27"/>
  <c r="R86" i="27"/>
  <c r="R85" i="27"/>
  <c r="R81" i="27"/>
  <c r="R77" i="27"/>
  <c r="R42" i="27"/>
  <c r="R104" i="27"/>
  <c r="R96" i="27"/>
  <c r="R72" i="27"/>
  <c r="R68" i="27"/>
  <c r="X12" i="27"/>
  <c r="Z12" i="27" s="1"/>
  <c r="R119" i="27"/>
  <c r="R112" i="27"/>
  <c r="R111" i="27"/>
  <c r="R122" i="27"/>
  <c r="R121" i="27"/>
  <c r="R82" i="27"/>
  <c r="R78" i="27"/>
  <c r="R63" i="27"/>
  <c r="R123" i="27"/>
  <c r="R113" i="27"/>
  <c r="R106" i="27"/>
  <c r="R105" i="27"/>
  <c r="R98" i="27"/>
  <c r="R97" i="27"/>
  <c r="R89" i="27"/>
  <c r="R73" i="27"/>
  <c r="R69" i="27"/>
  <c r="R65" i="27"/>
  <c r="P61" i="27"/>
  <c r="R125" i="27"/>
  <c r="R108" i="27"/>
  <c r="R107" i="27"/>
  <c r="R100" i="27"/>
  <c r="R99" i="27"/>
  <c r="R83" i="27"/>
  <c r="R79" i="27"/>
  <c r="R91" i="27"/>
  <c r="R75" i="27"/>
  <c r="R59" i="27"/>
  <c r="R114" i="27"/>
  <c r="R87" i="27"/>
  <c r="R44" i="27"/>
  <c r="R55" i="27"/>
  <c r="R51" i="27"/>
  <c r="R88" i="27"/>
  <c r="R74" i="27"/>
  <c r="R47" i="27"/>
  <c r="R115" i="27"/>
  <c r="R90" i="27"/>
  <c r="R64" i="27"/>
  <c r="R56" i="27"/>
  <c r="R43" i="27"/>
  <c r="R124" i="27"/>
  <c r="R70" i="27"/>
  <c r="R66" i="27"/>
  <c r="R52" i="27"/>
  <c r="R48" i="27"/>
  <c r="P143" i="24"/>
  <c r="X82" i="24"/>
  <c r="T299" i="18"/>
  <c r="L17" i="9"/>
  <c r="D102" i="9"/>
  <c r="T27" i="47"/>
  <c r="Z18" i="47"/>
  <c r="L18" i="40"/>
  <c r="D27" i="40"/>
  <c r="D27" i="32"/>
  <c r="L18" i="32"/>
  <c r="L18" i="22"/>
  <c r="D27" i="22"/>
  <c r="H27" i="34"/>
  <c r="N18" i="34"/>
  <c r="L18" i="26"/>
  <c r="D27" i="26"/>
  <c r="T27" i="14"/>
  <c r="Z18" i="14"/>
  <c r="T27" i="13"/>
  <c r="Z18" i="13"/>
  <c r="H27" i="14"/>
  <c r="N18" i="14"/>
  <c r="L18" i="7"/>
  <c r="D27" i="7"/>
  <c r="T27" i="10"/>
  <c r="Z18" i="10"/>
  <c r="T27" i="4"/>
  <c r="Z18" i="4"/>
  <c r="T27" i="5"/>
  <c r="Z18" i="5"/>
  <c r="T92" i="104"/>
  <c r="R132" i="69"/>
  <c r="R120" i="69"/>
  <c r="R115" i="69"/>
  <c r="R84" i="69"/>
  <c r="R80" i="69"/>
  <c r="R125" i="69"/>
  <c r="R108" i="69"/>
  <c r="R107" i="69"/>
  <c r="R71" i="69"/>
  <c r="R67" i="69"/>
  <c r="R63" i="69"/>
  <c r="R59" i="69"/>
  <c r="R55" i="69"/>
  <c r="R116" i="69"/>
  <c r="R99" i="69"/>
  <c r="R98" i="69"/>
  <c r="R94" i="69"/>
  <c r="R90" i="69"/>
  <c r="R110" i="69"/>
  <c r="R109" i="69"/>
  <c r="R85" i="69"/>
  <c r="R81" i="69"/>
  <c r="R127" i="69"/>
  <c r="R101" i="69"/>
  <c r="R100" i="69"/>
  <c r="R72" i="69"/>
  <c r="R68" i="69"/>
  <c r="R64" i="69"/>
  <c r="R60" i="69"/>
  <c r="R56" i="69"/>
  <c r="X12" i="69"/>
  <c r="Z12" i="69" s="1"/>
  <c r="R117" i="69"/>
  <c r="R112" i="69"/>
  <c r="R111" i="69"/>
  <c r="R95" i="69"/>
  <c r="R91" i="69"/>
  <c r="R52" i="69"/>
  <c r="R128" i="69"/>
  <c r="R121" i="69"/>
  <c r="R118" i="69"/>
  <c r="R103" i="69"/>
  <c r="R102" i="69"/>
  <c r="R86" i="69"/>
  <c r="R82" i="69"/>
  <c r="R122" i="69"/>
  <c r="R113" i="69"/>
  <c r="R78" i="69"/>
  <c r="R73" i="69"/>
  <c r="R69" i="69"/>
  <c r="R65" i="69"/>
  <c r="R61" i="69"/>
  <c r="R57" i="69"/>
  <c r="R53" i="69"/>
  <c r="R104" i="69"/>
  <c r="R96" i="69"/>
  <c r="R92" i="69"/>
  <c r="R77" i="69"/>
  <c r="R119" i="69"/>
  <c r="R88" i="69"/>
  <c r="R87" i="69"/>
  <c r="R83" i="69"/>
  <c r="R79" i="69"/>
  <c r="P75" i="69"/>
  <c r="R106" i="69"/>
  <c r="R66" i="69"/>
  <c r="R114" i="69"/>
  <c r="R62" i="69"/>
  <c r="R89" i="69"/>
  <c r="R58" i="69"/>
  <c r="R123" i="69"/>
  <c r="R93" i="69"/>
  <c r="R54" i="69"/>
  <c r="R105" i="69"/>
  <c r="R97" i="69"/>
  <c r="R70" i="69"/>
  <c r="R124" i="69"/>
  <c r="D81" i="56"/>
  <c r="L16" i="56"/>
  <c r="D134" i="42"/>
  <c r="L31" i="42"/>
  <c r="Z18" i="53"/>
  <c r="T27" i="53"/>
  <c r="X18" i="52"/>
  <c r="P27" i="52"/>
  <c r="X18" i="35"/>
  <c r="P27" i="35"/>
  <c r="D27" i="14"/>
  <c r="L18" i="14"/>
  <c r="T97" i="108"/>
  <c r="R88" i="106"/>
  <c r="R87" i="106"/>
  <c r="R71" i="106"/>
  <c r="R64" i="106"/>
  <c r="R63" i="106"/>
  <c r="R52" i="106"/>
  <c r="R51" i="106"/>
  <c r="R35" i="106"/>
  <c r="R31" i="106"/>
  <c r="R27" i="106"/>
  <c r="P23" i="106"/>
  <c r="R81" i="106"/>
  <c r="R77" i="106"/>
  <c r="R66" i="106"/>
  <c r="R65" i="106"/>
  <c r="R54" i="106"/>
  <c r="R53" i="106"/>
  <c r="R45" i="106"/>
  <c r="R41" i="106"/>
  <c r="R18" i="106"/>
  <c r="R89" i="106"/>
  <c r="R72" i="106"/>
  <c r="R37" i="106"/>
  <c r="R36" i="106"/>
  <c r="R67" i="106"/>
  <c r="R56" i="106"/>
  <c r="R55" i="106"/>
  <c r="R19" i="106"/>
  <c r="R91" i="106"/>
  <c r="R82" i="106"/>
  <c r="R78" i="106"/>
  <c r="R46" i="106"/>
  <c r="R42" i="106"/>
  <c r="R38" i="106"/>
  <c r="R73" i="106"/>
  <c r="R58" i="106"/>
  <c r="R57" i="106"/>
  <c r="R33" i="106"/>
  <c r="R29" i="106"/>
  <c r="R68" i="106"/>
  <c r="R20" i="106"/>
  <c r="R84" i="106"/>
  <c r="R83" i="106"/>
  <c r="R79" i="106"/>
  <c r="R60" i="106"/>
  <c r="R59" i="106"/>
  <c r="R48" i="106"/>
  <c r="R47" i="106"/>
  <c r="R43" i="106"/>
  <c r="R39" i="106"/>
  <c r="R86" i="106"/>
  <c r="R85" i="106"/>
  <c r="R70" i="106"/>
  <c r="R69" i="106"/>
  <c r="R62" i="106"/>
  <c r="R61" i="106"/>
  <c r="R50" i="106"/>
  <c r="R49" i="106"/>
  <c r="R26" i="106"/>
  <c r="R21" i="106"/>
  <c r="R95" i="106"/>
  <c r="R80" i="106"/>
  <c r="R76" i="106"/>
  <c r="R44" i="106"/>
  <c r="R40" i="106"/>
  <c r="R25" i="106"/>
  <c r="R23" i="106"/>
  <c r="R75" i="106"/>
  <c r="R74" i="106"/>
  <c r="R28" i="106"/>
  <c r="X12" i="106"/>
  <c r="Z12" i="106" s="1"/>
  <c r="R30" i="106"/>
  <c r="R34" i="106"/>
  <c r="R32" i="106"/>
  <c r="T96" i="102"/>
  <c r="V25" i="102"/>
  <c r="H83" i="94"/>
  <c r="R63" i="95"/>
  <c r="R36" i="95"/>
  <c r="R35" i="95"/>
  <c r="R31" i="95"/>
  <c r="R27" i="95"/>
  <c r="P23" i="95"/>
  <c r="R54" i="95"/>
  <c r="R77" i="95"/>
  <c r="R73" i="95"/>
  <c r="R45" i="95"/>
  <c r="R41" i="95"/>
  <c r="R37" i="95"/>
  <c r="R18" i="95"/>
  <c r="R65" i="95"/>
  <c r="R64" i="95"/>
  <c r="R32" i="95"/>
  <c r="R28" i="95"/>
  <c r="X12" i="95"/>
  <c r="Z12" i="95" s="1"/>
  <c r="R56" i="95"/>
  <c r="R55" i="95"/>
  <c r="R19" i="95"/>
  <c r="R88" i="95"/>
  <c r="R79" i="95"/>
  <c r="R78" i="95"/>
  <c r="R74" i="95"/>
  <c r="R67" i="95"/>
  <c r="R66" i="95"/>
  <c r="R47" i="95"/>
  <c r="R46" i="95"/>
  <c r="R42" i="95"/>
  <c r="R38" i="95"/>
  <c r="R58" i="95"/>
  <c r="R57" i="95"/>
  <c r="R33" i="95"/>
  <c r="R29" i="95"/>
  <c r="R81" i="95"/>
  <c r="R80" i="95"/>
  <c r="R69" i="95"/>
  <c r="R68" i="95"/>
  <c r="R49" i="95"/>
  <c r="R48" i="95"/>
  <c r="R20" i="95"/>
  <c r="R75" i="95"/>
  <c r="R60" i="95"/>
  <c r="R59" i="95"/>
  <c r="R43" i="95"/>
  <c r="R39" i="95"/>
  <c r="R62" i="95"/>
  <c r="R61" i="95"/>
  <c r="R26" i="95"/>
  <c r="R21" i="95"/>
  <c r="R70" i="95"/>
  <c r="R71" i="95"/>
  <c r="R40" i="95"/>
  <c r="R34" i="95"/>
  <c r="R23" i="95"/>
  <c r="R30" i="95"/>
  <c r="R52" i="95"/>
  <c r="R84" i="95"/>
  <c r="R44" i="95"/>
  <c r="R50" i="95"/>
  <c r="R72" i="95"/>
  <c r="R25" i="95"/>
  <c r="R76" i="95"/>
  <c r="R82" i="95"/>
  <c r="R51" i="95"/>
  <c r="R53" i="95"/>
  <c r="F105" i="96"/>
  <c r="F93" i="96"/>
  <c r="F92" i="96"/>
  <c r="F65" i="96"/>
  <c r="F64" i="96"/>
  <c r="F95" i="96"/>
  <c r="F94" i="96"/>
  <c r="F87" i="96"/>
  <c r="F83" i="96"/>
  <c r="F67" i="96"/>
  <c r="F66" i="96"/>
  <c r="F55" i="96"/>
  <c r="F47" i="96"/>
  <c r="F46" i="96"/>
  <c r="F19" i="96"/>
  <c r="F96" i="96"/>
  <c r="F88" i="96"/>
  <c r="F84" i="96"/>
  <c r="F68" i="96"/>
  <c r="F20" i="96"/>
  <c r="F79" i="96"/>
  <c r="F59" i="96"/>
  <c r="F58" i="96"/>
  <c r="F98" i="96"/>
  <c r="F97" i="96"/>
  <c r="F89" i="96"/>
  <c r="F85" i="96"/>
  <c r="F81" i="96"/>
  <c r="F80" i="96"/>
  <c r="F69" i="96"/>
  <c r="F61" i="96"/>
  <c r="F60" i="96"/>
  <c r="F53" i="96"/>
  <c r="F52" i="96"/>
  <c r="F24" i="96"/>
  <c r="F101" i="96"/>
  <c r="F100" i="96"/>
  <c r="F91" i="96"/>
  <c r="F90" i="96"/>
  <c r="F75" i="96"/>
  <c r="F63" i="96"/>
  <c r="F62" i="96"/>
  <c r="F31" i="96"/>
  <c r="F27" i="96"/>
  <c r="F40" i="96"/>
  <c r="F34" i="96"/>
  <c r="F25" i="96"/>
  <c r="F86" i="96"/>
  <c r="F82" i="96"/>
  <c r="F57" i="96"/>
  <c r="F48" i="96"/>
  <c r="F17" i="96"/>
  <c r="F45" i="96"/>
  <c r="F38" i="96"/>
  <c r="F26" i="96"/>
  <c r="F77" i="96"/>
  <c r="F70" i="96"/>
  <c r="F35" i="96"/>
  <c r="F18" i="96"/>
  <c r="L12" i="96"/>
  <c r="N12" i="96" s="1"/>
  <c r="F49" i="96"/>
  <c r="F43" i="96"/>
  <c r="F36" i="96"/>
  <c r="F32" i="96"/>
  <c r="F29" i="96"/>
  <c r="F78" i="96"/>
  <c r="F73" i="96"/>
  <c r="F50" i="96"/>
  <c r="F41" i="96"/>
  <c r="D22" i="96"/>
  <c r="F39" i="96"/>
  <c r="F30" i="96"/>
  <c r="F71" i="96"/>
  <c r="F56" i="96"/>
  <c r="F51" i="96"/>
  <c r="F72" i="96"/>
  <c r="F54" i="96"/>
  <c r="F42" i="96"/>
  <c r="F74" i="96"/>
  <c r="F76" i="96"/>
  <c r="F28" i="96"/>
  <c r="F37" i="96"/>
  <c r="F33" i="96"/>
  <c r="F44" i="96"/>
  <c r="T100" i="84"/>
  <c r="L22" i="81"/>
  <c r="N22" i="81" s="1"/>
  <c r="D83" i="81"/>
  <c r="R76" i="80"/>
  <c r="R75" i="80"/>
  <c r="R43" i="80"/>
  <c r="R39" i="80"/>
  <c r="R35" i="80"/>
  <c r="R63" i="80"/>
  <c r="R62" i="80"/>
  <c r="R55" i="80"/>
  <c r="R54" i="80"/>
  <c r="R30" i="80"/>
  <c r="R26" i="80"/>
  <c r="R83" i="80"/>
  <c r="R66" i="80"/>
  <c r="R65" i="80"/>
  <c r="R41" i="80"/>
  <c r="R37" i="80"/>
  <c r="R67" i="80"/>
  <c r="R71" i="80"/>
  <c r="R68" i="80"/>
  <c r="R61" i="80"/>
  <c r="R53" i="80"/>
  <c r="R49" i="80"/>
  <c r="R38" i="80"/>
  <c r="R29" i="80"/>
  <c r="R79" i="80"/>
  <c r="R18" i="80"/>
  <c r="R44" i="80"/>
  <c r="R72" i="80"/>
  <c r="R58" i="80"/>
  <c r="R45" i="80"/>
  <c r="R36" i="80"/>
  <c r="R27" i="80"/>
  <c r="R59" i="80"/>
  <c r="R50" i="80"/>
  <c r="R33" i="80"/>
  <c r="R19" i="80"/>
  <c r="R69" i="80"/>
  <c r="R42" i="80"/>
  <c r="X12" i="80"/>
  <c r="Z12" i="80" s="1"/>
  <c r="R34" i="80"/>
  <c r="R60" i="80"/>
  <c r="R51" i="80"/>
  <c r="R47" i="80"/>
  <c r="R46" i="80"/>
  <c r="R28" i="80"/>
  <c r="R20" i="80"/>
  <c r="R73" i="80"/>
  <c r="R70" i="80"/>
  <c r="R56" i="80"/>
  <c r="R40" i="80"/>
  <c r="R31" i="80"/>
  <c r="R64" i="80"/>
  <c r="R25" i="80"/>
  <c r="R24" i="80"/>
  <c r="P22" i="80"/>
  <c r="R77" i="80"/>
  <c r="R74" i="80"/>
  <c r="R57" i="80"/>
  <c r="R48" i="80"/>
  <c r="R52" i="80"/>
  <c r="R32" i="80"/>
  <c r="R17" i="80"/>
  <c r="T116" i="77"/>
  <c r="H112" i="77"/>
  <c r="X26" i="73"/>
  <c r="Z26" i="73" s="1"/>
  <c r="P85" i="73"/>
  <c r="F68" i="73"/>
  <c r="F48" i="73"/>
  <c r="F44" i="73"/>
  <c r="F40" i="73"/>
  <c r="F39" i="73"/>
  <c r="D26" i="73"/>
  <c r="F75" i="73"/>
  <c r="F59" i="73"/>
  <c r="F58" i="73"/>
  <c r="F35" i="73"/>
  <c r="F31" i="73"/>
  <c r="F83" i="73"/>
  <c r="F22" i="73"/>
  <c r="F21" i="73"/>
  <c r="F87" i="73"/>
  <c r="F69" i="73"/>
  <c r="F61" i="73"/>
  <c r="F60" i="73"/>
  <c r="F49" i="73"/>
  <c r="F45" i="73"/>
  <c r="F41" i="73"/>
  <c r="F76" i="73"/>
  <c r="F36" i="73"/>
  <c r="F32" i="73"/>
  <c r="F71" i="73"/>
  <c r="F70" i="73"/>
  <c r="F63" i="73"/>
  <c r="F62" i="73"/>
  <c r="F51" i="73"/>
  <c r="F50" i="73"/>
  <c r="F23" i="73"/>
  <c r="F46" i="73"/>
  <c r="F42" i="73"/>
  <c r="F77" i="73"/>
  <c r="F73" i="73"/>
  <c r="F72" i="73"/>
  <c r="F65" i="73"/>
  <c r="F64" i="73"/>
  <c r="F53" i="73"/>
  <c r="F52" i="73"/>
  <c r="F37" i="73"/>
  <c r="F33" i="73"/>
  <c r="F24" i="73"/>
  <c r="F74" i="73"/>
  <c r="F38" i="73"/>
  <c r="F34" i="73"/>
  <c r="F30" i="73"/>
  <c r="F29" i="73"/>
  <c r="L12" i="73"/>
  <c r="N12" i="73" s="1"/>
  <c r="F80" i="73"/>
  <c r="F55" i="73"/>
  <c r="F78" i="73"/>
  <c r="F57" i="73"/>
  <c r="F26" i="73"/>
  <c r="F66" i="73"/>
  <c r="F43" i="73"/>
  <c r="F81" i="73"/>
  <c r="F79" i="73"/>
  <c r="F67" i="73"/>
  <c r="F47" i="73"/>
  <c r="F56" i="73"/>
  <c r="F28" i="73"/>
  <c r="F54" i="73"/>
  <c r="F66" i="70"/>
  <c r="F58" i="70"/>
  <c r="F57" i="70"/>
  <c r="F60" i="70"/>
  <c r="F59" i="70"/>
  <c r="F20" i="70"/>
  <c r="F62" i="70"/>
  <c r="F61" i="70"/>
  <c r="F34" i="70"/>
  <c r="F30" i="70"/>
  <c r="F26" i="70"/>
  <c r="F25" i="70"/>
  <c r="F77" i="70"/>
  <c r="F70" i="70"/>
  <c r="F54" i="70"/>
  <c r="F18" i="70"/>
  <c r="F17" i="70"/>
  <c r="F56" i="70"/>
  <c r="F55" i="70"/>
  <c r="F32" i="70"/>
  <c r="F28" i="70"/>
  <c r="F73" i="70"/>
  <c r="F67" i="70"/>
  <c r="F65" i="70"/>
  <c r="F64" i="70"/>
  <c r="F36" i="70"/>
  <c r="F33" i="70"/>
  <c r="D22" i="70"/>
  <c r="F22" i="70" s="1"/>
  <c r="F81" i="70"/>
  <c r="F44" i="70"/>
  <c r="F39" i="70"/>
  <c r="F24" i="70"/>
  <c r="F52" i="70"/>
  <c r="F48" i="70"/>
  <c r="F42" i="70"/>
  <c r="F71" i="70"/>
  <c r="F68" i="70"/>
  <c r="F53" i="70"/>
  <c r="F49" i="70"/>
  <c r="F37" i="70"/>
  <c r="F31" i="70"/>
  <c r="F19" i="70"/>
  <c r="F45" i="70"/>
  <c r="F75" i="70"/>
  <c r="F74" i="70"/>
  <c r="F69" i="70"/>
  <c r="F63" i="70"/>
  <c r="F40" i="70"/>
  <c r="F43" i="70"/>
  <c r="F29" i="70"/>
  <c r="F51" i="70"/>
  <c r="F50" i="70"/>
  <c r="F35" i="70"/>
  <c r="F46" i="70"/>
  <c r="F38" i="70"/>
  <c r="F41" i="70"/>
  <c r="F47" i="70"/>
  <c r="L12" i="70"/>
  <c r="N12" i="70" s="1"/>
  <c r="F72" i="70"/>
  <c r="F27" i="70"/>
  <c r="P65" i="68"/>
  <c r="X16" i="68"/>
  <c r="N16" i="68"/>
  <c r="H65" i="68"/>
  <c r="H130" i="69"/>
  <c r="H74" i="59"/>
  <c r="N17" i="59"/>
  <c r="L16" i="55"/>
  <c r="D33" i="55"/>
  <c r="H22" i="54"/>
  <c r="N16" i="54"/>
  <c r="P83" i="58"/>
  <c r="F137" i="30"/>
  <c r="F125" i="30"/>
  <c r="F117" i="30"/>
  <c r="F116" i="30"/>
  <c r="F97" i="30"/>
  <c r="F81" i="30"/>
  <c r="F77" i="30"/>
  <c r="F73" i="30"/>
  <c r="F72" i="30"/>
  <c r="F153" i="30"/>
  <c r="F132" i="30"/>
  <c r="F131" i="30"/>
  <c r="F108" i="30"/>
  <c r="F107" i="30"/>
  <c r="F71" i="30"/>
  <c r="F64" i="30"/>
  <c r="F60" i="30"/>
  <c r="F56" i="30"/>
  <c r="F52" i="30"/>
  <c r="F48" i="30"/>
  <c r="F154" i="30"/>
  <c r="F152" i="30"/>
  <c r="F143" i="30"/>
  <c r="F119" i="30"/>
  <c r="F118" i="30"/>
  <c r="F99" i="30"/>
  <c r="F98" i="30"/>
  <c r="F91" i="30"/>
  <c r="F87" i="30"/>
  <c r="F83" i="30"/>
  <c r="F82" i="30"/>
  <c r="D69" i="30"/>
  <c r="F155" i="30"/>
  <c r="F138" i="30"/>
  <c r="F126" i="30"/>
  <c r="F78" i="30"/>
  <c r="F74" i="30"/>
  <c r="F145" i="30"/>
  <c r="F144" i="30"/>
  <c r="F133" i="30"/>
  <c r="F121" i="30"/>
  <c r="F120" i="30"/>
  <c r="F109" i="30"/>
  <c r="F101" i="30"/>
  <c r="F100" i="30"/>
  <c r="F65" i="30"/>
  <c r="F61" i="30"/>
  <c r="F57" i="30"/>
  <c r="F53" i="30"/>
  <c r="F49" i="30"/>
  <c r="F45" i="30"/>
  <c r="F44" i="30"/>
  <c r="F128" i="30"/>
  <c r="F127" i="30"/>
  <c r="F92" i="30"/>
  <c r="F88" i="30"/>
  <c r="F84" i="30"/>
  <c r="L12" i="30"/>
  <c r="N12" i="30" s="1"/>
  <c r="F159" i="30"/>
  <c r="F147" i="30"/>
  <c r="F146" i="30"/>
  <c r="F139" i="30"/>
  <c r="F135" i="30"/>
  <c r="F134" i="30"/>
  <c r="F111" i="30"/>
  <c r="F110" i="30"/>
  <c r="F79" i="30"/>
  <c r="F75" i="30"/>
  <c r="F122" i="30"/>
  <c r="F102" i="30"/>
  <c r="F94" i="30"/>
  <c r="F93" i="30"/>
  <c r="F66" i="30"/>
  <c r="F62" i="30"/>
  <c r="F58" i="30"/>
  <c r="F54" i="30"/>
  <c r="F50" i="30"/>
  <c r="F46" i="30"/>
  <c r="F129" i="30"/>
  <c r="F113" i="30"/>
  <c r="F112" i="30"/>
  <c r="F89" i="30"/>
  <c r="F85" i="30"/>
  <c r="F115" i="30"/>
  <c r="F114" i="30"/>
  <c r="F67" i="30"/>
  <c r="F63" i="30"/>
  <c r="F59" i="30"/>
  <c r="F55" i="30"/>
  <c r="F51" i="30"/>
  <c r="F47" i="30"/>
  <c r="F140" i="30"/>
  <c r="F76" i="30"/>
  <c r="F150" i="30"/>
  <c r="F124" i="30"/>
  <c r="F105" i="30"/>
  <c r="F148" i="30"/>
  <c r="F95" i="30"/>
  <c r="F103" i="30"/>
  <c r="F80" i="30"/>
  <c r="F141" i="30"/>
  <c r="F86" i="30"/>
  <c r="F149" i="30"/>
  <c r="F130" i="30"/>
  <c r="F106" i="30"/>
  <c r="F96" i="30"/>
  <c r="F123" i="30"/>
  <c r="F104" i="30"/>
  <c r="F90" i="30"/>
  <c r="F136" i="30"/>
  <c r="F142" i="30"/>
  <c r="T157" i="30"/>
  <c r="H102" i="9"/>
  <c r="N17" i="9"/>
  <c r="H323" i="3"/>
  <c r="F279" i="12"/>
  <c r="F268" i="12"/>
  <c r="F260" i="12"/>
  <c r="F256" i="12"/>
  <c r="F252" i="12"/>
  <c r="F251" i="12"/>
  <c r="F240" i="12"/>
  <c r="F228" i="12"/>
  <c r="F227" i="12"/>
  <c r="F216" i="12"/>
  <c r="F208" i="12"/>
  <c r="F207" i="12"/>
  <c r="F280" i="12"/>
  <c r="F281" i="12"/>
  <c r="F262" i="12"/>
  <c r="F261" i="12"/>
  <c r="F246" i="12"/>
  <c r="F242" i="12"/>
  <c r="F241" i="12"/>
  <c r="F230" i="12"/>
  <c r="F229" i="12"/>
  <c r="F218" i="12"/>
  <c r="F217" i="12"/>
  <c r="F202" i="12"/>
  <c r="F282" i="12"/>
  <c r="F269" i="12"/>
  <c r="F257" i="12"/>
  <c r="F253" i="12"/>
  <c r="F237" i="12"/>
  <c r="F236" i="12"/>
  <c r="F209" i="12"/>
  <c r="F189" i="12"/>
  <c r="F185" i="12"/>
  <c r="D167" i="12"/>
  <c r="F232" i="12"/>
  <c r="F231" i="12"/>
  <c r="F220" i="12"/>
  <c r="F219" i="12"/>
  <c r="F196" i="12"/>
  <c r="F180" i="12"/>
  <c r="F176" i="12"/>
  <c r="F271" i="12"/>
  <c r="F270" i="12"/>
  <c r="F263" i="12"/>
  <c r="F247" i="12"/>
  <c r="F243" i="12"/>
  <c r="F211" i="12"/>
  <c r="F210" i="12"/>
  <c r="F203" i="12"/>
  <c r="F163" i="12"/>
  <c r="F159" i="12"/>
  <c r="F155" i="12"/>
  <c r="F151" i="12"/>
  <c r="F147" i="12"/>
  <c r="F143" i="12"/>
  <c r="F139" i="12"/>
  <c r="F135" i="12"/>
  <c r="F131" i="12"/>
  <c r="F127" i="12"/>
  <c r="F123" i="12"/>
  <c r="F119" i="12"/>
  <c r="F115" i="12"/>
  <c r="F274" i="12"/>
  <c r="F265" i="12"/>
  <c r="F264" i="12"/>
  <c r="F249" i="12"/>
  <c r="F248" i="12"/>
  <c r="F233" i="12"/>
  <c r="F213" i="12"/>
  <c r="F212" i="12"/>
  <c r="F205" i="12"/>
  <c r="F204" i="12"/>
  <c r="F177" i="12"/>
  <c r="F173" i="12"/>
  <c r="F275" i="12"/>
  <c r="F273" i="12"/>
  <c r="F244" i="12"/>
  <c r="F224" i="12"/>
  <c r="F223" i="12"/>
  <c r="F200" i="12"/>
  <c r="F199" i="12"/>
  <c r="F164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277" i="12"/>
  <c r="F250" i="12"/>
  <c r="F234" i="12"/>
  <c r="F226" i="12"/>
  <c r="F225" i="12"/>
  <c r="F206" i="12"/>
  <c r="F178" i="12"/>
  <c r="F174" i="12"/>
  <c r="F267" i="12"/>
  <c r="F172" i="12"/>
  <c r="F161" i="12"/>
  <c r="F130" i="12"/>
  <c r="L12" i="12"/>
  <c r="N12" i="12" s="1"/>
  <c r="F278" i="12"/>
  <c r="F276" i="12"/>
  <c r="F259" i="12"/>
  <c r="F222" i="12"/>
  <c r="F194" i="12"/>
  <c r="F169" i="12"/>
  <c r="F150" i="12"/>
  <c r="F133" i="12"/>
  <c r="F239" i="12"/>
  <c r="F179" i="12"/>
  <c r="F153" i="12"/>
  <c r="F122" i="12"/>
  <c r="F235" i="12"/>
  <c r="F192" i="12"/>
  <c r="F170" i="12"/>
  <c r="F142" i="12"/>
  <c r="F125" i="12"/>
  <c r="F254" i="12"/>
  <c r="F188" i="12"/>
  <c r="F186" i="12"/>
  <c r="F184" i="12"/>
  <c r="F182" i="12"/>
  <c r="F175" i="12"/>
  <c r="F162" i="12"/>
  <c r="F145" i="12"/>
  <c r="F114" i="12"/>
  <c r="F197" i="12"/>
  <c r="F190" i="12"/>
  <c r="F165" i="12"/>
  <c r="F134" i="12"/>
  <c r="F117" i="12"/>
  <c r="F258" i="12"/>
  <c r="F245" i="12"/>
  <c r="F201" i="12"/>
  <c r="F195" i="12"/>
  <c r="F154" i="12"/>
  <c r="F137" i="12"/>
  <c r="F238" i="12"/>
  <c r="F221" i="12"/>
  <c r="F214" i="12"/>
  <c r="F171" i="12"/>
  <c r="F157" i="12"/>
  <c r="F126" i="12"/>
  <c r="F266" i="12"/>
  <c r="F193" i="12"/>
  <c r="F146" i="12"/>
  <c r="F129" i="12"/>
  <c r="F112" i="12"/>
  <c r="F255" i="12"/>
  <c r="F215" i="12"/>
  <c r="F191" i="12"/>
  <c r="F187" i="12"/>
  <c r="F183" i="12"/>
  <c r="F138" i="12"/>
  <c r="F121" i="12"/>
  <c r="F181" i="12"/>
  <c r="F149" i="12"/>
  <c r="F286" i="12"/>
  <c r="F118" i="12"/>
  <c r="F198" i="12"/>
  <c r="F113" i="12"/>
  <c r="F158" i="12"/>
  <c r="F141" i="12"/>
  <c r="H27" i="111"/>
  <c r="N18" i="111"/>
  <c r="H27" i="53"/>
  <c r="N18" i="53"/>
  <c r="H27" i="47"/>
  <c r="N18" i="47"/>
  <c r="X18" i="38"/>
  <c r="P27" i="38"/>
  <c r="H27" i="38"/>
  <c r="N18" i="38"/>
  <c r="L18" i="34"/>
  <c r="D27" i="34"/>
  <c r="D27" i="29"/>
  <c r="L18" i="29"/>
  <c r="L18" i="28"/>
  <c r="D27" i="28"/>
  <c r="P27" i="34"/>
  <c r="X18" i="34"/>
  <c r="L18" i="23"/>
  <c r="D27" i="23"/>
  <c r="X18" i="16"/>
  <c r="P27" i="16"/>
  <c r="L18" i="17"/>
  <c r="D27" i="17"/>
  <c r="X18" i="8"/>
  <c r="P27" i="8"/>
  <c r="T134" i="69"/>
  <c r="Z16" i="87"/>
  <c r="T22" i="87"/>
  <c r="F89" i="76"/>
  <c r="F87" i="76"/>
  <c r="F74" i="76"/>
  <c r="F93" i="76"/>
  <c r="F82" i="76"/>
  <c r="F81" i="76"/>
  <c r="F83" i="76"/>
  <c r="F77" i="76"/>
  <c r="F70" i="76"/>
  <c r="F60" i="76"/>
  <c r="F59" i="76"/>
  <c r="F52" i="76"/>
  <c r="F48" i="76"/>
  <c r="F80" i="76"/>
  <c r="F43" i="76"/>
  <c r="F39" i="76"/>
  <c r="F35" i="76"/>
  <c r="F34" i="76"/>
  <c r="F62" i="76"/>
  <c r="F61" i="76"/>
  <c r="F33" i="76"/>
  <c r="F29" i="76"/>
  <c r="F53" i="76"/>
  <c r="F49" i="76"/>
  <c r="F45" i="76"/>
  <c r="F44" i="76"/>
  <c r="D31" i="76"/>
  <c r="F31" i="76" s="1"/>
  <c r="F78" i="76"/>
  <c r="F75" i="76"/>
  <c r="F71" i="76"/>
  <c r="F64" i="76"/>
  <c r="F63" i="76"/>
  <c r="F40" i="76"/>
  <c r="F36" i="76"/>
  <c r="F88" i="76"/>
  <c r="F84" i="76"/>
  <c r="F66" i="76"/>
  <c r="F65" i="76"/>
  <c r="F54" i="76"/>
  <c r="F50" i="76"/>
  <c r="F46" i="76"/>
  <c r="L12" i="76"/>
  <c r="N12" i="76" s="1"/>
  <c r="F76" i="76"/>
  <c r="F72" i="76"/>
  <c r="F41" i="76"/>
  <c r="F37" i="76"/>
  <c r="F85" i="76"/>
  <c r="F79" i="76"/>
  <c r="F73" i="76"/>
  <c r="F51" i="76"/>
  <c r="F47" i="76"/>
  <c r="F55" i="76"/>
  <c r="F58" i="76"/>
  <c r="F69" i="76"/>
  <c r="F56" i="76"/>
  <c r="F67" i="76"/>
  <c r="F68" i="76"/>
  <c r="F42" i="76"/>
  <c r="F38" i="76"/>
  <c r="F57" i="76"/>
  <c r="V61" i="71"/>
  <c r="T127" i="71"/>
  <c r="R81" i="76"/>
  <c r="R80" i="76"/>
  <c r="R76" i="76"/>
  <c r="R82" i="76"/>
  <c r="R70" i="76"/>
  <c r="R84" i="76"/>
  <c r="R83" i="76"/>
  <c r="R72" i="76"/>
  <c r="R71" i="76"/>
  <c r="R78" i="76"/>
  <c r="R89" i="76"/>
  <c r="R53" i="76"/>
  <c r="R49" i="76"/>
  <c r="R45" i="76"/>
  <c r="R75" i="76"/>
  <c r="R65" i="76"/>
  <c r="R64" i="76"/>
  <c r="R40" i="76"/>
  <c r="R36" i="76"/>
  <c r="R88" i="76"/>
  <c r="R67" i="76"/>
  <c r="R66" i="76"/>
  <c r="R55" i="76"/>
  <c r="R54" i="76"/>
  <c r="R50" i="76"/>
  <c r="R46" i="76"/>
  <c r="X12" i="76"/>
  <c r="Z12" i="76" s="1"/>
  <c r="R41" i="76"/>
  <c r="R37" i="76"/>
  <c r="R68" i="76"/>
  <c r="R57" i="76"/>
  <c r="R56" i="76"/>
  <c r="R85" i="76"/>
  <c r="R73" i="76"/>
  <c r="R69" i="76"/>
  <c r="R51" i="76"/>
  <c r="R47" i="76"/>
  <c r="R79" i="76"/>
  <c r="R59" i="76"/>
  <c r="R58" i="76"/>
  <c r="R42" i="76"/>
  <c r="R38" i="76"/>
  <c r="R34" i="76"/>
  <c r="R44" i="76"/>
  <c r="R43" i="76"/>
  <c r="R39" i="76"/>
  <c r="R35" i="76"/>
  <c r="P31" i="76"/>
  <c r="R31" i="76" s="1"/>
  <c r="R60" i="76"/>
  <c r="R29" i="76"/>
  <c r="R93" i="76"/>
  <c r="R77" i="76"/>
  <c r="R33" i="76"/>
  <c r="R63" i="76"/>
  <c r="R61" i="76"/>
  <c r="R87" i="76"/>
  <c r="R52" i="76"/>
  <c r="R74" i="76"/>
  <c r="R48" i="76"/>
  <c r="R62" i="76"/>
  <c r="T61" i="60"/>
  <c r="Z16" i="60"/>
  <c r="D76" i="58"/>
  <c r="L16" i="58"/>
  <c r="T76" i="58"/>
  <c r="Z16" i="58"/>
  <c r="T33" i="55"/>
  <c r="Z16" i="55"/>
  <c r="Z22" i="54"/>
  <c r="T26" i="54"/>
  <c r="R136" i="42"/>
  <c r="R103" i="42"/>
  <c r="R87" i="42"/>
  <c r="R60" i="42"/>
  <c r="R59" i="42"/>
  <c r="R43" i="42"/>
  <c r="R39" i="42"/>
  <c r="R35" i="42"/>
  <c r="R129" i="42"/>
  <c r="R128" i="42"/>
  <c r="R113" i="42"/>
  <c r="R109" i="42"/>
  <c r="R132" i="42"/>
  <c r="R122" i="42"/>
  <c r="R114" i="42"/>
  <c r="R110" i="42"/>
  <c r="R106" i="42"/>
  <c r="R94" i="42"/>
  <c r="R100" i="42"/>
  <c r="R73" i="42"/>
  <c r="R72" i="42"/>
  <c r="R64" i="42"/>
  <c r="R124" i="42"/>
  <c r="R119" i="42"/>
  <c r="R92" i="42"/>
  <c r="R48" i="42"/>
  <c r="R98" i="42"/>
  <c r="R95" i="42"/>
  <c r="R86" i="42"/>
  <c r="R65" i="42"/>
  <c r="R55" i="42"/>
  <c r="R45" i="42"/>
  <c r="R28" i="42"/>
  <c r="R131" i="42"/>
  <c r="R125" i="42"/>
  <c r="R117" i="42"/>
  <c r="R112" i="42"/>
  <c r="R89" i="42"/>
  <c r="R70" i="42"/>
  <c r="R62" i="42"/>
  <c r="R61" i="42"/>
  <c r="R36" i="42"/>
  <c r="R108" i="42"/>
  <c r="R101" i="42"/>
  <c r="R81" i="42"/>
  <c r="R76" i="42"/>
  <c r="R71" i="42"/>
  <c r="R56" i="42"/>
  <c r="R52" i="42"/>
  <c r="R49" i="42"/>
  <c r="R42" i="42"/>
  <c r="R120" i="42"/>
  <c r="R104" i="42"/>
  <c r="R96" i="42"/>
  <c r="R93" i="42"/>
  <c r="R82" i="42"/>
  <c r="R46" i="42"/>
  <c r="R29" i="42"/>
  <c r="R66" i="42"/>
  <c r="R57" i="42"/>
  <c r="R33" i="42"/>
  <c r="R31" i="42"/>
  <c r="X12" i="42"/>
  <c r="Z12" i="42" s="1"/>
  <c r="R115" i="42"/>
  <c r="R90" i="42"/>
  <c r="R78" i="42"/>
  <c r="R77" i="42"/>
  <c r="R63" i="42"/>
  <c r="R53" i="42"/>
  <c r="R50" i="42"/>
  <c r="R34" i="42"/>
  <c r="P31" i="42"/>
  <c r="R123" i="42"/>
  <c r="R111" i="42"/>
  <c r="R102" i="42"/>
  <c r="R99" i="42"/>
  <c r="R97" i="42"/>
  <c r="R91" i="42"/>
  <c r="R83" i="42"/>
  <c r="R67" i="42"/>
  <c r="R58" i="42"/>
  <c r="R40" i="42"/>
  <c r="R37" i="42"/>
  <c r="R126" i="42"/>
  <c r="R107" i="42"/>
  <c r="R47" i="42"/>
  <c r="R26" i="42"/>
  <c r="R130" i="42"/>
  <c r="R121" i="42"/>
  <c r="R118" i="42"/>
  <c r="R105" i="42"/>
  <c r="R88" i="42"/>
  <c r="R84" i="42"/>
  <c r="R54" i="42"/>
  <c r="R38" i="42"/>
  <c r="R80" i="42"/>
  <c r="R74" i="42"/>
  <c r="R68" i="42"/>
  <c r="R51" i="42"/>
  <c r="R44" i="42"/>
  <c r="R69" i="42"/>
  <c r="R116" i="42"/>
  <c r="R85" i="42"/>
  <c r="R75" i="42"/>
  <c r="R27" i="42"/>
  <c r="R41" i="42"/>
  <c r="R79" i="42"/>
  <c r="T145" i="39"/>
  <c r="R146" i="30"/>
  <c r="R145" i="30"/>
  <c r="R134" i="30"/>
  <c r="R133" i="30"/>
  <c r="R121" i="30"/>
  <c r="R110" i="30"/>
  <c r="R109" i="30"/>
  <c r="R101" i="30"/>
  <c r="R65" i="30"/>
  <c r="R61" i="30"/>
  <c r="R57" i="30"/>
  <c r="R53" i="30"/>
  <c r="R49" i="30"/>
  <c r="R45" i="30"/>
  <c r="R128" i="30"/>
  <c r="R93" i="30"/>
  <c r="R92" i="30"/>
  <c r="R88" i="30"/>
  <c r="R84" i="30"/>
  <c r="X12" i="30"/>
  <c r="Z12" i="30" s="1"/>
  <c r="R159" i="30"/>
  <c r="R147" i="30"/>
  <c r="R139" i="30"/>
  <c r="R135" i="30"/>
  <c r="R112" i="30"/>
  <c r="R111" i="30"/>
  <c r="R79" i="30"/>
  <c r="R75" i="30"/>
  <c r="R123" i="30"/>
  <c r="R122" i="30"/>
  <c r="R103" i="30"/>
  <c r="R102" i="30"/>
  <c r="R95" i="30"/>
  <c r="R94" i="30"/>
  <c r="R66" i="30"/>
  <c r="R62" i="30"/>
  <c r="R58" i="30"/>
  <c r="R54" i="30"/>
  <c r="R50" i="30"/>
  <c r="R46" i="30"/>
  <c r="R129" i="30"/>
  <c r="R114" i="30"/>
  <c r="R113" i="30"/>
  <c r="R89" i="30"/>
  <c r="R85" i="30"/>
  <c r="R149" i="30"/>
  <c r="R148" i="30"/>
  <c r="R141" i="30"/>
  <c r="R140" i="30"/>
  <c r="R136" i="30"/>
  <c r="R124" i="30"/>
  <c r="R105" i="30"/>
  <c r="R104" i="30"/>
  <c r="R96" i="30"/>
  <c r="R80" i="30"/>
  <c r="R76" i="30"/>
  <c r="R116" i="30"/>
  <c r="R115" i="30"/>
  <c r="R72" i="30"/>
  <c r="R67" i="30"/>
  <c r="R63" i="30"/>
  <c r="R59" i="30"/>
  <c r="R55" i="30"/>
  <c r="R51" i="30"/>
  <c r="R47" i="30"/>
  <c r="R150" i="30"/>
  <c r="R142" i="30"/>
  <c r="R131" i="30"/>
  <c r="R130" i="30"/>
  <c r="R107" i="30"/>
  <c r="R106" i="30"/>
  <c r="R90" i="30"/>
  <c r="R86" i="30"/>
  <c r="R71" i="30"/>
  <c r="R69" i="30"/>
  <c r="R153" i="30"/>
  <c r="R152" i="30"/>
  <c r="R137" i="30"/>
  <c r="R125" i="30"/>
  <c r="R118" i="30"/>
  <c r="R117" i="30"/>
  <c r="R98" i="30"/>
  <c r="R97" i="30"/>
  <c r="R82" i="30"/>
  <c r="R81" i="30"/>
  <c r="R77" i="30"/>
  <c r="R73" i="30"/>
  <c r="P69" i="30"/>
  <c r="R155" i="30"/>
  <c r="R144" i="30"/>
  <c r="R143" i="30"/>
  <c r="R120" i="30"/>
  <c r="R119" i="30"/>
  <c r="R100" i="30"/>
  <c r="R99" i="30"/>
  <c r="R91" i="30"/>
  <c r="R87" i="30"/>
  <c r="R83" i="30"/>
  <c r="R44" i="30"/>
  <c r="R126" i="30"/>
  <c r="R60" i="30"/>
  <c r="R64" i="30"/>
  <c r="R132" i="30"/>
  <c r="R108" i="30"/>
  <c r="R127" i="30"/>
  <c r="R74" i="30"/>
  <c r="R154" i="30"/>
  <c r="R138" i="30"/>
  <c r="R48" i="30"/>
  <c r="R78" i="30"/>
  <c r="R52" i="30"/>
  <c r="R56" i="30"/>
  <c r="T143" i="24"/>
  <c r="Z82" i="24"/>
  <c r="H299" i="18"/>
  <c r="L18" i="111"/>
  <c r="D27" i="111"/>
  <c r="T27" i="46"/>
  <c r="Z18" i="46"/>
  <c r="H27" i="49"/>
  <c r="N18" i="49"/>
  <c r="T27" i="35"/>
  <c r="Z18" i="35"/>
  <c r="X18" i="29"/>
  <c r="P27" i="29"/>
  <c r="D27" i="35"/>
  <c r="L18" i="35"/>
  <c r="L18" i="31"/>
  <c r="D27" i="31"/>
  <c r="H27" i="26"/>
  <c r="N18" i="26"/>
  <c r="H27" i="19"/>
  <c r="N18" i="19"/>
  <c r="H27" i="11"/>
  <c r="N18" i="11"/>
  <c r="H27" i="10"/>
  <c r="N18" i="10"/>
  <c r="P27" i="17"/>
  <c r="X18" i="17"/>
  <c r="X18" i="11"/>
  <c r="P27" i="11"/>
  <c r="X18" i="5"/>
  <c r="P27" i="5"/>
  <c r="T87" i="89"/>
  <c r="Z23" i="89"/>
  <c r="V23" i="89"/>
  <c r="H96" i="92"/>
  <c r="N16" i="92"/>
  <c r="T93" i="106"/>
  <c r="V23" i="106"/>
  <c r="R63" i="105"/>
  <c r="R48" i="105"/>
  <c r="R47" i="105"/>
  <c r="R50" i="105"/>
  <c r="R49" i="105"/>
  <c r="R33" i="105"/>
  <c r="R29" i="105"/>
  <c r="R61" i="105"/>
  <c r="R54" i="105"/>
  <c r="R53" i="105"/>
  <c r="R67" i="105"/>
  <c r="R60" i="105"/>
  <c r="R38" i="105"/>
  <c r="R32" i="105"/>
  <c r="R25" i="105"/>
  <c r="R57" i="105"/>
  <c r="R44" i="105"/>
  <c r="R41" i="105"/>
  <c r="P23" i="105"/>
  <c r="R27" i="105"/>
  <c r="R36" i="105"/>
  <c r="R30" i="105"/>
  <c r="R18" i="105"/>
  <c r="R55" i="105"/>
  <c r="R39" i="105"/>
  <c r="X12" i="105"/>
  <c r="Z12" i="105" s="1"/>
  <c r="R42" i="105"/>
  <c r="R19" i="105"/>
  <c r="R58" i="105"/>
  <c r="R45" i="105"/>
  <c r="R31" i="105"/>
  <c r="R28" i="105"/>
  <c r="R56" i="105"/>
  <c r="R51" i="105"/>
  <c r="R40" i="105"/>
  <c r="R37" i="105"/>
  <c r="R20" i="105"/>
  <c r="R46" i="105"/>
  <c r="R43" i="105"/>
  <c r="R34" i="105"/>
  <c r="R52" i="105"/>
  <c r="R21" i="105"/>
  <c r="R59" i="105"/>
  <c r="R35" i="105"/>
  <c r="R26" i="105"/>
  <c r="H63" i="103"/>
  <c r="N16" i="103"/>
  <c r="F89" i="102"/>
  <c r="F88" i="102"/>
  <c r="F64" i="102"/>
  <c r="F63" i="102"/>
  <c r="F27" i="102"/>
  <c r="F91" i="102"/>
  <c r="F90" i="102"/>
  <c r="F83" i="102"/>
  <c r="F79" i="102"/>
  <c r="F71" i="102"/>
  <c r="F55" i="102"/>
  <c r="F54" i="102"/>
  <c r="F47" i="102"/>
  <c r="F43" i="102"/>
  <c r="F66" i="102"/>
  <c r="F65" i="102"/>
  <c r="F38" i="102"/>
  <c r="F34" i="102"/>
  <c r="F30" i="102"/>
  <c r="F94" i="102"/>
  <c r="F73" i="102"/>
  <c r="F72" i="102"/>
  <c r="F57" i="102"/>
  <c r="F56" i="102"/>
  <c r="F21" i="102"/>
  <c r="F20" i="102"/>
  <c r="F93" i="102"/>
  <c r="F84" i="102"/>
  <c r="F80" i="102"/>
  <c r="F76" i="102"/>
  <c r="F75" i="102"/>
  <c r="F68" i="102"/>
  <c r="F60" i="102"/>
  <c r="F59" i="102"/>
  <c r="F36" i="102"/>
  <c r="F32" i="102"/>
  <c r="F87" i="102"/>
  <c r="F51" i="102"/>
  <c r="F50" i="102"/>
  <c r="F23" i="102"/>
  <c r="F82" i="102"/>
  <c r="F67" i="102"/>
  <c r="F45" i="102"/>
  <c r="F35" i="102"/>
  <c r="F22" i="102"/>
  <c r="F86" i="102"/>
  <c r="F41" i="102"/>
  <c r="F98" i="102"/>
  <c r="F74" i="102"/>
  <c r="F70" i="102"/>
  <c r="F58" i="102"/>
  <c r="F53" i="102"/>
  <c r="F33" i="102"/>
  <c r="F81" i="102"/>
  <c r="F77" i="102"/>
  <c r="F48" i="102"/>
  <c r="F46" i="102"/>
  <c r="F39" i="102"/>
  <c r="F61" i="102"/>
  <c r="F31" i="102"/>
  <c r="F28" i="102"/>
  <c r="F44" i="102"/>
  <c r="F85" i="102"/>
  <c r="F42" i="102"/>
  <c r="F78" i="102"/>
  <c r="F49" i="102"/>
  <c r="F29" i="102"/>
  <c r="D25" i="102"/>
  <c r="F25" i="102" s="1"/>
  <c r="F69" i="102"/>
  <c r="F62" i="102"/>
  <c r="F52" i="102"/>
  <c r="L12" i="102"/>
  <c r="N12" i="102" s="1"/>
  <c r="F40" i="102"/>
  <c r="F37" i="102"/>
  <c r="H103" i="96"/>
  <c r="F20" i="86"/>
  <c r="H83" i="81"/>
  <c r="H35" i="83"/>
  <c r="L16" i="64"/>
  <c r="D108" i="64"/>
  <c r="H108" i="64"/>
  <c r="N16" i="64"/>
  <c r="D69" i="68"/>
  <c r="L65" i="68"/>
  <c r="P22" i="54"/>
  <c r="X16" i="54"/>
  <c r="H134" i="42"/>
  <c r="N31" i="42"/>
  <c r="H157" i="30"/>
  <c r="J69" i="30"/>
  <c r="H108" i="33"/>
  <c r="J40" i="33"/>
  <c r="D108" i="33"/>
  <c r="L40" i="33"/>
  <c r="N40" i="33" s="1"/>
  <c r="H288" i="12"/>
  <c r="Z16" i="6"/>
  <c r="T22" i="6"/>
  <c r="H27" i="113"/>
  <c r="N18" i="113"/>
  <c r="T27" i="52"/>
  <c r="Z18" i="52"/>
  <c r="H27" i="43"/>
  <c r="N18" i="43"/>
  <c r="X18" i="40"/>
  <c r="P27" i="40"/>
  <c r="L18" i="25"/>
  <c r="D27" i="25"/>
  <c r="T27" i="29"/>
  <c r="Z18" i="29"/>
  <c r="Z18" i="26"/>
  <c r="T27" i="26"/>
  <c r="Z18" i="22"/>
  <c r="T27" i="22"/>
  <c r="X18" i="19"/>
  <c r="P27" i="19"/>
  <c r="T32" i="86"/>
  <c r="Z20" i="86"/>
  <c r="V93" i="108"/>
  <c r="R94" i="102"/>
  <c r="R93" i="102"/>
  <c r="R73" i="102"/>
  <c r="R57" i="102"/>
  <c r="R85" i="102"/>
  <c r="R84" i="102"/>
  <c r="R80" i="102"/>
  <c r="R48" i="102"/>
  <c r="R44" i="102"/>
  <c r="R40" i="102"/>
  <c r="X12" i="102"/>
  <c r="Z12" i="102" s="1"/>
  <c r="R67" i="102"/>
  <c r="R98" i="102"/>
  <c r="R86" i="102"/>
  <c r="R75" i="102"/>
  <c r="R74" i="102"/>
  <c r="R59" i="102"/>
  <c r="R58" i="102"/>
  <c r="R22" i="102"/>
  <c r="R81" i="102"/>
  <c r="R50" i="102"/>
  <c r="R49" i="102"/>
  <c r="R45" i="102"/>
  <c r="R41" i="102"/>
  <c r="R77" i="102"/>
  <c r="R76" i="102"/>
  <c r="R69" i="102"/>
  <c r="R68" i="102"/>
  <c r="R61" i="102"/>
  <c r="R60" i="102"/>
  <c r="R88" i="102"/>
  <c r="R87" i="102"/>
  <c r="R65" i="102"/>
  <c r="R64" i="102"/>
  <c r="R91" i="102"/>
  <c r="R83" i="102"/>
  <c r="R79" i="102"/>
  <c r="R72" i="102"/>
  <c r="R71" i="102"/>
  <c r="R56" i="102"/>
  <c r="R55" i="102"/>
  <c r="R47" i="102"/>
  <c r="R43" i="102"/>
  <c r="R20" i="102"/>
  <c r="R90" i="102"/>
  <c r="R63" i="102"/>
  <c r="R53" i="102"/>
  <c r="R33" i="102"/>
  <c r="R70" i="102"/>
  <c r="R36" i="102"/>
  <c r="R46" i="102"/>
  <c r="R39" i="102"/>
  <c r="R28" i="102"/>
  <c r="R23" i="102"/>
  <c r="R54" i="102"/>
  <c r="R31" i="102"/>
  <c r="R66" i="102"/>
  <c r="R51" i="102"/>
  <c r="R34" i="102"/>
  <c r="R42" i="102"/>
  <c r="R37" i="102"/>
  <c r="R21" i="102"/>
  <c r="R29" i="102"/>
  <c r="R25" i="102"/>
  <c r="R78" i="102"/>
  <c r="R52" i="102"/>
  <c r="P25" i="102"/>
  <c r="R62" i="102"/>
  <c r="R35" i="102"/>
  <c r="R32" i="102"/>
  <c r="R38" i="102"/>
  <c r="R30" i="102"/>
  <c r="R27" i="102"/>
  <c r="R89" i="102"/>
  <c r="R82" i="102"/>
  <c r="R100" i="96"/>
  <c r="N20" i="86"/>
  <c r="H32" i="86"/>
  <c r="J53" i="85"/>
  <c r="F77" i="77"/>
  <c r="F73" i="77"/>
  <c r="F104" i="77"/>
  <c r="F103" i="77"/>
  <c r="F96" i="77"/>
  <c r="F95" i="77"/>
  <c r="F84" i="77"/>
  <c r="F83" i="77"/>
  <c r="F68" i="77"/>
  <c r="F64" i="77"/>
  <c r="F60" i="77"/>
  <c r="F58" i="77"/>
  <c r="F56" i="77"/>
  <c r="F51" i="77"/>
  <c r="F47" i="77"/>
  <c r="F43" i="77"/>
  <c r="F107" i="77"/>
  <c r="F86" i="77"/>
  <c r="F85" i="77"/>
  <c r="F78" i="77"/>
  <c r="F74" i="77"/>
  <c r="D56" i="77"/>
  <c r="F108" i="77"/>
  <c r="F106" i="77"/>
  <c r="F97" i="77"/>
  <c r="F69" i="77"/>
  <c r="F109" i="77"/>
  <c r="F88" i="77"/>
  <c r="F87" i="77"/>
  <c r="F52" i="77"/>
  <c r="F48" i="77"/>
  <c r="F44" i="77"/>
  <c r="L12" i="77"/>
  <c r="N12" i="77" s="1"/>
  <c r="F110" i="77"/>
  <c r="F99" i="77"/>
  <c r="F98" i="77"/>
  <c r="F79" i="77"/>
  <c r="F75" i="77"/>
  <c r="F71" i="77"/>
  <c r="F70" i="77"/>
  <c r="F53" i="77"/>
  <c r="F49" i="77"/>
  <c r="F45" i="77"/>
  <c r="F41" i="77"/>
  <c r="F40" i="77"/>
  <c r="F114" i="77"/>
  <c r="F100" i="77"/>
  <c r="F92" i="77"/>
  <c r="F91" i="77"/>
  <c r="F80" i="77"/>
  <c r="F76" i="77"/>
  <c r="F72" i="77"/>
  <c r="F67" i="77"/>
  <c r="F63" i="77"/>
  <c r="F94" i="77"/>
  <c r="F50" i="77"/>
  <c r="F102" i="77"/>
  <c r="F90" i="77"/>
  <c r="F81" i="77"/>
  <c r="F66" i="77"/>
  <c r="F61" i="77"/>
  <c r="F59" i="77"/>
  <c r="F46" i="77"/>
  <c r="F42" i="77"/>
  <c r="F101" i="77"/>
  <c r="F65" i="77"/>
  <c r="F62" i="77"/>
  <c r="F82" i="77"/>
  <c r="F54" i="77"/>
  <c r="F93" i="77"/>
  <c r="F89" i="77"/>
  <c r="H127" i="71"/>
  <c r="J61" i="71"/>
  <c r="R129" i="71"/>
  <c r="R103" i="71"/>
  <c r="R71" i="71"/>
  <c r="R67" i="71"/>
  <c r="R118" i="71"/>
  <c r="R110" i="71"/>
  <c r="R95" i="71"/>
  <c r="R94" i="71"/>
  <c r="R58" i="71"/>
  <c r="R54" i="71"/>
  <c r="R50" i="71"/>
  <c r="R46" i="71"/>
  <c r="R86" i="71"/>
  <c r="R85" i="71"/>
  <c r="R81" i="71"/>
  <c r="R77" i="71"/>
  <c r="R42" i="71"/>
  <c r="R104" i="71"/>
  <c r="R96" i="71"/>
  <c r="R72" i="71"/>
  <c r="R68" i="71"/>
  <c r="R119" i="71"/>
  <c r="R112" i="71"/>
  <c r="R111" i="71"/>
  <c r="R88" i="71"/>
  <c r="R87" i="71"/>
  <c r="R64" i="71"/>
  <c r="R59" i="71"/>
  <c r="R55" i="71"/>
  <c r="R51" i="71"/>
  <c r="R47" i="71"/>
  <c r="R43" i="71"/>
  <c r="R122" i="71"/>
  <c r="R121" i="71"/>
  <c r="R123" i="71"/>
  <c r="R113" i="71"/>
  <c r="R106" i="71"/>
  <c r="R105" i="71"/>
  <c r="R98" i="71"/>
  <c r="R97" i="71"/>
  <c r="R89" i="71"/>
  <c r="R73" i="71"/>
  <c r="R69" i="71"/>
  <c r="R65" i="71"/>
  <c r="P61" i="71"/>
  <c r="R124" i="71"/>
  <c r="R125" i="71"/>
  <c r="R108" i="71"/>
  <c r="R107" i="71"/>
  <c r="R100" i="71"/>
  <c r="R99" i="71"/>
  <c r="R83" i="71"/>
  <c r="R79" i="71"/>
  <c r="R109" i="71"/>
  <c r="R102" i="71"/>
  <c r="R101" i="71"/>
  <c r="R57" i="71"/>
  <c r="R53" i="71"/>
  <c r="R49" i="71"/>
  <c r="R45" i="71"/>
  <c r="R116" i="71"/>
  <c r="R92" i="71"/>
  <c r="R76" i="71"/>
  <c r="X12" i="71"/>
  <c r="Z12" i="71" s="1"/>
  <c r="R66" i="71"/>
  <c r="R114" i="71"/>
  <c r="R70" i="71"/>
  <c r="R61" i="71"/>
  <c r="R48" i="71"/>
  <c r="R117" i="71"/>
  <c r="R93" i="71"/>
  <c r="R90" i="71"/>
  <c r="R74" i="71"/>
  <c r="R56" i="71"/>
  <c r="R115" i="71"/>
  <c r="R91" i="71"/>
  <c r="R75" i="71"/>
  <c r="R84" i="71"/>
  <c r="R82" i="71"/>
  <c r="R63" i="71"/>
  <c r="R44" i="71"/>
  <c r="R80" i="71"/>
  <c r="R78" i="71"/>
  <c r="R52" i="71"/>
  <c r="P74" i="59"/>
  <c r="X17" i="59"/>
  <c r="Z17" i="59" s="1"/>
  <c r="P108" i="64"/>
  <c r="X16" i="64"/>
  <c r="L16" i="68"/>
  <c r="V17" i="59"/>
  <c r="H76" i="48"/>
  <c r="R94" i="45"/>
  <c r="R93" i="45"/>
  <c r="R73" i="45"/>
  <c r="R62" i="45"/>
  <c r="R61" i="45"/>
  <c r="R53" i="45"/>
  <c r="R37" i="45"/>
  <c r="R33" i="45"/>
  <c r="R29" i="45"/>
  <c r="R75" i="45"/>
  <c r="R68" i="45"/>
  <c r="R67" i="45"/>
  <c r="R35" i="45"/>
  <c r="R31" i="45"/>
  <c r="R100" i="45"/>
  <c r="R90" i="45"/>
  <c r="R83" i="45"/>
  <c r="R79" i="45"/>
  <c r="R58" i="45"/>
  <c r="R45" i="45"/>
  <c r="R42" i="45"/>
  <c r="R38" i="45"/>
  <c r="R30" i="45"/>
  <c r="R22" i="45"/>
  <c r="R95" i="45"/>
  <c r="R87" i="45"/>
  <c r="R76" i="45"/>
  <c r="R63" i="45"/>
  <c r="R39" i="45"/>
  <c r="R96" i="45"/>
  <c r="R84" i="45"/>
  <c r="R64" i="45"/>
  <c r="R49" i="45"/>
  <c r="R36" i="45"/>
  <c r="R91" i="45"/>
  <c r="R80" i="45"/>
  <c r="R77" i="45"/>
  <c r="R69" i="45"/>
  <c r="R59" i="45"/>
  <c r="R54" i="45"/>
  <c r="R50" i="45"/>
  <c r="R46" i="45"/>
  <c r="R43" i="45"/>
  <c r="R92" i="45"/>
  <c r="R88" i="45"/>
  <c r="R74" i="45"/>
  <c r="R70" i="45"/>
  <c r="R60" i="45"/>
  <c r="R40" i="45"/>
  <c r="R28" i="45"/>
  <c r="R27" i="45"/>
  <c r="R97" i="45"/>
  <c r="R104" i="45"/>
  <c r="R85" i="45"/>
  <c r="R66" i="45"/>
  <c r="R51" i="45"/>
  <c r="R34" i="45"/>
  <c r="R81" i="45"/>
  <c r="R78" i="45"/>
  <c r="R71" i="45"/>
  <c r="R52" i="45"/>
  <c r="R47" i="45"/>
  <c r="R44" i="45"/>
  <c r="R20" i="45"/>
  <c r="R86" i="45"/>
  <c r="R57" i="45"/>
  <c r="R56" i="45"/>
  <c r="R32" i="45"/>
  <c r="R21" i="45"/>
  <c r="R82" i="45"/>
  <c r="R23" i="45"/>
  <c r="R72" i="45"/>
  <c r="R98" i="45"/>
  <c r="R65" i="45"/>
  <c r="P25" i="45"/>
  <c r="R25" i="45" s="1"/>
  <c r="R55" i="45"/>
  <c r="R48" i="45"/>
  <c r="X12" i="45"/>
  <c r="Z12" i="45" s="1"/>
  <c r="R89" i="45"/>
  <c r="R41" i="45"/>
  <c r="V134" i="42"/>
  <c r="F122" i="27"/>
  <c r="F113" i="27"/>
  <c r="F112" i="27"/>
  <c r="F105" i="27"/>
  <c r="F97" i="27"/>
  <c r="F89" i="27"/>
  <c r="F88" i="27"/>
  <c r="F73" i="27"/>
  <c r="F69" i="27"/>
  <c r="F65" i="27"/>
  <c r="F64" i="27"/>
  <c r="F123" i="27"/>
  <c r="F121" i="27"/>
  <c r="F63" i="27"/>
  <c r="F56" i="27"/>
  <c r="F52" i="27"/>
  <c r="F48" i="27"/>
  <c r="F44" i="27"/>
  <c r="F124" i="27"/>
  <c r="F107" i="27"/>
  <c r="F106" i="27"/>
  <c r="F99" i="27"/>
  <c r="F98" i="27"/>
  <c r="F83" i="27"/>
  <c r="F79" i="27"/>
  <c r="D61" i="27"/>
  <c r="F125" i="27"/>
  <c r="F114" i="27"/>
  <c r="F90" i="27"/>
  <c r="F74" i="27"/>
  <c r="F70" i="27"/>
  <c r="F66" i="27"/>
  <c r="F109" i="27"/>
  <c r="F108" i="27"/>
  <c r="F101" i="27"/>
  <c r="F100" i="27"/>
  <c r="F57" i="27"/>
  <c r="F53" i="27"/>
  <c r="F49" i="27"/>
  <c r="F45" i="27"/>
  <c r="F116" i="27"/>
  <c r="F115" i="27"/>
  <c r="F92" i="27"/>
  <c r="F91" i="27"/>
  <c r="F84" i="27"/>
  <c r="F80" i="27"/>
  <c r="F76" i="27"/>
  <c r="F75" i="27"/>
  <c r="F129" i="27"/>
  <c r="F118" i="27"/>
  <c r="F117" i="27"/>
  <c r="F110" i="27"/>
  <c r="F94" i="27"/>
  <c r="F93" i="27"/>
  <c r="F58" i="27"/>
  <c r="F54" i="27"/>
  <c r="F50" i="27"/>
  <c r="F46" i="27"/>
  <c r="F85" i="27"/>
  <c r="F81" i="27"/>
  <c r="F77" i="27"/>
  <c r="F119" i="27"/>
  <c r="F111" i="27"/>
  <c r="F87" i="27"/>
  <c r="F86" i="27"/>
  <c r="F59" i="27"/>
  <c r="F55" i="27"/>
  <c r="F51" i="27"/>
  <c r="F47" i="27"/>
  <c r="F43" i="27"/>
  <c r="F42" i="27"/>
  <c r="F95" i="27"/>
  <c r="F104" i="27"/>
  <c r="F102" i="27"/>
  <c r="L12" i="27"/>
  <c r="N12" i="27" s="1"/>
  <c r="F71" i="27"/>
  <c r="F96" i="27"/>
  <c r="F67" i="27"/>
  <c r="F103" i="27"/>
  <c r="F82" i="27"/>
  <c r="F78" i="27"/>
  <c r="F72" i="27"/>
  <c r="F68" i="27"/>
  <c r="N82" i="24"/>
  <c r="H143" i="24"/>
  <c r="F82" i="24"/>
  <c r="T271" i="15"/>
  <c r="V162" i="15"/>
  <c r="T112" i="33"/>
  <c r="N16" i="6"/>
  <c r="H22" i="6"/>
  <c r="X30" i="21"/>
  <c r="Z30" i="21" s="1"/>
  <c r="P118" i="21"/>
  <c r="R263" i="15"/>
  <c r="R235" i="15"/>
  <c r="R216" i="15"/>
  <c r="R215" i="15"/>
  <c r="R192" i="15"/>
  <c r="R191" i="15"/>
  <c r="R176" i="15"/>
  <c r="R175" i="15"/>
  <c r="R171" i="15"/>
  <c r="R167" i="15"/>
  <c r="R264" i="15"/>
  <c r="R254" i="15"/>
  <c r="R246" i="15"/>
  <c r="R242" i="15"/>
  <c r="R230" i="15"/>
  <c r="R207" i="15"/>
  <c r="R206" i="15"/>
  <c r="R199" i="15"/>
  <c r="R198" i="15"/>
  <c r="R158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X12" i="15"/>
  <c r="Z12" i="15" s="1"/>
  <c r="R265" i="15"/>
  <c r="R225" i="15"/>
  <c r="R218" i="15"/>
  <c r="R217" i="15"/>
  <c r="R194" i="15"/>
  <c r="R193" i="15"/>
  <c r="R185" i="15"/>
  <c r="R181" i="15"/>
  <c r="R177" i="15"/>
  <c r="R266" i="15"/>
  <c r="R237" i="15"/>
  <c r="R236" i="15"/>
  <c r="R209" i="15"/>
  <c r="R208" i="15"/>
  <c r="R200" i="15"/>
  <c r="R172" i="15"/>
  <c r="R168" i="15"/>
  <c r="R267" i="15"/>
  <c r="R255" i="15"/>
  <c r="R248" i="15"/>
  <c r="R247" i="15"/>
  <c r="R243" i="15"/>
  <c r="R232" i="15"/>
  <c r="R231" i="15"/>
  <c r="R220" i="15"/>
  <c r="R219" i="15"/>
  <c r="R195" i="15"/>
  <c r="R159" i="15"/>
  <c r="R155" i="15"/>
  <c r="R151" i="15"/>
  <c r="R147" i="15"/>
  <c r="R143" i="15"/>
  <c r="R139" i="15"/>
  <c r="R135" i="15"/>
  <c r="R131" i="15"/>
  <c r="R127" i="15"/>
  <c r="R123" i="15"/>
  <c r="R119" i="15"/>
  <c r="R115" i="15"/>
  <c r="R111" i="15"/>
  <c r="R268" i="15"/>
  <c r="R238" i="15"/>
  <c r="R227" i="15"/>
  <c r="R226" i="15"/>
  <c r="R210" i="15"/>
  <c r="R187" i="15"/>
  <c r="R186" i="15"/>
  <c r="R182" i="15"/>
  <c r="R178" i="15"/>
  <c r="R269" i="15"/>
  <c r="R249" i="15"/>
  <c r="R233" i="15"/>
  <c r="R222" i="15"/>
  <c r="R221" i="15"/>
  <c r="R202" i="15"/>
  <c r="R201" i="15"/>
  <c r="R173" i="15"/>
  <c r="R169" i="15"/>
  <c r="R257" i="15"/>
  <c r="R256" i="15"/>
  <c r="R244" i="15"/>
  <c r="R228" i="15"/>
  <c r="R196" i="15"/>
  <c r="R189" i="15"/>
  <c r="R188" i="15"/>
  <c r="R165" i="15"/>
  <c r="R160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240" i="15"/>
  <c r="R239" i="15"/>
  <c r="R223" i="15"/>
  <c r="R212" i="15"/>
  <c r="R211" i="15"/>
  <c r="R203" i="15"/>
  <c r="R183" i="15"/>
  <c r="R179" i="15"/>
  <c r="R164" i="15"/>
  <c r="R162" i="15"/>
  <c r="R273" i="15"/>
  <c r="R261" i="15"/>
  <c r="R260" i="15"/>
  <c r="R245" i="15"/>
  <c r="R241" i="15"/>
  <c r="R229" i="15"/>
  <c r="R214" i="15"/>
  <c r="R213" i="15"/>
  <c r="R197" i="15"/>
  <c r="R157" i="15"/>
  <c r="R153" i="15"/>
  <c r="R149" i="15"/>
  <c r="R145" i="15"/>
  <c r="R141" i="15"/>
  <c r="R137" i="15"/>
  <c r="R133" i="15"/>
  <c r="R129" i="15"/>
  <c r="R125" i="15"/>
  <c r="R121" i="15"/>
  <c r="R117" i="15"/>
  <c r="R113" i="15"/>
  <c r="R190" i="15"/>
  <c r="R174" i="15"/>
  <c r="R252" i="15"/>
  <c r="R205" i="15"/>
  <c r="R262" i="15"/>
  <c r="R180" i="15"/>
  <c r="R250" i="15"/>
  <c r="R166" i="15"/>
  <c r="R109" i="15"/>
  <c r="R253" i="15"/>
  <c r="R251" i="15"/>
  <c r="R234" i="15"/>
  <c r="R184" i="15"/>
  <c r="P162" i="15"/>
  <c r="R224" i="15"/>
  <c r="R170" i="15"/>
  <c r="R258" i="15"/>
  <c r="R204" i="15"/>
  <c r="L18" i="112"/>
  <c r="D27" i="112"/>
  <c r="T27" i="50"/>
  <c r="Z18" i="50"/>
  <c r="P27" i="46"/>
  <c r="X18" i="46"/>
  <c r="X18" i="41"/>
  <c r="P27" i="41"/>
  <c r="X18" i="37"/>
  <c r="P27" i="37"/>
  <c r="T27" i="32"/>
  <c r="Z18" i="32"/>
  <c r="X18" i="28"/>
  <c r="P27" i="28"/>
  <c r="X18" i="26"/>
  <c r="P27" i="26"/>
  <c r="X18" i="25"/>
  <c r="P27" i="25"/>
  <c r="T27" i="19"/>
  <c r="Z18" i="19"/>
  <c r="H27" i="25"/>
  <c r="N18" i="25"/>
  <c r="H27" i="20"/>
  <c r="N18" i="20"/>
  <c r="X18" i="13"/>
  <c r="P27" i="13"/>
  <c r="X18" i="23"/>
  <c r="P27" i="23"/>
  <c r="H27" i="7"/>
  <c r="N18" i="7"/>
  <c r="T76" i="110"/>
  <c r="Z63" i="103"/>
  <c r="T67" i="103"/>
  <c r="D57" i="100"/>
  <c r="P37" i="55"/>
  <c r="P76" i="110"/>
  <c r="X17" i="110"/>
  <c r="Z17" i="110" s="1"/>
  <c r="R17" i="110"/>
  <c r="H80" i="110"/>
  <c r="L16" i="109"/>
  <c r="D46" i="109"/>
  <c r="H96" i="104"/>
  <c r="T86" i="95"/>
  <c r="V23" i="95"/>
  <c r="T100" i="88"/>
  <c r="X22" i="88"/>
  <c r="Z22" i="88" s="1"/>
  <c r="P100" i="88"/>
  <c r="L23" i="89"/>
  <c r="N23" i="89" s="1"/>
  <c r="D87" i="89"/>
  <c r="T91" i="76"/>
  <c r="T81" i="79"/>
  <c r="P32" i="83"/>
  <c r="X28" i="83"/>
  <c r="Z28" i="83" s="1"/>
  <c r="R109" i="77"/>
  <c r="R98" i="77"/>
  <c r="R97" i="77"/>
  <c r="R70" i="77"/>
  <c r="R69" i="77"/>
  <c r="R65" i="77"/>
  <c r="R61" i="77"/>
  <c r="R110" i="77"/>
  <c r="R89" i="77"/>
  <c r="R88" i="77"/>
  <c r="R99" i="77"/>
  <c r="R79" i="77"/>
  <c r="R75" i="77"/>
  <c r="R71" i="77"/>
  <c r="R40" i="77"/>
  <c r="R91" i="77"/>
  <c r="R90" i="77"/>
  <c r="R66" i="77"/>
  <c r="R62" i="77"/>
  <c r="R114" i="77"/>
  <c r="R101" i="77"/>
  <c r="R100" i="77"/>
  <c r="R93" i="77"/>
  <c r="R92" i="77"/>
  <c r="R81" i="77"/>
  <c r="R80" i="77"/>
  <c r="R76" i="77"/>
  <c r="R72" i="77"/>
  <c r="R67" i="77"/>
  <c r="R63" i="77"/>
  <c r="R77" i="77"/>
  <c r="R73" i="77"/>
  <c r="R58" i="77"/>
  <c r="R104" i="77"/>
  <c r="R96" i="77"/>
  <c r="R85" i="77"/>
  <c r="R84" i="77"/>
  <c r="R68" i="77"/>
  <c r="R64" i="77"/>
  <c r="R60" i="77"/>
  <c r="P56" i="77"/>
  <c r="R56" i="77" s="1"/>
  <c r="R107" i="77"/>
  <c r="R106" i="77"/>
  <c r="R51" i="77"/>
  <c r="R47" i="77"/>
  <c r="R43" i="77"/>
  <c r="R102" i="77"/>
  <c r="R59" i="77"/>
  <c r="R48" i="77"/>
  <c r="R41" i="77"/>
  <c r="R95" i="77"/>
  <c r="R46" i="77"/>
  <c r="R103" i="77"/>
  <c r="R86" i="77"/>
  <c r="R53" i="77"/>
  <c r="X12" i="77"/>
  <c r="Z12" i="77" s="1"/>
  <c r="R44" i="77"/>
  <c r="R42" i="77"/>
  <c r="R108" i="77"/>
  <c r="R82" i="77"/>
  <c r="R49" i="77"/>
  <c r="R87" i="77"/>
  <c r="R74" i="77"/>
  <c r="R54" i="77"/>
  <c r="R52" i="77"/>
  <c r="R78" i="77"/>
  <c r="R83" i="77"/>
  <c r="R50" i="77"/>
  <c r="R94" i="77"/>
  <c r="R45" i="77"/>
  <c r="T85" i="73"/>
  <c r="R88" i="75"/>
  <c r="R87" i="75"/>
  <c r="R80" i="75"/>
  <c r="R79" i="75"/>
  <c r="R51" i="75"/>
  <c r="R47" i="75"/>
  <c r="R43" i="75"/>
  <c r="R39" i="75"/>
  <c r="R111" i="75"/>
  <c r="R110" i="75"/>
  <c r="R98" i="75"/>
  <c r="R74" i="75"/>
  <c r="R70" i="75"/>
  <c r="R105" i="75"/>
  <c r="R90" i="75"/>
  <c r="R89" i="75"/>
  <c r="R81" i="75"/>
  <c r="R65" i="75"/>
  <c r="R61" i="75"/>
  <c r="R124" i="75"/>
  <c r="R113" i="75"/>
  <c r="R112" i="75"/>
  <c r="R57" i="75"/>
  <c r="R100" i="75"/>
  <c r="R99" i="75"/>
  <c r="R92" i="75"/>
  <c r="R91" i="75"/>
  <c r="R75" i="75"/>
  <c r="R71" i="75"/>
  <c r="R56" i="75"/>
  <c r="R54" i="75"/>
  <c r="R114" i="75"/>
  <c r="R106" i="75"/>
  <c r="R83" i="75"/>
  <c r="R82" i="75"/>
  <c r="R67" i="75"/>
  <c r="R66" i="75"/>
  <c r="R62" i="75"/>
  <c r="R58" i="75"/>
  <c r="P54" i="75"/>
  <c r="R85" i="75"/>
  <c r="R84" i="75"/>
  <c r="R76" i="75"/>
  <c r="R72" i="75"/>
  <c r="R68" i="75"/>
  <c r="R115" i="75"/>
  <c r="R107" i="75"/>
  <c r="R96" i="75"/>
  <c r="R95" i="75"/>
  <c r="R63" i="75"/>
  <c r="R59" i="75"/>
  <c r="R119" i="75"/>
  <c r="R97" i="75"/>
  <c r="R78" i="75"/>
  <c r="R77" i="75"/>
  <c r="R73" i="75"/>
  <c r="R69" i="75"/>
  <c r="R109" i="75"/>
  <c r="R94" i="75"/>
  <c r="R50" i="75"/>
  <c r="R45" i="75"/>
  <c r="R40" i="75"/>
  <c r="X12" i="75"/>
  <c r="Z12" i="75" s="1"/>
  <c r="R48" i="75"/>
  <c r="R120" i="75"/>
  <c r="R104" i="75"/>
  <c r="R38" i="75"/>
  <c r="R118" i="75"/>
  <c r="R102" i="75"/>
  <c r="R86" i="75"/>
  <c r="R46" i="75"/>
  <c r="R41" i="75"/>
  <c r="R36" i="75"/>
  <c r="R108" i="75"/>
  <c r="R49" i="75"/>
  <c r="R44" i="75"/>
  <c r="R103" i="75"/>
  <c r="R93" i="75"/>
  <c r="R117" i="75"/>
  <c r="R60" i="75"/>
  <c r="R52" i="75"/>
  <c r="R42" i="75"/>
  <c r="R37" i="75"/>
  <c r="R101" i="75"/>
  <c r="R64" i="75"/>
  <c r="T62" i="61"/>
  <c r="Z16" i="61"/>
  <c r="P85" i="56"/>
  <c r="H112" i="51"/>
  <c r="J56" i="51"/>
  <c r="X16" i="58"/>
  <c r="F114" i="39"/>
  <c r="F113" i="39"/>
  <c r="F98" i="39"/>
  <c r="F78" i="39"/>
  <c r="F77" i="39"/>
  <c r="F70" i="39"/>
  <c r="F34" i="39"/>
  <c r="F137" i="39"/>
  <c r="F136" i="39"/>
  <c r="F129" i="39"/>
  <c r="F109" i="39"/>
  <c r="F89" i="39"/>
  <c r="F88" i="39"/>
  <c r="F61" i="39"/>
  <c r="F57" i="39"/>
  <c r="F53" i="39"/>
  <c r="F124" i="39"/>
  <c r="F120" i="39"/>
  <c r="F104" i="39"/>
  <c r="F80" i="39"/>
  <c r="F79" i="39"/>
  <c r="F48" i="39"/>
  <c r="F44" i="39"/>
  <c r="F140" i="39"/>
  <c r="F131" i="39"/>
  <c r="F130" i="39"/>
  <c r="F115" i="39"/>
  <c r="F99" i="39"/>
  <c r="F91" i="39"/>
  <c r="F90" i="39"/>
  <c r="F71" i="39"/>
  <c r="F63" i="39"/>
  <c r="F62" i="39"/>
  <c r="F35" i="39"/>
  <c r="F141" i="39"/>
  <c r="F139" i="39"/>
  <c r="F110" i="39"/>
  <c r="F82" i="39"/>
  <c r="F81" i="39"/>
  <c r="F58" i="39"/>
  <c r="F54" i="39"/>
  <c r="F142" i="39"/>
  <c r="F133" i="39"/>
  <c r="F132" i="39"/>
  <c r="F125" i="39"/>
  <c r="F121" i="39"/>
  <c r="F117" i="39"/>
  <c r="F116" i="39"/>
  <c r="F105" i="39"/>
  <c r="F93" i="39"/>
  <c r="F92" i="39"/>
  <c r="F65" i="39"/>
  <c r="F64" i="39"/>
  <c r="F49" i="39"/>
  <c r="F45" i="39"/>
  <c r="F41" i="39"/>
  <c r="F40" i="39"/>
  <c r="F111" i="39"/>
  <c r="F107" i="39"/>
  <c r="F106" i="39"/>
  <c r="F95" i="39"/>
  <c r="F94" i="39"/>
  <c r="F67" i="39"/>
  <c r="F66" i="39"/>
  <c r="F59" i="39"/>
  <c r="F55" i="39"/>
  <c r="F134" i="39"/>
  <c r="F126" i="39"/>
  <c r="F122" i="39"/>
  <c r="F118" i="39"/>
  <c r="F102" i="39"/>
  <c r="F101" i="39"/>
  <c r="F74" i="39"/>
  <c r="F73" i="39"/>
  <c r="F50" i="39"/>
  <c r="F46" i="39"/>
  <c r="F42" i="39"/>
  <c r="F43" i="39"/>
  <c r="F76" i="39"/>
  <c r="F51" i="39"/>
  <c r="F47" i="39"/>
  <c r="F33" i="39"/>
  <c r="F119" i="39"/>
  <c r="F84" i="39"/>
  <c r="F68" i="39"/>
  <c r="F103" i="39"/>
  <c r="F86" i="39"/>
  <c r="F135" i="39"/>
  <c r="F123" i="39"/>
  <c r="F72" i="39"/>
  <c r="F37" i="39"/>
  <c r="F143" i="39"/>
  <c r="F127" i="39"/>
  <c r="D37" i="39"/>
  <c r="F96" i="39"/>
  <c r="F60" i="39"/>
  <c r="F56" i="39"/>
  <c r="F52" i="39"/>
  <c r="F147" i="39"/>
  <c r="F112" i="39"/>
  <c r="F108" i="39"/>
  <c r="F69" i="39"/>
  <c r="F100" i="39"/>
  <c r="F75" i="39"/>
  <c r="F128" i="39"/>
  <c r="F83" i="39"/>
  <c r="F39" i="39"/>
  <c r="L12" i="39"/>
  <c r="N12" i="39" s="1"/>
  <c r="F32" i="39"/>
  <c r="F85" i="39"/>
  <c r="F87" i="39"/>
  <c r="F97" i="39"/>
  <c r="F109" i="36"/>
  <c r="F108" i="36"/>
  <c r="F93" i="36"/>
  <c r="F92" i="36"/>
  <c r="F81" i="36"/>
  <c r="F138" i="36"/>
  <c r="F95" i="36"/>
  <c r="F136" i="36"/>
  <c r="F114" i="36"/>
  <c r="F106" i="36"/>
  <c r="F99" i="36"/>
  <c r="F67" i="36"/>
  <c r="F27" i="36"/>
  <c r="F26" i="36"/>
  <c r="F137" i="36"/>
  <c r="F130" i="36"/>
  <c r="F125" i="36"/>
  <c r="F121" i="36"/>
  <c r="F91" i="36"/>
  <c r="F84" i="36"/>
  <c r="F78" i="36"/>
  <c r="F77" i="36"/>
  <c r="F62" i="36"/>
  <c r="F61" i="36"/>
  <c r="F54" i="36"/>
  <c r="F50" i="36"/>
  <c r="F46" i="36"/>
  <c r="F45" i="36"/>
  <c r="F118" i="36"/>
  <c r="F110" i="36"/>
  <c r="F85" i="36"/>
  <c r="F69" i="36"/>
  <c r="F68" i="36"/>
  <c r="F41" i="36"/>
  <c r="F37" i="36"/>
  <c r="F126" i="36"/>
  <c r="F122" i="36"/>
  <c r="F104" i="36"/>
  <c r="F100" i="36"/>
  <c r="F79" i="36"/>
  <c r="F64" i="36"/>
  <c r="F63" i="36"/>
  <c r="F28" i="36"/>
  <c r="F132" i="36"/>
  <c r="F131" i="36"/>
  <c r="F115" i="36"/>
  <c r="F80" i="36"/>
  <c r="F71" i="36"/>
  <c r="F70" i="36"/>
  <c r="F55" i="36"/>
  <c r="F51" i="36"/>
  <c r="F47" i="36"/>
  <c r="F123" i="36"/>
  <c r="F112" i="36"/>
  <c r="F111" i="36"/>
  <c r="F107" i="36"/>
  <c r="F96" i="36"/>
  <c r="F86" i="36"/>
  <c r="F42" i="36"/>
  <c r="F38" i="36"/>
  <c r="F128" i="36"/>
  <c r="F127" i="36"/>
  <c r="F119" i="36"/>
  <c r="F87" i="36"/>
  <c r="F65" i="36"/>
  <c r="F116" i="36"/>
  <c r="F101" i="36"/>
  <c r="F72" i="36"/>
  <c r="F52" i="36"/>
  <c r="F48" i="36"/>
  <c r="L12" i="36"/>
  <c r="N12" i="36" s="1"/>
  <c r="F105" i="36"/>
  <c r="F98" i="36"/>
  <c r="F97" i="36"/>
  <c r="F88" i="36"/>
  <c r="F59" i="36"/>
  <c r="F58" i="36"/>
  <c r="F43" i="36"/>
  <c r="F39" i="36"/>
  <c r="F35" i="36"/>
  <c r="F34" i="36"/>
  <c r="F142" i="36"/>
  <c r="F135" i="36"/>
  <c r="F129" i="36"/>
  <c r="F94" i="36"/>
  <c r="F82" i="36"/>
  <c r="F53" i="36"/>
  <c r="F49" i="36"/>
  <c r="D31" i="36"/>
  <c r="F73" i="36"/>
  <c r="F60" i="36"/>
  <c r="F40" i="36"/>
  <c r="F89" i="36"/>
  <c r="F83" i="36"/>
  <c r="F134" i="36"/>
  <c r="F76" i="36"/>
  <c r="F66" i="36"/>
  <c r="F102" i="36"/>
  <c r="F57" i="36"/>
  <c r="F31" i="36"/>
  <c r="F74" i="36"/>
  <c r="F44" i="36"/>
  <c r="F36" i="36"/>
  <c r="F120" i="36"/>
  <c r="F90" i="36"/>
  <c r="F113" i="36"/>
  <c r="F124" i="36"/>
  <c r="F117" i="36"/>
  <c r="F75" i="36"/>
  <c r="F56" i="36"/>
  <c r="F29" i="36"/>
  <c r="F33" i="36"/>
  <c r="F103" i="36"/>
  <c r="F108" i="21"/>
  <c r="F107" i="21"/>
  <c r="F120" i="21"/>
  <c r="F103" i="21"/>
  <c r="F42" i="21"/>
  <c r="F38" i="21"/>
  <c r="F34" i="21"/>
  <c r="F33" i="21"/>
  <c r="F93" i="21"/>
  <c r="F81" i="21"/>
  <c r="F80" i="21"/>
  <c r="F69" i="21"/>
  <c r="F68" i="21"/>
  <c r="F61" i="21"/>
  <c r="F60" i="21"/>
  <c r="F32" i="21"/>
  <c r="F30" i="21"/>
  <c r="F113" i="21"/>
  <c r="F100" i="21"/>
  <c r="F88" i="21"/>
  <c r="F52" i="21"/>
  <c r="F48" i="21"/>
  <c r="F44" i="21"/>
  <c r="F43" i="21"/>
  <c r="D30" i="21"/>
  <c r="F114" i="21"/>
  <c r="F104" i="21"/>
  <c r="F83" i="21"/>
  <c r="F82" i="21"/>
  <c r="F71" i="21"/>
  <c r="F70" i="21"/>
  <c r="F39" i="21"/>
  <c r="F35" i="21"/>
  <c r="F94" i="21"/>
  <c r="F90" i="21"/>
  <c r="F89" i="21"/>
  <c r="F62" i="21"/>
  <c r="F26" i="21"/>
  <c r="F25" i="21"/>
  <c r="L12" i="21"/>
  <c r="N12" i="21" s="1"/>
  <c r="F101" i="21"/>
  <c r="F73" i="21"/>
  <c r="F72" i="21"/>
  <c r="F53" i="21"/>
  <c r="F49" i="21"/>
  <c r="F45" i="21"/>
  <c r="F109" i="21"/>
  <c r="F105" i="21"/>
  <c r="F96" i="21"/>
  <c r="F95" i="21"/>
  <c r="F84" i="21"/>
  <c r="F40" i="21"/>
  <c r="F36" i="21"/>
  <c r="F116" i="21"/>
  <c r="F91" i="21"/>
  <c r="F75" i="21"/>
  <c r="F74" i="21"/>
  <c r="F63" i="21"/>
  <c r="F55" i="21"/>
  <c r="F54" i="21"/>
  <c r="F110" i="21"/>
  <c r="F102" i="21"/>
  <c r="F98" i="21"/>
  <c r="F97" i="21"/>
  <c r="F50" i="21"/>
  <c r="F46" i="21"/>
  <c r="F85" i="21"/>
  <c r="F77" i="21"/>
  <c r="F76" i="21"/>
  <c r="F65" i="21"/>
  <c r="F64" i="21"/>
  <c r="F57" i="21"/>
  <c r="F56" i="21"/>
  <c r="F41" i="21"/>
  <c r="F37" i="21"/>
  <c r="F106" i="21"/>
  <c r="F87" i="21"/>
  <c r="F79" i="21"/>
  <c r="F27" i="21"/>
  <c r="F111" i="21"/>
  <c r="F59" i="21"/>
  <c r="F67" i="21"/>
  <c r="F51" i="21"/>
  <c r="F99" i="21"/>
  <c r="F92" i="21"/>
  <c r="F86" i="21"/>
  <c r="F47" i="21"/>
  <c r="F28" i="21"/>
  <c r="F112" i="21"/>
  <c r="F58" i="21"/>
  <c r="F78" i="21"/>
  <c r="F66" i="21"/>
  <c r="F239" i="15"/>
  <c r="F223" i="15"/>
  <c r="F222" i="15"/>
  <c r="F211" i="15"/>
  <c r="F203" i="15"/>
  <c r="F202" i="15"/>
  <c r="F183" i="15"/>
  <c r="F179" i="15"/>
  <c r="F258" i="15"/>
  <c r="F257" i="15"/>
  <c r="F250" i="15"/>
  <c r="F234" i="15"/>
  <c r="F190" i="15"/>
  <c r="F189" i="15"/>
  <c r="F174" i="15"/>
  <c r="F170" i="15"/>
  <c r="F166" i="15"/>
  <c r="F165" i="15"/>
  <c r="F273" i="15"/>
  <c r="F245" i="15"/>
  <c r="F241" i="15"/>
  <c r="F240" i="15"/>
  <c r="F229" i="15"/>
  <c r="F213" i="15"/>
  <c r="F212" i="15"/>
  <c r="F197" i="15"/>
  <c r="F164" i="15"/>
  <c r="F157" i="15"/>
  <c r="F153" i="15"/>
  <c r="F149" i="15"/>
  <c r="F145" i="15"/>
  <c r="F141" i="15"/>
  <c r="F137" i="15"/>
  <c r="F133" i="15"/>
  <c r="F129" i="15"/>
  <c r="F125" i="15"/>
  <c r="F121" i="15"/>
  <c r="F117" i="15"/>
  <c r="F113" i="15"/>
  <c r="F261" i="15"/>
  <c r="F252" i="15"/>
  <c r="F251" i="15"/>
  <c r="F224" i="15"/>
  <c r="F204" i="15"/>
  <c r="F184" i="15"/>
  <c r="F180" i="15"/>
  <c r="D162" i="15"/>
  <c r="F162" i="15" s="1"/>
  <c r="F262" i="15"/>
  <c r="F260" i="15"/>
  <c r="F235" i="15"/>
  <c r="F215" i="15"/>
  <c r="F214" i="15"/>
  <c r="F191" i="15"/>
  <c r="F175" i="15"/>
  <c r="F171" i="15"/>
  <c r="F167" i="15"/>
  <c r="F263" i="15"/>
  <c r="F254" i="15"/>
  <c r="F253" i="15"/>
  <c r="F246" i="15"/>
  <c r="F242" i="15"/>
  <c r="F230" i="15"/>
  <c r="F206" i="15"/>
  <c r="F205" i="15"/>
  <c r="F198" i="15"/>
  <c r="F158" i="15"/>
  <c r="F154" i="15"/>
  <c r="F150" i="15"/>
  <c r="F146" i="15"/>
  <c r="F142" i="15"/>
  <c r="F138" i="15"/>
  <c r="F134" i="15"/>
  <c r="F130" i="15"/>
  <c r="F126" i="15"/>
  <c r="F122" i="15"/>
  <c r="F118" i="15"/>
  <c r="F114" i="15"/>
  <c r="F110" i="15"/>
  <c r="F109" i="15"/>
  <c r="L12" i="15"/>
  <c r="N12" i="15" s="1"/>
  <c r="F264" i="15"/>
  <c r="F225" i="15"/>
  <c r="F217" i="15"/>
  <c r="F216" i="15"/>
  <c r="F193" i="15"/>
  <c r="F192" i="15"/>
  <c r="F185" i="15"/>
  <c r="F181" i="15"/>
  <c r="F177" i="15"/>
  <c r="F176" i="15"/>
  <c r="F265" i="15"/>
  <c r="F236" i="15"/>
  <c r="F208" i="15"/>
  <c r="F207" i="15"/>
  <c r="F200" i="15"/>
  <c r="F199" i="15"/>
  <c r="F172" i="15"/>
  <c r="F168" i="15"/>
  <c r="F266" i="15"/>
  <c r="F255" i="15"/>
  <c r="F247" i="15"/>
  <c r="F243" i="15"/>
  <c r="F231" i="15"/>
  <c r="F219" i="15"/>
  <c r="F218" i="15"/>
  <c r="F195" i="15"/>
  <c r="F194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268" i="15"/>
  <c r="F249" i="15"/>
  <c r="F248" i="15"/>
  <c r="F233" i="15"/>
  <c r="F232" i="15"/>
  <c r="F221" i="15"/>
  <c r="F220" i="15"/>
  <c r="F201" i="15"/>
  <c r="F173" i="15"/>
  <c r="F169" i="15"/>
  <c r="F140" i="15"/>
  <c r="F238" i="15"/>
  <c r="F188" i="15"/>
  <c r="F144" i="15"/>
  <c r="F267" i="15"/>
  <c r="F228" i="15"/>
  <c r="F210" i="15"/>
  <c r="F186" i="15"/>
  <c r="F148" i="15"/>
  <c r="F269" i="15"/>
  <c r="F152" i="15"/>
  <c r="F226" i="15"/>
  <c r="F156" i="15"/>
  <c r="F160" i="15"/>
  <c r="F112" i="15"/>
  <c r="F196" i="15"/>
  <c r="F178" i="15"/>
  <c r="F116" i="15"/>
  <c r="F187" i="15"/>
  <c r="F120" i="15"/>
  <c r="F244" i="15"/>
  <c r="F237" i="15"/>
  <c r="F124" i="15"/>
  <c r="F182" i="15"/>
  <c r="F132" i="15"/>
  <c r="F227" i="15"/>
  <c r="F256" i="15"/>
  <c r="F209" i="15"/>
  <c r="F128" i="15"/>
  <c r="F136" i="15"/>
  <c r="F295" i="18"/>
  <c r="F264" i="18"/>
  <c r="F248" i="18"/>
  <c r="F247" i="18"/>
  <c r="F236" i="18"/>
  <c r="F228" i="18"/>
  <c r="F227" i="18"/>
  <c r="F208" i="18"/>
  <c r="F204" i="18"/>
  <c r="F296" i="18"/>
  <c r="F283" i="18"/>
  <c r="F282" i="18"/>
  <c r="F275" i="18"/>
  <c r="F259" i="18"/>
  <c r="F215" i="18"/>
  <c r="F214" i="18"/>
  <c r="F199" i="18"/>
  <c r="F195" i="18"/>
  <c r="F191" i="18"/>
  <c r="F190" i="18"/>
  <c r="F297" i="18"/>
  <c r="F270" i="18"/>
  <c r="F266" i="18"/>
  <c r="F265" i="18"/>
  <c r="F254" i="18"/>
  <c r="F238" i="18"/>
  <c r="F237" i="18"/>
  <c r="F222" i="18"/>
  <c r="F189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286" i="18"/>
  <c r="F277" i="18"/>
  <c r="F276" i="18"/>
  <c r="F249" i="18"/>
  <c r="F229" i="18"/>
  <c r="F209" i="18"/>
  <c r="F205" i="18"/>
  <c r="D187" i="18"/>
  <c r="F287" i="18"/>
  <c r="F285" i="18"/>
  <c r="F260" i="18"/>
  <c r="F240" i="18"/>
  <c r="F239" i="18"/>
  <c r="F216" i="18"/>
  <c r="F200" i="18"/>
  <c r="F196" i="18"/>
  <c r="F192" i="18"/>
  <c r="F301" i="18"/>
  <c r="F288" i="18"/>
  <c r="F279" i="18"/>
  <c r="F278" i="18"/>
  <c r="F271" i="18"/>
  <c r="F267" i="18"/>
  <c r="F255" i="18"/>
  <c r="F231" i="18"/>
  <c r="F230" i="18"/>
  <c r="F223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289" i="18"/>
  <c r="F250" i="18"/>
  <c r="F291" i="18"/>
  <c r="F280" i="18"/>
  <c r="F272" i="18"/>
  <c r="F268" i="18"/>
  <c r="F256" i="18"/>
  <c r="F244" i="18"/>
  <c r="F243" i="18"/>
  <c r="F220" i="18"/>
  <c r="F219" i="18"/>
  <c r="F184" i="18"/>
  <c r="F180" i="18"/>
  <c r="F176" i="18"/>
  <c r="F172" i="18"/>
  <c r="F168" i="18"/>
  <c r="F164" i="18"/>
  <c r="F160" i="18"/>
  <c r="F156" i="18"/>
  <c r="F152" i="18"/>
  <c r="F148" i="18"/>
  <c r="F144" i="18"/>
  <c r="F292" i="18"/>
  <c r="F263" i="18"/>
  <c r="F262" i="18"/>
  <c r="F251" i="18"/>
  <c r="F235" i="18"/>
  <c r="F234" i="18"/>
  <c r="F211" i="18"/>
  <c r="F207" i="18"/>
  <c r="F203" i="18"/>
  <c r="F201" i="18"/>
  <c r="F197" i="18"/>
  <c r="F193" i="18"/>
  <c r="F165" i="18"/>
  <c r="F290" i="18"/>
  <c r="F233" i="18"/>
  <c r="F224" i="18"/>
  <c r="L12" i="18"/>
  <c r="N12" i="18" s="1"/>
  <c r="F257" i="18"/>
  <c r="F213" i="18"/>
  <c r="F185" i="18"/>
  <c r="F153" i="18"/>
  <c r="F145" i="18"/>
  <c r="F128" i="18"/>
  <c r="F161" i="18"/>
  <c r="F140" i="18"/>
  <c r="F137" i="18"/>
  <c r="F293" i="18"/>
  <c r="F261" i="18"/>
  <c r="F253" i="18"/>
  <c r="F245" i="18"/>
  <c r="F218" i="18"/>
  <c r="F181" i="18"/>
  <c r="F241" i="18"/>
  <c r="F198" i="18"/>
  <c r="F194" i="18"/>
  <c r="F258" i="18"/>
  <c r="F225" i="18"/>
  <c r="F206" i="18"/>
  <c r="F202" i="18"/>
  <c r="F177" i="18"/>
  <c r="F281" i="18"/>
  <c r="F273" i="18"/>
  <c r="F269" i="18"/>
  <c r="F246" i="18"/>
  <c r="F132" i="18"/>
  <c r="F129" i="18"/>
  <c r="F232" i="18"/>
  <c r="F212" i="18"/>
  <c r="F210" i="18"/>
  <c r="F173" i="18"/>
  <c r="F157" i="18"/>
  <c r="F149" i="18"/>
  <c r="F141" i="18"/>
  <c r="F252" i="18"/>
  <c r="F221" i="18"/>
  <c r="F217" i="18"/>
  <c r="F169" i="18"/>
  <c r="F274" i="18"/>
  <c r="F133" i="18"/>
  <c r="F127" i="18"/>
  <c r="F242" i="18"/>
  <c r="F226" i="18"/>
  <c r="F294" i="18"/>
  <c r="F136" i="18"/>
  <c r="F311" i="3"/>
  <c r="F302" i="3"/>
  <c r="F301" i="3"/>
  <c r="F294" i="3"/>
  <c r="F290" i="3"/>
  <c r="F286" i="3"/>
  <c r="F285" i="3"/>
  <c r="F274" i="3"/>
  <c r="F262" i="3"/>
  <c r="F261" i="3"/>
  <c r="F242" i="3"/>
  <c r="F230" i="3"/>
  <c r="F229" i="3"/>
  <c r="F222" i="3"/>
  <c r="F218" i="3"/>
  <c r="F214" i="3"/>
  <c r="F213" i="3"/>
  <c r="L12" i="3"/>
  <c r="N12" i="3" s="1"/>
  <c r="F325" i="3"/>
  <c r="F312" i="3"/>
  <c r="F269" i="3"/>
  <c r="F237" i="3"/>
  <c r="F236" i="3"/>
  <c r="F209" i="3"/>
  <c r="F205" i="3"/>
  <c r="F313" i="3"/>
  <c r="F280" i="3"/>
  <c r="F276" i="3"/>
  <c r="F275" i="3"/>
  <c r="F264" i="3"/>
  <c r="F263" i="3"/>
  <c r="F252" i="3"/>
  <c r="F244" i="3"/>
  <c r="F243" i="3"/>
  <c r="F232" i="3"/>
  <c r="F231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314" i="3"/>
  <c r="F303" i="3"/>
  <c r="F295" i="3"/>
  <c r="F291" i="3"/>
  <c r="F287" i="3"/>
  <c r="F271" i="3"/>
  <c r="F270" i="3"/>
  <c r="F223" i="3"/>
  <c r="F219" i="3"/>
  <c r="F215" i="3"/>
  <c r="F330" i="3"/>
  <c r="F329" i="3"/>
  <c r="F315" i="3"/>
  <c r="F266" i="3"/>
  <c r="F265" i="3"/>
  <c r="F254" i="3"/>
  <c r="F253" i="3"/>
  <c r="F246" i="3"/>
  <c r="F245" i="3"/>
  <c r="F238" i="3"/>
  <c r="F210" i="3"/>
  <c r="F206" i="3"/>
  <c r="F316" i="3"/>
  <c r="F297" i="3"/>
  <c r="F296" i="3"/>
  <c r="F281" i="3"/>
  <c r="F277" i="3"/>
  <c r="F233" i="3"/>
  <c r="F225" i="3"/>
  <c r="F224" i="3"/>
  <c r="F318" i="3"/>
  <c r="F283" i="3"/>
  <c r="F282" i="3"/>
  <c r="F267" i="3"/>
  <c r="F227" i="3"/>
  <c r="F226" i="3"/>
  <c r="F211" i="3"/>
  <c r="F207" i="3"/>
  <c r="F203" i="3"/>
  <c r="F202" i="3"/>
  <c r="F319" i="3"/>
  <c r="F306" i="3"/>
  <c r="F305" i="3"/>
  <c r="F298" i="3"/>
  <c r="F278" i="3"/>
  <c r="F258" i="3"/>
  <c r="F257" i="3"/>
  <c r="F234" i="3"/>
  <c r="F201" i="3"/>
  <c r="F199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7" i="3"/>
  <c r="F321" i="3"/>
  <c r="F309" i="3"/>
  <c r="F300" i="3"/>
  <c r="F299" i="3"/>
  <c r="F284" i="3"/>
  <c r="F268" i="3"/>
  <c r="F260" i="3"/>
  <c r="F259" i="3"/>
  <c r="F228" i="3"/>
  <c r="F212" i="3"/>
  <c r="F208" i="3"/>
  <c r="F204" i="3"/>
  <c r="F293" i="3"/>
  <c r="F320" i="3"/>
  <c r="F304" i="3"/>
  <c r="F197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317" i="3"/>
  <c r="F310" i="3"/>
  <c r="F255" i="3"/>
  <c r="F251" i="3"/>
  <c r="F239" i="3"/>
  <c r="F217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288" i="3"/>
  <c r="F256" i="3"/>
  <c r="F250" i="3"/>
  <c r="F248" i="3"/>
  <c r="F240" i="3"/>
  <c r="F279" i="3"/>
  <c r="F272" i="3"/>
  <c r="F221" i="3"/>
  <c r="F249" i="3"/>
  <c r="F292" i="3"/>
  <c r="F289" i="3"/>
  <c r="F216" i="3"/>
  <c r="D199" i="3"/>
  <c r="F247" i="3"/>
  <c r="F241" i="3"/>
  <c r="F308" i="3"/>
  <c r="F273" i="3"/>
  <c r="F235" i="3"/>
  <c r="F220" i="3"/>
  <c r="T27" i="49"/>
  <c r="Z18" i="49"/>
  <c r="X18" i="47"/>
  <c r="P27" i="47"/>
  <c r="L18" i="50"/>
  <c r="D27" i="50"/>
  <c r="L18" i="52"/>
  <c r="D27" i="52"/>
  <c r="L18" i="49"/>
  <c r="D27" i="49"/>
  <c r="T27" i="34"/>
  <c r="Z18" i="34"/>
  <c r="X18" i="31"/>
  <c r="P27" i="31"/>
  <c r="L18" i="19"/>
  <c r="D27" i="19"/>
  <c r="T27" i="17"/>
  <c r="Z18" i="17"/>
  <c r="H27" i="4"/>
  <c r="N18" i="4"/>
  <c r="T27" i="11"/>
  <c r="Z18" i="11"/>
  <c r="D93" i="108"/>
  <c r="L23" i="108"/>
  <c r="H100" i="106"/>
  <c r="T53" i="100"/>
  <c r="Z17" i="100"/>
  <c r="H96" i="98"/>
  <c r="V23" i="98"/>
  <c r="T107" i="96"/>
  <c r="L16" i="92"/>
  <c r="D96" i="92"/>
  <c r="H94" i="89"/>
  <c r="J91" i="89"/>
  <c r="J94" i="93"/>
  <c r="J96" i="84"/>
  <c r="H100" i="84"/>
  <c r="F81" i="84"/>
  <c r="F69" i="84"/>
  <c r="F61" i="84"/>
  <c r="F60" i="84"/>
  <c r="F94" i="84"/>
  <c r="F73" i="84"/>
  <c r="F57" i="84"/>
  <c r="F56" i="84"/>
  <c r="F80" i="84"/>
  <c r="F76" i="84"/>
  <c r="F75" i="84"/>
  <c r="F68" i="84"/>
  <c r="F63" i="84"/>
  <c r="F58" i="84"/>
  <c r="F53" i="84"/>
  <c r="F52" i="84"/>
  <c r="F24" i="84"/>
  <c r="F83" i="84"/>
  <c r="F72" i="84"/>
  <c r="F44" i="84"/>
  <c r="F40" i="84"/>
  <c r="F36" i="84"/>
  <c r="F35" i="84"/>
  <c r="F64" i="84"/>
  <c r="F59" i="84"/>
  <c r="F31" i="84"/>
  <c r="F27" i="84"/>
  <c r="F89" i="84"/>
  <c r="F54" i="84"/>
  <c r="F18" i="84"/>
  <c r="F17" i="84"/>
  <c r="F90" i="84"/>
  <c r="F84" i="84"/>
  <c r="F77" i="84"/>
  <c r="F65" i="84"/>
  <c r="F45" i="84"/>
  <c r="F41" i="84"/>
  <c r="F37" i="84"/>
  <c r="F98" i="84"/>
  <c r="F78" i="84"/>
  <c r="F32" i="84"/>
  <c r="F28" i="84"/>
  <c r="F55" i="84"/>
  <c r="F47" i="84"/>
  <c r="F46" i="84"/>
  <c r="F19" i="84"/>
  <c r="F91" i="84"/>
  <c r="F85" i="84"/>
  <c r="F66" i="84"/>
  <c r="F42" i="84"/>
  <c r="F38" i="84"/>
  <c r="L12" i="84"/>
  <c r="N12" i="84" s="1"/>
  <c r="F92" i="84"/>
  <c r="F86" i="84"/>
  <c r="F70" i="84"/>
  <c r="F49" i="84"/>
  <c r="F48" i="84"/>
  <c r="F33" i="84"/>
  <c r="F29" i="84"/>
  <c r="F71" i="84"/>
  <c r="F62" i="84"/>
  <c r="F51" i="84"/>
  <c r="F50" i="84"/>
  <c r="F43" i="84"/>
  <c r="F39" i="84"/>
  <c r="F34" i="84"/>
  <c r="F67" i="84"/>
  <c r="F79" i="84"/>
  <c r="D22" i="84"/>
  <c r="F25" i="84"/>
  <c r="F87" i="84"/>
  <c r="F74" i="84"/>
  <c r="F82" i="84"/>
  <c r="F20" i="84"/>
  <c r="F26" i="84"/>
  <c r="F88" i="84"/>
  <c r="F30" i="84"/>
  <c r="R67" i="79"/>
  <c r="V112" i="77"/>
  <c r="D127" i="71"/>
  <c r="L61" i="71"/>
  <c r="N61" i="71" s="1"/>
  <c r="H76" i="58"/>
  <c r="N16" i="58"/>
  <c r="T78" i="57"/>
  <c r="Z16" i="57"/>
  <c r="T76" i="48"/>
  <c r="X76" i="48" s="1"/>
  <c r="V17" i="48"/>
  <c r="X17" i="48"/>
  <c r="Z17" i="48" s="1"/>
  <c r="F31" i="42"/>
  <c r="R232" i="12"/>
  <c r="R221" i="12"/>
  <c r="R220" i="12"/>
  <c r="R197" i="12"/>
  <c r="R196" i="12"/>
  <c r="R271" i="12"/>
  <c r="R264" i="12"/>
  <c r="R263" i="12"/>
  <c r="R248" i="12"/>
  <c r="R247" i="12"/>
  <c r="R243" i="12"/>
  <c r="R286" i="12"/>
  <c r="R274" i="12"/>
  <c r="R273" i="12"/>
  <c r="R258" i="12"/>
  <c r="R254" i="12"/>
  <c r="R238" i="12"/>
  <c r="R223" i="12"/>
  <c r="R222" i="12"/>
  <c r="R199" i="12"/>
  <c r="R198" i="12"/>
  <c r="R190" i="12"/>
  <c r="R186" i="12"/>
  <c r="R182" i="12"/>
  <c r="R275" i="12"/>
  <c r="R266" i="12"/>
  <c r="R265" i="12"/>
  <c r="R249" i="12"/>
  <c r="R233" i="12"/>
  <c r="R214" i="12"/>
  <c r="R213" i="12"/>
  <c r="R205" i="12"/>
  <c r="R177" i="12"/>
  <c r="R173" i="12"/>
  <c r="R276" i="12"/>
  <c r="R244" i="12"/>
  <c r="R225" i="12"/>
  <c r="R224" i="12"/>
  <c r="R200" i="12"/>
  <c r="R277" i="12"/>
  <c r="R267" i="12"/>
  <c r="R259" i="12"/>
  <c r="R255" i="12"/>
  <c r="R239" i="12"/>
  <c r="R215" i="12"/>
  <c r="R192" i="12"/>
  <c r="R191" i="12"/>
  <c r="R187" i="12"/>
  <c r="R183" i="12"/>
  <c r="R112" i="12"/>
  <c r="R279" i="12"/>
  <c r="R245" i="12"/>
  <c r="R201" i="12"/>
  <c r="R194" i="12"/>
  <c r="R193" i="12"/>
  <c r="R170" i="12"/>
  <c r="R280" i="12"/>
  <c r="R268" i="12"/>
  <c r="R261" i="12"/>
  <c r="R260" i="12"/>
  <c r="R256" i="12"/>
  <c r="R252" i="12"/>
  <c r="R241" i="12"/>
  <c r="R240" i="12"/>
  <c r="R229" i="12"/>
  <c r="R228" i="12"/>
  <c r="R217" i="12"/>
  <c r="R216" i="12"/>
  <c r="R208" i="12"/>
  <c r="R188" i="12"/>
  <c r="R184" i="12"/>
  <c r="R169" i="12"/>
  <c r="R167" i="12"/>
  <c r="R282" i="12"/>
  <c r="R262" i="12"/>
  <c r="R246" i="12"/>
  <c r="R242" i="12"/>
  <c r="R231" i="12"/>
  <c r="R230" i="12"/>
  <c r="R219" i="12"/>
  <c r="R218" i="12"/>
  <c r="R202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281" i="12"/>
  <c r="R269" i="12"/>
  <c r="R211" i="12"/>
  <c r="R207" i="12"/>
  <c r="R159" i="12"/>
  <c r="R128" i="12"/>
  <c r="R125" i="12"/>
  <c r="R235" i="12"/>
  <c r="R175" i="12"/>
  <c r="R148" i="12"/>
  <c r="R145" i="12"/>
  <c r="R131" i="12"/>
  <c r="R209" i="12"/>
  <c r="R165" i="12"/>
  <c r="R151" i="12"/>
  <c r="R120" i="12"/>
  <c r="R117" i="12"/>
  <c r="R236" i="12"/>
  <c r="R227" i="12"/>
  <c r="R203" i="12"/>
  <c r="R140" i="12"/>
  <c r="R137" i="12"/>
  <c r="R123" i="12"/>
  <c r="R251" i="12"/>
  <c r="R195" i="12"/>
  <c r="R171" i="12"/>
  <c r="R160" i="12"/>
  <c r="R157" i="12"/>
  <c r="R143" i="12"/>
  <c r="R180" i="12"/>
  <c r="R178" i="12"/>
  <c r="R163" i="12"/>
  <c r="R132" i="12"/>
  <c r="R129" i="12"/>
  <c r="R115" i="12"/>
  <c r="R270" i="12"/>
  <c r="R234" i="12"/>
  <c r="R212" i="12"/>
  <c r="R210" i="12"/>
  <c r="P167" i="12"/>
  <c r="R152" i="12"/>
  <c r="R149" i="12"/>
  <c r="R135" i="12"/>
  <c r="R253" i="12"/>
  <c r="R185" i="12"/>
  <c r="R176" i="12"/>
  <c r="R174" i="12"/>
  <c r="R155" i="12"/>
  <c r="R124" i="12"/>
  <c r="R121" i="12"/>
  <c r="R206" i="12"/>
  <c r="R189" i="12"/>
  <c r="R181" i="12"/>
  <c r="R144" i="12"/>
  <c r="R141" i="12"/>
  <c r="R127" i="12"/>
  <c r="X12" i="12"/>
  <c r="Z12" i="12" s="1"/>
  <c r="R278" i="12"/>
  <c r="R237" i="12"/>
  <c r="R226" i="12"/>
  <c r="R136" i="12"/>
  <c r="R133" i="12"/>
  <c r="R119" i="12"/>
  <c r="R161" i="12"/>
  <c r="R116" i="12"/>
  <c r="R164" i="12"/>
  <c r="R172" i="12"/>
  <c r="R156" i="12"/>
  <c r="R113" i="12"/>
  <c r="R139" i="12"/>
  <c r="R250" i="12"/>
  <c r="R147" i="12"/>
  <c r="R179" i="12"/>
  <c r="R153" i="12"/>
  <c r="R257" i="12"/>
  <c r="R204" i="12"/>
  <c r="T27" i="112"/>
  <c r="Z18" i="112"/>
  <c r="T27" i="111"/>
  <c r="Z18" i="111"/>
  <c r="T27" i="44"/>
  <c r="Z18" i="44"/>
  <c r="H27" i="46"/>
  <c r="N18" i="46"/>
  <c r="L18" i="46"/>
  <c r="D27" i="46"/>
  <c r="H27" i="37"/>
  <c r="N18" i="37"/>
  <c r="L18" i="37"/>
  <c r="D27" i="37"/>
  <c r="X18" i="14"/>
  <c r="P27" i="14"/>
  <c r="H27" i="5"/>
  <c r="N18" i="5"/>
  <c r="X18" i="7"/>
  <c r="P27" i="7"/>
  <c r="H27" i="8"/>
  <c r="N18" i="8"/>
  <c r="D27" i="8"/>
  <c r="L18" i="8"/>
  <c r="N23" i="108"/>
  <c r="H93" i="108"/>
  <c r="P103" i="96"/>
  <c r="X22" i="96"/>
  <c r="Z22" i="96" s="1"/>
  <c r="T87" i="93"/>
  <c r="V22" i="93"/>
  <c r="D92" i="104"/>
  <c r="L23" i="104"/>
  <c r="N23" i="104" s="1"/>
  <c r="T69" i="105"/>
  <c r="N19" i="99"/>
  <c r="H50" i="99"/>
  <c r="R22" i="96"/>
  <c r="T87" i="94"/>
  <c r="T96" i="92"/>
  <c r="Z16" i="92"/>
  <c r="P100" i="92"/>
  <c r="P26" i="87"/>
  <c r="D100" i="88"/>
  <c r="L22" i="88"/>
  <c r="N22" i="88" s="1"/>
  <c r="R81" i="81"/>
  <c r="R62" i="81"/>
  <c r="R35" i="81"/>
  <c r="R34" i="81"/>
  <c r="R30" i="81"/>
  <c r="R26" i="81"/>
  <c r="R69" i="81"/>
  <c r="R68" i="81"/>
  <c r="R44" i="81"/>
  <c r="R40" i="81"/>
  <c r="R36" i="81"/>
  <c r="R17" i="81"/>
  <c r="R85" i="81"/>
  <c r="R63" i="81"/>
  <c r="R31" i="81"/>
  <c r="R27" i="81"/>
  <c r="R74" i="81"/>
  <c r="R70" i="81"/>
  <c r="R55" i="81"/>
  <c r="R54" i="81"/>
  <c r="R76" i="81"/>
  <c r="R75" i="81"/>
  <c r="R71" i="81"/>
  <c r="R66" i="81"/>
  <c r="R59" i="81"/>
  <c r="R58" i="81"/>
  <c r="R42" i="81"/>
  <c r="R38" i="81"/>
  <c r="X12" i="81"/>
  <c r="Z12" i="81" s="1"/>
  <c r="R72" i="81"/>
  <c r="R61" i="81"/>
  <c r="R60" i="81"/>
  <c r="R25" i="81"/>
  <c r="R20" i="81"/>
  <c r="R53" i="81"/>
  <c r="R37" i="81"/>
  <c r="R18" i="81"/>
  <c r="R47" i="81"/>
  <c r="R22" i="81"/>
  <c r="R77" i="81"/>
  <c r="R48" i="81"/>
  <c r="P22" i="81"/>
  <c r="R73" i="81"/>
  <c r="R56" i="81"/>
  <c r="R51" i="81"/>
  <c r="R33" i="81"/>
  <c r="R78" i="81"/>
  <c r="R64" i="81"/>
  <c r="R29" i="81"/>
  <c r="R24" i="81"/>
  <c r="R19" i="81"/>
  <c r="R57" i="81"/>
  <c r="R45" i="81"/>
  <c r="R52" i="81"/>
  <c r="R49" i="81"/>
  <c r="R46" i="81"/>
  <c r="R43" i="81"/>
  <c r="R41" i="81"/>
  <c r="R67" i="81"/>
  <c r="R65" i="81"/>
  <c r="R32" i="81"/>
  <c r="R79" i="81"/>
  <c r="R50" i="81"/>
  <c r="R39" i="81"/>
  <c r="R28" i="81"/>
  <c r="D81" i="80"/>
  <c r="L22" i="80"/>
  <c r="N22" i="80" s="1"/>
  <c r="H100" i="74"/>
  <c r="X79" i="70"/>
  <c r="P83" i="70"/>
  <c r="H79" i="70"/>
  <c r="T116" i="51"/>
  <c r="V112" i="51"/>
  <c r="P80" i="48"/>
  <c r="R76" i="48"/>
  <c r="V37" i="39"/>
  <c r="J37" i="39"/>
  <c r="R137" i="36"/>
  <c r="R105" i="36"/>
  <c r="R86" i="36"/>
  <c r="R85" i="36"/>
  <c r="R123" i="36"/>
  <c r="R108" i="36"/>
  <c r="R107" i="36"/>
  <c r="R103" i="36"/>
  <c r="R92" i="36"/>
  <c r="R91" i="36"/>
  <c r="R127" i="36"/>
  <c r="R126" i="36"/>
  <c r="R115" i="36"/>
  <c r="R104" i="36"/>
  <c r="R80" i="36"/>
  <c r="R71" i="36"/>
  <c r="R56" i="36"/>
  <c r="R55" i="36"/>
  <c r="R51" i="36"/>
  <c r="R47" i="36"/>
  <c r="R132" i="36"/>
  <c r="R112" i="36"/>
  <c r="R42" i="36"/>
  <c r="R38" i="36"/>
  <c r="R128" i="36"/>
  <c r="R119" i="36"/>
  <c r="R97" i="36"/>
  <c r="R96" i="36"/>
  <c r="R88" i="36"/>
  <c r="R87" i="36"/>
  <c r="R65" i="36"/>
  <c r="R58" i="36"/>
  <c r="R57" i="36"/>
  <c r="R34" i="36"/>
  <c r="R29" i="36"/>
  <c r="R116" i="36"/>
  <c r="R101" i="36"/>
  <c r="R93" i="36"/>
  <c r="R73" i="36"/>
  <c r="R72" i="36"/>
  <c r="R52" i="36"/>
  <c r="R48" i="36"/>
  <c r="R33" i="36"/>
  <c r="X12" i="36"/>
  <c r="Z12" i="36" s="1"/>
  <c r="R134" i="36"/>
  <c r="R102" i="36"/>
  <c r="R98" i="36"/>
  <c r="R81" i="36"/>
  <c r="R59" i="36"/>
  <c r="R43" i="36"/>
  <c r="R39" i="36"/>
  <c r="R35" i="36"/>
  <c r="P31" i="36"/>
  <c r="R120" i="36"/>
  <c r="R113" i="36"/>
  <c r="R89" i="36"/>
  <c r="R82" i="36"/>
  <c r="R75" i="36"/>
  <c r="R74" i="36"/>
  <c r="R66" i="36"/>
  <c r="R135" i="36"/>
  <c r="R129" i="36"/>
  <c r="R124" i="36"/>
  <c r="R94" i="36"/>
  <c r="R90" i="36"/>
  <c r="R142" i="36"/>
  <c r="R136" i="36"/>
  <c r="R117" i="36"/>
  <c r="R109" i="36"/>
  <c r="R83" i="36"/>
  <c r="R77" i="36"/>
  <c r="R76" i="36"/>
  <c r="R61" i="36"/>
  <c r="R60" i="36"/>
  <c r="R45" i="36"/>
  <c r="R44" i="36"/>
  <c r="R40" i="36"/>
  <c r="R36" i="36"/>
  <c r="R125" i="36"/>
  <c r="R114" i="36"/>
  <c r="R99" i="36"/>
  <c r="R84" i="36"/>
  <c r="R68" i="36"/>
  <c r="R67" i="36"/>
  <c r="R27" i="36"/>
  <c r="R131" i="36"/>
  <c r="R122" i="36"/>
  <c r="R118" i="36"/>
  <c r="R95" i="36"/>
  <c r="R70" i="36"/>
  <c r="R69" i="36"/>
  <c r="R41" i="36"/>
  <c r="R37" i="36"/>
  <c r="R121" i="36"/>
  <c r="R62" i="36"/>
  <c r="R110" i="36"/>
  <c r="R100" i="36"/>
  <c r="R28" i="36"/>
  <c r="R78" i="36"/>
  <c r="R53" i="36"/>
  <c r="R138" i="36"/>
  <c r="R130" i="36"/>
  <c r="R63" i="36"/>
  <c r="R46" i="36"/>
  <c r="R111" i="36"/>
  <c r="R79" i="36"/>
  <c r="R50" i="36"/>
  <c r="R106" i="36"/>
  <c r="R64" i="36"/>
  <c r="R54" i="36"/>
  <c r="R49" i="36"/>
  <c r="R26" i="36"/>
  <c r="H127" i="27"/>
  <c r="J61" i="27"/>
  <c r="V82" i="24"/>
  <c r="T125" i="21"/>
  <c r="R288" i="18"/>
  <c r="R260" i="18"/>
  <c r="R241" i="18"/>
  <c r="R240" i="18"/>
  <c r="R217" i="18"/>
  <c r="R216" i="18"/>
  <c r="R201" i="18"/>
  <c r="R200" i="18"/>
  <c r="R196" i="18"/>
  <c r="R192" i="18"/>
  <c r="R301" i="18"/>
  <c r="R289" i="18"/>
  <c r="R279" i="18"/>
  <c r="R271" i="18"/>
  <c r="R267" i="18"/>
  <c r="R255" i="18"/>
  <c r="R232" i="18"/>
  <c r="R231" i="18"/>
  <c r="R224" i="18"/>
  <c r="R223" i="18"/>
  <c r="R183" i="18"/>
  <c r="R179" i="18"/>
  <c r="R175" i="18"/>
  <c r="R171" i="18"/>
  <c r="R167" i="18"/>
  <c r="R163" i="18"/>
  <c r="R290" i="18"/>
  <c r="R250" i="18"/>
  <c r="R243" i="18"/>
  <c r="R242" i="18"/>
  <c r="R219" i="18"/>
  <c r="R218" i="18"/>
  <c r="R210" i="18"/>
  <c r="R206" i="18"/>
  <c r="R202" i="18"/>
  <c r="R127" i="18"/>
  <c r="R291" i="18"/>
  <c r="R262" i="18"/>
  <c r="R261" i="18"/>
  <c r="R234" i="18"/>
  <c r="R233" i="18"/>
  <c r="R225" i="18"/>
  <c r="R197" i="18"/>
  <c r="R193" i="18"/>
  <c r="R292" i="18"/>
  <c r="R280" i="18"/>
  <c r="R273" i="18"/>
  <c r="R272" i="18"/>
  <c r="R268" i="18"/>
  <c r="R257" i="18"/>
  <c r="R256" i="18"/>
  <c r="R245" i="18"/>
  <c r="R244" i="18"/>
  <c r="R220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293" i="18"/>
  <c r="R263" i="18"/>
  <c r="R252" i="18"/>
  <c r="R251" i="18"/>
  <c r="R235" i="18"/>
  <c r="R212" i="18"/>
  <c r="R211" i="18"/>
  <c r="R207" i="18"/>
  <c r="R203" i="18"/>
  <c r="R294" i="18"/>
  <c r="R274" i="18"/>
  <c r="R258" i="18"/>
  <c r="R247" i="18"/>
  <c r="R246" i="18"/>
  <c r="R296" i="18"/>
  <c r="R265" i="18"/>
  <c r="R264" i="18"/>
  <c r="R248" i="18"/>
  <c r="R237" i="18"/>
  <c r="R236" i="18"/>
  <c r="R228" i="18"/>
  <c r="R208" i="18"/>
  <c r="R204" i="18"/>
  <c r="R189" i="18"/>
  <c r="R297" i="18"/>
  <c r="R283" i="18"/>
  <c r="R276" i="18"/>
  <c r="R275" i="18"/>
  <c r="R259" i="18"/>
  <c r="R215" i="18"/>
  <c r="R199" i="18"/>
  <c r="R195" i="18"/>
  <c r="R191" i="18"/>
  <c r="P187" i="18"/>
  <c r="R187" i="18" s="1"/>
  <c r="R295" i="18"/>
  <c r="R253" i="18"/>
  <c r="R249" i="18"/>
  <c r="R227" i="18"/>
  <c r="R214" i="18"/>
  <c r="R181" i="18"/>
  <c r="R131" i="18"/>
  <c r="R238" i="18"/>
  <c r="R209" i="18"/>
  <c r="R190" i="18"/>
  <c r="R166" i="18"/>
  <c r="R151" i="18"/>
  <c r="R143" i="18"/>
  <c r="R286" i="18"/>
  <c r="R229" i="18"/>
  <c r="R198" i="18"/>
  <c r="R194" i="18"/>
  <c r="R177" i="18"/>
  <c r="R159" i="18"/>
  <c r="R154" i="18"/>
  <c r="R146" i="18"/>
  <c r="R281" i="18"/>
  <c r="R269" i="18"/>
  <c r="R162" i="18"/>
  <c r="R138" i="18"/>
  <c r="R129" i="18"/>
  <c r="R277" i="18"/>
  <c r="R239" i="18"/>
  <c r="R173" i="18"/>
  <c r="R157" i="18"/>
  <c r="R149" i="18"/>
  <c r="R141" i="18"/>
  <c r="R135" i="18"/>
  <c r="R182" i="18"/>
  <c r="R282" i="18"/>
  <c r="R254" i="18"/>
  <c r="R230" i="18"/>
  <c r="R221" i="18"/>
  <c r="R169" i="18"/>
  <c r="R287" i="18"/>
  <c r="R178" i="18"/>
  <c r="R155" i="18"/>
  <c r="R147" i="18"/>
  <c r="R133" i="18"/>
  <c r="R130" i="18"/>
  <c r="R278" i="18"/>
  <c r="R266" i="18"/>
  <c r="R226" i="18"/>
  <c r="R165" i="18"/>
  <c r="R158" i="18"/>
  <c r="R150" i="18"/>
  <c r="R142" i="18"/>
  <c r="R139" i="18"/>
  <c r="R285" i="18"/>
  <c r="R213" i="18"/>
  <c r="R185" i="18"/>
  <c r="R153" i="18"/>
  <c r="R145" i="18"/>
  <c r="R222" i="18"/>
  <c r="X12" i="18"/>
  <c r="Z12" i="18" s="1"/>
  <c r="R205" i="18"/>
  <c r="R134" i="18"/>
  <c r="R170" i="18"/>
  <c r="R270" i="18"/>
  <c r="R161" i="18"/>
  <c r="R174" i="18"/>
  <c r="R137" i="18"/>
  <c r="T102" i="9"/>
  <c r="X102" i="9" s="1"/>
  <c r="Z17" i="9"/>
  <c r="J162" i="15"/>
  <c r="T284" i="12"/>
  <c r="T323" i="3"/>
  <c r="X18" i="112"/>
  <c r="P27" i="112"/>
  <c r="H27" i="112"/>
  <c r="N18" i="112"/>
  <c r="X18" i="44"/>
  <c r="P27" i="44"/>
  <c r="L18" i="44"/>
  <c r="D27" i="44"/>
  <c r="H27" i="41"/>
  <c r="N18" i="41"/>
  <c r="L18" i="41"/>
  <c r="D27" i="41"/>
  <c r="T27" i="38"/>
  <c r="Z18" i="38"/>
  <c r="X18" i="20"/>
  <c r="P27" i="20"/>
  <c r="X18" i="22"/>
  <c r="P27" i="22"/>
  <c r="L18" i="16"/>
  <c r="D27" i="16"/>
  <c r="N18" i="13"/>
  <c r="H27" i="13"/>
  <c r="L18" i="11"/>
  <c r="D27" i="11"/>
  <c r="L18" i="5"/>
  <c r="D27" i="5"/>
  <c r="L18" i="10"/>
  <c r="D27" i="10"/>
  <c r="Z16" i="109"/>
  <c r="T46" i="109"/>
  <c r="X16" i="109"/>
  <c r="P46" i="109"/>
  <c r="R88" i="108"/>
  <c r="R80" i="108"/>
  <c r="R61" i="108"/>
  <c r="R60" i="108"/>
  <c r="R44" i="108"/>
  <c r="R40" i="108"/>
  <c r="R76" i="108"/>
  <c r="R75" i="108"/>
  <c r="R51" i="108"/>
  <c r="R35" i="108"/>
  <c r="R31" i="108"/>
  <c r="R27" i="108"/>
  <c r="P23" i="108"/>
  <c r="R70" i="108"/>
  <c r="R89" i="108"/>
  <c r="R81" i="108"/>
  <c r="R77" i="108"/>
  <c r="R45" i="108"/>
  <c r="R41" i="108"/>
  <c r="R91" i="108"/>
  <c r="R65" i="108"/>
  <c r="R64" i="108"/>
  <c r="R72" i="108"/>
  <c r="R71" i="108"/>
  <c r="R19" i="108"/>
  <c r="R83" i="108"/>
  <c r="R82" i="108"/>
  <c r="R78" i="108"/>
  <c r="R67" i="108"/>
  <c r="R66" i="108"/>
  <c r="R55" i="108"/>
  <c r="R54" i="108"/>
  <c r="R46" i="108"/>
  <c r="R42" i="108"/>
  <c r="R38" i="108"/>
  <c r="R95" i="108"/>
  <c r="R73" i="108"/>
  <c r="R33" i="108"/>
  <c r="R29" i="108"/>
  <c r="R85" i="108"/>
  <c r="R84" i="108"/>
  <c r="R68" i="108"/>
  <c r="R57" i="108"/>
  <c r="R56" i="108"/>
  <c r="R49" i="108"/>
  <c r="R36" i="108"/>
  <c r="R34" i="108"/>
  <c r="R23" i="108"/>
  <c r="R62" i="108"/>
  <c r="R47" i="108"/>
  <c r="R39" i="108"/>
  <c r="R87" i="108"/>
  <c r="R79" i="108"/>
  <c r="R43" i="108"/>
  <c r="R37" i="108"/>
  <c r="R32" i="108"/>
  <c r="R30" i="108"/>
  <c r="R25" i="108"/>
  <c r="R69" i="108"/>
  <c r="R52" i="108"/>
  <c r="R50" i="108"/>
  <c r="R28" i="108"/>
  <c r="R20" i="108"/>
  <c r="X12" i="108"/>
  <c r="Z12" i="108" s="1"/>
  <c r="R26" i="108"/>
  <c r="R48" i="108"/>
  <c r="R63" i="108"/>
  <c r="R58" i="108"/>
  <c r="R21" i="108"/>
  <c r="R18" i="108"/>
  <c r="R86" i="108"/>
  <c r="R59" i="108"/>
  <c r="R53" i="108"/>
  <c r="R74" i="108"/>
  <c r="R88" i="104"/>
  <c r="R80" i="104"/>
  <c r="R76" i="104"/>
  <c r="R90" i="104"/>
  <c r="R71" i="104"/>
  <c r="R66" i="104"/>
  <c r="R46" i="104"/>
  <c r="R42" i="104"/>
  <c r="R38" i="104"/>
  <c r="R82" i="104"/>
  <c r="R81" i="104"/>
  <c r="R77" i="104"/>
  <c r="R58" i="104"/>
  <c r="R57" i="104"/>
  <c r="R33" i="104"/>
  <c r="R29" i="104"/>
  <c r="R94" i="104"/>
  <c r="R73" i="104"/>
  <c r="R72" i="104"/>
  <c r="R84" i="104"/>
  <c r="R83" i="104"/>
  <c r="R68" i="104"/>
  <c r="R67" i="104"/>
  <c r="R60" i="104"/>
  <c r="R59" i="104"/>
  <c r="R48" i="104"/>
  <c r="R47" i="104"/>
  <c r="R43" i="104"/>
  <c r="R39" i="104"/>
  <c r="R78" i="104"/>
  <c r="R74" i="104"/>
  <c r="R86" i="104"/>
  <c r="R85" i="104"/>
  <c r="R69" i="104"/>
  <c r="R62" i="104"/>
  <c r="R61" i="104"/>
  <c r="R44" i="104"/>
  <c r="R40" i="104"/>
  <c r="R25" i="104"/>
  <c r="R87" i="104"/>
  <c r="R79" i="104"/>
  <c r="R75" i="104"/>
  <c r="R64" i="104"/>
  <c r="R63" i="104"/>
  <c r="R52" i="104"/>
  <c r="R51" i="104"/>
  <c r="R35" i="104"/>
  <c r="R31" i="104"/>
  <c r="R27" i="104"/>
  <c r="P23" i="104"/>
  <c r="R70" i="104"/>
  <c r="R45" i="104"/>
  <c r="R55" i="104"/>
  <c r="R41" i="104"/>
  <c r="R36" i="104"/>
  <c r="R34" i="104"/>
  <c r="R20" i="104"/>
  <c r="R53" i="104"/>
  <c r="R18" i="104"/>
  <c r="R37" i="104"/>
  <c r="R32" i="104"/>
  <c r="R30" i="104"/>
  <c r="R28" i="104"/>
  <c r="R56" i="104"/>
  <c r="R26" i="104"/>
  <c r="R21" i="104"/>
  <c r="X12" i="104"/>
  <c r="Z12" i="104" s="1"/>
  <c r="R50" i="104"/>
  <c r="R54" i="104"/>
  <c r="R65" i="104"/>
  <c r="R19" i="104"/>
  <c r="R49" i="104"/>
  <c r="D63" i="103"/>
  <c r="L16" i="103"/>
  <c r="J96" i="102"/>
  <c r="H53" i="100"/>
  <c r="N17" i="100"/>
  <c r="T50" i="99"/>
  <c r="Z19" i="99"/>
  <c r="V23" i="101"/>
  <c r="P87" i="93"/>
  <c r="X22" i="93"/>
  <c r="Z22" i="93" s="1"/>
  <c r="F23" i="95"/>
  <c r="X16" i="87"/>
  <c r="V129" i="85"/>
  <c r="H74" i="79"/>
  <c r="N27" i="79"/>
  <c r="R66" i="84"/>
  <c r="R65" i="84"/>
  <c r="R81" i="84"/>
  <c r="R70" i="84"/>
  <c r="R69" i="84"/>
  <c r="R62" i="84"/>
  <c r="R61" i="84"/>
  <c r="R90" i="84"/>
  <c r="R60" i="84"/>
  <c r="R46" i="84"/>
  <c r="R45" i="84"/>
  <c r="R41" i="84"/>
  <c r="R37" i="84"/>
  <c r="R91" i="84"/>
  <c r="R84" i="84"/>
  <c r="R78" i="84"/>
  <c r="R32" i="84"/>
  <c r="R28" i="84"/>
  <c r="R98" i="84"/>
  <c r="R85" i="84"/>
  <c r="R73" i="84"/>
  <c r="R55" i="84"/>
  <c r="R48" i="84"/>
  <c r="R47" i="84"/>
  <c r="R19" i="84"/>
  <c r="R56" i="84"/>
  <c r="R42" i="84"/>
  <c r="R38" i="84"/>
  <c r="X12" i="84"/>
  <c r="Z12" i="84" s="1"/>
  <c r="R92" i="84"/>
  <c r="R50" i="84"/>
  <c r="R49" i="84"/>
  <c r="R33" i="84"/>
  <c r="R29" i="84"/>
  <c r="R87" i="84"/>
  <c r="R86" i="84"/>
  <c r="R82" i="84"/>
  <c r="R79" i="84"/>
  <c r="R67" i="84"/>
  <c r="R25" i="84"/>
  <c r="R75" i="84"/>
  <c r="R74" i="84"/>
  <c r="R71" i="84"/>
  <c r="R57" i="84"/>
  <c r="R52" i="84"/>
  <c r="R51" i="84"/>
  <c r="R43" i="84"/>
  <c r="R39" i="84"/>
  <c r="R24" i="84"/>
  <c r="R22" i="84"/>
  <c r="R94" i="84"/>
  <c r="R58" i="84"/>
  <c r="R35" i="84"/>
  <c r="R34" i="84"/>
  <c r="R30" i="84"/>
  <c r="R26" i="84"/>
  <c r="P22" i="84"/>
  <c r="R88" i="84"/>
  <c r="R63" i="84"/>
  <c r="R53" i="84"/>
  <c r="R89" i="84"/>
  <c r="R59" i="84"/>
  <c r="R31" i="84"/>
  <c r="R27" i="84"/>
  <c r="R77" i="84"/>
  <c r="R83" i="84"/>
  <c r="R17" i="84"/>
  <c r="R64" i="84"/>
  <c r="R72" i="84"/>
  <c r="R68" i="84"/>
  <c r="R44" i="84"/>
  <c r="R40" i="84"/>
  <c r="R20" i="84"/>
  <c r="R54" i="84"/>
  <c r="R36" i="84"/>
  <c r="R18" i="84"/>
  <c r="R80" i="84"/>
  <c r="R76" i="84"/>
  <c r="H104" i="88"/>
  <c r="F23" i="89"/>
  <c r="F19" i="83"/>
  <c r="F20" i="83"/>
  <c r="F26" i="83"/>
  <c r="F24" i="83"/>
  <c r="F22" i="83"/>
  <c r="F30" i="83"/>
  <c r="D22" i="83"/>
  <c r="L12" i="83"/>
  <c r="N12" i="83" s="1"/>
  <c r="F17" i="83"/>
  <c r="F18" i="83"/>
  <c r="T83" i="81"/>
  <c r="R62" i="85"/>
  <c r="R58" i="85"/>
  <c r="R125" i="85"/>
  <c r="R127" i="85"/>
  <c r="R117" i="85"/>
  <c r="R116" i="85"/>
  <c r="R112" i="85"/>
  <c r="R100" i="85"/>
  <c r="R99" i="85"/>
  <c r="R88" i="85"/>
  <c r="R87" i="85"/>
  <c r="R63" i="85"/>
  <c r="R59" i="85"/>
  <c r="R118" i="85"/>
  <c r="R107" i="85"/>
  <c r="R106" i="85"/>
  <c r="R79" i="85"/>
  <c r="R78" i="85"/>
  <c r="R50" i="85"/>
  <c r="R131" i="85"/>
  <c r="R108" i="85"/>
  <c r="R120" i="85"/>
  <c r="R119" i="85"/>
  <c r="R124" i="85"/>
  <c r="R123" i="85"/>
  <c r="R115" i="85"/>
  <c r="R111" i="85"/>
  <c r="R96" i="85"/>
  <c r="R95" i="85"/>
  <c r="R84" i="85"/>
  <c r="R83" i="85"/>
  <c r="R75" i="85"/>
  <c r="R71" i="85"/>
  <c r="R67" i="85"/>
  <c r="R81" i="85"/>
  <c r="R74" i="85"/>
  <c r="R38" i="85"/>
  <c r="R121" i="85"/>
  <c r="R113" i="85"/>
  <c r="R91" i="85"/>
  <c r="R69" i="85"/>
  <c r="R66" i="85"/>
  <c r="R61" i="85"/>
  <c r="R48" i="85"/>
  <c r="R45" i="85"/>
  <c r="R101" i="85"/>
  <c r="R98" i="85"/>
  <c r="R42" i="85"/>
  <c r="R109" i="85"/>
  <c r="R92" i="85"/>
  <c r="R85" i="85"/>
  <c r="R82" i="85"/>
  <c r="R72" i="85"/>
  <c r="R51" i="85"/>
  <c r="R35" i="85"/>
  <c r="R57" i="85"/>
  <c r="R104" i="85"/>
  <c r="R64" i="85"/>
  <c r="R49" i="85"/>
  <c r="R46" i="85"/>
  <c r="R39" i="85"/>
  <c r="R122" i="85"/>
  <c r="R89" i="85"/>
  <c r="R86" i="85"/>
  <c r="R73" i="85"/>
  <c r="R36" i="85"/>
  <c r="R114" i="85"/>
  <c r="R110" i="85"/>
  <c r="R70" i="85"/>
  <c r="R43" i="85"/>
  <c r="X12" i="85"/>
  <c r="Z12" i="85" s="1"/>
  <c r="R102" i="85"/>
  <c r="R93" i="85"/>
  <c r="R90" i="85"/>
  <c r="R80" i="85"/>
  <c r="R76" i="85"/>
  <c r="R60" i="85"/>
  <c r="P53" i="85"/>
  <c r="R53" i="85" s="1"/>
  <c r="R40" i="85"/>
  <c r="R65" i="85"/>
  <c r="R55" i="85"/>
  <c r="R47" i="85"/>
  <c r="R44" i="85"/>
  <c r="R103" i="85"/>
  <c r="R97" i="85"/>
  <c r="R68" i="85"/>
  <c r="R56" i="85"/>
  <c r="R105" i="85"/>
  <c r="R94" i="85"/>
  <c r="R77" i="85"/>
  <c r="R37" i="85"/>
  <c r="R41" i="85"/>
  <c r="H85" i="80"/>
  <c r="H122" i="75"/>
  <c r="H85" i="73"/>
  <c r="J26" i="73"/>
  <c r="V130" i="69"/>
  <c r="L16" i="60"/>
  <c r="D61" i="60"/>
  <c r="V100" i="74"/>
  <c r="T104" i="74"/>
  <c r="T81" i="56"/>
  <c r="X81" i="56" s="1"/>
  <c r="Z16" i="56"/>
  <c r="X78" i="57"/>
  <c r="P82" i="57"/>
  <c r="X16" i="55"/>
  <c r="F81" i="45"/>
  <c r="F69" i="45"/>
  <c r="F68" i="45"/>
  <c r="F49" i="45"/>
  <c r="F45" i="45"/>
  <c r="F41" i="45"/>
  <c r="F95" i="45"/>
  <c r="F94" i="45"/>
  <c r="F79" i="45"/>
  <c r="F63" i="45"/>
  <c r="F62" i="45"/>
  <c r="F47" i="45"/>
  <c r="F43" i="45"/>
  <c r="F93" i="45"/>
  <c r="F71" i="45"/>
  <c r="F66" i="45"/>
  <c r="F61" i="45"/>
  <c r="F29" i="45"/>
  <c r="D25" i="45"/>
  <c r="F98" i="45"/>
  <c r="F89" i="45"/>
  <c r="F75" i="45"/>
  <c r="F56" i="45"/>
  <c r="F52" i="45"/>
  <c r="F32" i="45"/>
  <c r="F86" i="45"/>
  <c r="F82" i="45"/>
  <c r="F72" i="45"/>
  <c r="F67" i="45"/>
  <c r="F35" i="45"/>
  <c r="F21" i="45"/>
  <c r="F20" i="45"/>
  <c r="F53" i="45"/>
  <c r="F48" i="45"/>
  <c r="F38" i="45"/>
  <c r="L12" i="45"/>
  <c r="N12" i="45" s="1"/>
  <c r="F90" i="45"/>
  <c r="F83" i="45"/>
  <c r="F73" i="45"/>
  <c r="F58" i="45"/>
  <c r="F57" i="45"/>
  <c r="F42" i="45"/>
  <c r="F30" i="45"/>
  <c r="F100" i="45"/>
  <c r="F76" i="45"/>
  <c r="F22" i="45"/>
  <c r="F87" i="45"/>
  <c r="F84" i="45"/>
  <c r="F80" i="45"/>
  <c r="F54" i="45"/>
  <c r="F46" i="45"/>
  <c r="F39" i="45"/>
  <c r="F96" i="45"/>
  <c r="F91" i="45"/>
  <c r="F74" i="45"/>
  <c r="F64" i="45"/>
  <c r="F59" i="45"/>
  <c r="F23" i="45"/>
  <c r="F104" i="45"/>
  <c r="F97" i="45"/>
  <c r="F92" i="45"/>
  <c r="F70" i="45"/>
  <c r="F65" i="45"/>
  <c r="F60" i="45"/>
  <c r="F34" i="45"/>
  <c r="F28" i="45"/>
  <c r="F51" i="45"/>
  <c r="F55" i="45"/>
  <c r="F36" i="45"/>
  <c r="F27" i="45"/>
  <c r="F88" i="45"/>
  <c r="F77" i="45"/>
  <c r="F31" i="45"/>
  <c r="F40" i="45"/>
  <c r="F33" i="45"/>
  <c r="F50" i="45"/>
  <c r="F44" i="45"/>
  <c r="F85" i="45"/>
  <c r="F37" i="45"/>
  <c r="F25" i="45"/>
  <c r="F78" i="45"/>
  <c r="R110" i="51"/>
  <c r="R89" i="51"/>
  <c r="R88" i="51"/>
  <c r="R52" i="51"/>
  <c r="R48" i="51"/>
  <c r="R44" i="51"/>
  <c r="X12" i="51"/>
  <c r="Z12" i="51" s="1"/>
  <c r="R99" i="51"/>
  <c r="R79" i="51"/>
  <c r="R75" i="51"/>
  <c r="R71" i="51"/>
  <c r="R40" i="51"/>
  <c r="R91" i="51"/>
  <c r="R90" i="51"/>
  <c r="R66" i="51"/>
  <c r="R62" i="51"/>
  <c r="R53" i="51"/>
  <c r="R49" i="51"/>
  <c r="R45" i="51"/>
  <c r="R41" i="51"/>
  <c r="R114" i="51"/>
  <c r="R101" i="51"/>
  <c r="R100" i="51"/>
  <c r="R93" i="51"/>
  <c r="R92" i="51"/>
  <c r="R81" i="51"/>
  <c r="R80" i="51"/>
  <c r="R76" i="51"/>
  <c r="R72" i="51"/>
  <c r="R67" i="51"/>
  <c r="R63" i="51"/>
  <c r="R103" i="51"/>
  <c r="R102" i="51"/>
  <c r="R95" i="51"/>
  <c r="R94" i="51"/>
  <c r="R83" i="51"/>
  <c r="R82" i="51"/>
  <c r="R59" i="51"/>
  <c r="R54" i="51"/>
  <c r="R50" i="51"/>
  <c r="R46" i="51"/>
  <c r="R42" i="51"/>
  <c r="R77" i="51"/>
  <c r="R73" i="51"/>
  <c r="R58" i="51"/>
  <c r="R104" i="51"/>
  <c r="R96" i="51"/>
  <c r="R85" i="51"/>
  <c r="R84" i="51"/>
  <c r="R68" i="51"/>
  <c r="R64" i="51"/>
  <c r="R60" i="51"/>
  <c r="P56" i="51"/>
  <c r="R56" i="51" s="1"/>
  <c r="R107" i="51"/>
  <c r="R106" i="51"/>
  <c r="R51" i="51"/>
  <c r="R47" i="51"/>
  <c r="R43" i="51"/>
  <c r="R65" i="51"/>
  <c r="R87" i="51"/>
  <c r="R108" i="51"/>
  <c r="R69" i="51"/>
  <c r="R97" i="51"/>
  <c r="R109" i="51"/>
  <c r="R98" i="51"/>
  <c r="R70" i="51"/>
  <c r="R86" i="51"/>
  <c r="R74" i="51"/>
  <c r="R61" i="51"/>
  <c r="R78" i="51"/>
  <c r="R142" i="39"/>
  <c r="R110" i="39"/>
  <c r="R83" i="39"/>
  <c r="R82" i="39"/>
  <c r="R58" i="39"/>
  <c r="R54" i="39"/>
  <c r="R39" i="39"/>
  <c r="R143" i="39"/>
  <c r="R133" i="39"/>
  <c r="R125" i="39"/>
  <c r="R121" i="39"/>
  <c r="R117" i="39"/>
  <c r="R106" i="39"/>
  <c r="R105" i="39"/>
  <c r="R94" i="39"/>
  <c r="R93" i="39"/>
  <c r="R66" i="39"/>
  <c r="R65" i="39"/>
  <c r="R49" i="39"/>
  <c r="R45" i="39"/>
  <c r="R41" i="39"/>
  <c r="R101" i="39"/>
  <c r="R100" i="39"/>
  <c r="R84" i="39"/>
  <c r="R73" i="39"/>
  <c r="R72" i="39"/>
  <c r="R111" i="39"/>
  <c r="R107" i="39"/>
  <c r="R96" i="39"/>
  <c r="R95" i="39"/>
  <c r="R68" i="39"/>
  <c r="R67" i="39"/>
  <c r="R59" i="39"/>
  <c r="R55" i="39"/>
  <c r="R32" i="39"/>
  <c r="R134" i="39"/>
  <c r="R127" i="39"/>
  <c r="R126" i="39"/>
  <c r="R122" i="39"/>
  <c r="R118" i="39"/>
  <c r="R102" i="39"/>
  <c r="R75" i="39"/>
  <c r="R74" i="39"/>
  <c r="R51" i="39"/>
  <c r="R50" i="39"/>
  <c r="R46" i="39"/>
  <c r="R42" i="39"/>
  <c r="R147" i="39"/>
  <c r="R97" i="39"/>
  <c r="R86" i="39"/>
  <c r="R85" i="39"/>
  <c r="R69" i="39"/>
  <c r="R136" i="39"/>
  <c r="R135" i="39"/>
  <c r="R123" i="39"/>
  <c r="R119" i="39"/>
  <c r="R103" i="39"/>
  <c r="R88" i="39"/>
  <c r="R87" i="39"/>
  <c r="R47" i="39"/>
  <c r="R43" i="39"/>
  <c r="R114" i="39"/>
  <c r="R98" i="39"/>
  <c r="R79" i="39"/>
  <c r="R78" i="39"/>
  <c r="R70" i="39"/>
  <c r="R34" i="39"/>
  <c r="R131" i="39"/>
  <c r="R99" i="39"/>
  <c r="R64" i="39"/>
  <c r="R62" i="39"/>
  <c r="R40" i="39"/>
  <c r="R129" i="39"/>
  <c r="R91" i="39"/>
  <c r="R77" i="39"/>
  <c r="R116" i="39"/>
  <c r="R60" i="39"/>
  <c r="R56" i="39"/>
  <c r="R52" i="39"/>
  <c r="R112" i="39"/>
  <c r="R108" i="39"/>
  <c r="R48" i="39"/>
  <c r="R44" i="39"/>
  <c r="P37" i="39"/>
  <c r="R37" i="39" s="1"/>
  <c r="R89" i="39"/>
  <c r="R141" i="39"/>
  <c r="R139" i="39"/>
  <c r="R132" i="39"/>
  <c r="R130" i="39"/>
  <c r="R120" i="39"/>
  <c r="R92" i="39"/>
  <c r="R128" i="39"/>
  <c r="R104" i="39"/>
  <c r="R80" i="39"/>
  <c r="X12" i="39"/>
  <c r="Z12" i="39" s="1"/>
  <c r="R124" i="39"/>
  <c r="R113" i="39"/>
  <c r="R63" i="39"/>
  <c r="R90" i="39"/>
  <c r="R71" i="39"/>
  <c r="R61" i="39"/>
  <c r="R140" i="39"/>
  <c r="R137" i="39"/>
  <c r="R109" i="39"/>
  <c r="R33" i="39"/>
  <c r="R81" i="39"/>
  <c r="R115" i="39"/>
  <c r="R76" i="39"/>
  <c r="R53" i="39"/>
  <c r="R35" i="39"/>
  <c r="R57" i="39"/>
  <c r="T147" i="36"/>
  <c r="F40" i="33"/>
  <c r="P26" i="6"/>
  <c r="X22" i="6"/>
  <c r="T27" i="113"/>
  <c r="Z18" i="113"/>
  <c r="D27" i="113"/>
  <c r="L18" i="113"/>
  <c r="X18" i="50"/>
  <c r="P27" i="50"/>
  <c r="P27" i="53"/>
  <c r="X18" i="53"/>
  <c r="T27" i="37"/>
  <c r="Z18" i="37"/>
  <c r="T27" i="40"/>
  <c r="Z18" i="40"/>
  <c r="T27" i="31"/>
  <c r="Z18" i="31"/>
  <c r="H27" i="32"/>
  <c r="N18" i="32"/>
  <c r="H27" i="29"/>
  <c r="N18" i="29"/>
  <c r="H27" i="23"/>
  <c r="N18" i="23"/>
  <c r="T27" i="16"/>
  <c r="Z18" i="16"/>
  <c r="P92" i="104" l="1"/>
  <c r="X23" i="104"/>
  <c r="Z23" i="104" s="1"/>
  <c r="L27" i="8"/>
  <c r="D31" i="8"/>
  <c r="D96" i="84"/>
  <c r="L22" i="84"/>
  <c r="N22" i="84" s="1"/>
  <c r="Z27" i="26"/>
  <c r="T31" i="26"/>
  <c r="H327" i="3"/>
  <c r="J323" i="3"/>
  <c r="H134" i="69"/>
  <c r="J130" i="69"/>
  <c r="D103" i="96"/>
  <c r="L22" i="96"/>
  <c r="N22" i="96" s="1"/>
  <c r="D31" i="14"/>
  <c r="L27" i="14"/>
  <c r="X75" i="69"/>
  <c r="Z75" i="69" s="1"/>
  <c r="P130" i="69"/>
  <c r="Z27" i="5"/>
  <c r="T31" i="5"/>
  <c r="D78" i="79"/>
  <c r="L74" i="79"/>
  <c r="N74" i="79" s="1"/>
  <c r="D122" i="75"/>
  <c r="L54" i="75"/>
  <c r="N54" i="75" s="1"/>
  <c r="D147" i="24"/>
  <c r="L143" i="24"/>
  <c r="F143" i="24"/>
  <c r="N27" i="35"/>
  <c r="H31" i="35"/>
  <c r="N27" i="22"/>
  <c r="H31" i="22"/>
  <c r="D50" i="99"/>
  <c r="L19" i="99"/>
  <c r="L27" i="4"/>
  <c r="D31" i="4"/>
  <c r="Z27" i="31"/>
  <c r="T31" i="31"/>
  <c r="Z27" i="113"/>
  <c r="T31" i="113"/>
  <c r="D67" i="103"/>
  <c r="L63" i="103"/>
  <c r="T50" i="109"/>
  <c r="X27" i="22"/>
  <c r="P31" i="22"/>
  <c r="X27" i="44"/>
  <c r="P31" i="44"/>
  <c r="Z102" i="9"/>
  <c r="T106" i="9"/>
  <c r="V102" i="9"/>
  <c r="H131" i="27"/>
  <c r="J127" i="27"/>
  <c r="X31" i="36"/>
  <c r="Z31" i="36" s="1"/>
  <c r="P140" i="36"/>
  <c r="T100" i="92"/>
  <c r="L27" i="46"/>
  <c r="D31" i="46"/>
  <c r="H80" i="58"/>
  <c r="H103" i="84"/>
  <c r="J100" i="84"/>
  <c r="Z27" i="34"/>
  <c r="T31" i="34"/>
  <c r="L37" i="39"/>
  <c r="N37" i="39" s="1"/>
  <c r="D145" i="39"/>
  <c r="H83" i="110"/>
  <c r="J80" i="110"/>
  <c r="X27" i="41"/>
  <c r="P31" i="41"/>
  <c r="X162" i="15"/>
  <c r="Z162" i="15" s="1"/>
  <c r="P271" i="15"/>
  <c r="N27" i="113"/>
  <c r="H31" i="113"/>
  <c r="H161" i="30"/>
  <c r="J157" i="30"/>
  <c r="V87" i="89"/>
  <c r="T91" i="89"/>
  <c r="N27" i="19"/>
  <c r="H31" i="19"/>
  <c r="N27" i="49"/>
  <c r="H31" i="49"/>
  <c r="X27" i="34"/>
  <c r="P31" i="34"/>
  <c r="H31" i="47"/>
  <c r="N27" i="47"/>
  <c r="N65" i="68"/>
  <c r="H69" i="68"/>
  <c r="X27" i="35"/>
  <c r="P31" i="35"/>
  <c r="D31" i="26"/>
  <c r="L27" i="26"/>
  <c r="D106" i="9"/>
  <c r="L102" i="9"/>
  <c r="N102" i="9" s="1"/>
  <c r="D82" i="57"/>
  <c r="L78" i="57"/>
  <c r="N78" i="57" s="1"/>
  <c r="F54" i="75"/>
  <c r="D96" i="98"/>
  <c r="L23" i="98"/>
  <c r="N23" i="98" s="1"/>
  <c r="P31" i="10"/>
  <c r="X27" i="10"/>
  <c r="Z27" i="28"/>
  <c r="T31" i="28"/>
  <c r="P323" i="3"/>
  <c r="X199" i="3"/>
  <c r="Z199" i="3" s="1"/>
  <c r="D31" i="54"/>
  <c r="L54" i="74"/>
  <c r="N54" i="74" s="1"/>
  <c r="D100" i="74"/>
  <c r="T100" i="98"/>
  <c r="V96" i="98"/>
  <c r="D65" i="105"/>
  <c r="L23" i="105"/>
  <c r="N23" i="105" s="1"/>
  <c r="T107" i="74"/>
  <c r="V104" i="74"/>
  <c r="Z27" i="47"/>
  <c r="T31" i="47"/>
  <c r="H104" i="74"/>
  <c r="J100" i="74"/>
  <c r="D284" i="12"/>
  <c r="L167" i="12"/>
  <c r="N167" i="12" s="1"/>
  <c r="D87" i="93"/>
  <c r="L22" i="93"/>
  <c r="N22" i="93" s="1"/>
  <c r="Z27" i="40"/>
  <c r="T31" i="40"/>
  <c r="P31" i="6"/>
  <c r="D65" i="60"/>
  <c r="L61" i="60"/>
  <c r="L27" i="10"/>
  <c r="D31" i="10"/>
  <c r="P31" i="20"/>
  <c r="X27" i="20"/>
  <c r="X27" i="7"/>
  <c r="P31" i="7"/>
  <c r="Z27" i="11"/>
  <c r="T31" i="11"/>
  <c r="T66" i="61"/>
  <c r="P122" i="75"/>
  <c r="X54" i="75"/>
  <c r="Z54" i="75" s="1"/>
  <c r="X32" i="83"/>
  <c r="P35" i="83"/>
  <c r="R32" i="83"/>
  <c r="X27" i="25"/>
  <c r="P31" i="25"/>
  <c r="H147" i="24"/>
  <c r="N143" i="24"/>
  <c r="J143" i="24"/>
  <c r="D112" i="77"/>
  <c r="L56" i="77"/>
  <c r="N56" i="77" s="1"/>
  <c r="T31" i="29"/>
  <c r="Z27" i="29"/>
  <c r="H138" i="42"/>
  <c r="J134" i="42"/>
  <c r="P65" i="105"/>
  <c r="X23" i="105"/>
  <c r="Z23" i="105" s="1"/>
  <c r="H31" i="26"/>
  <c r="N27" i="26"/>
  <c r="T31" i="46"/>
  <c r="Z27" i="46"/>
  <c r="T137" i="69"/>
  <c r="V134" i="69"/>
  <c r="H31" i="53"/>
  <c r="N27" i="53"/>
  <c r="H106" i="9"/>
  <c r="P89" i="73"/>
  <c r="X85" i="73"/>
  <c r="R85" i="73"/>
  <c r="L83" i="81"/>
  <c r="D87" i="81"/>
  <c r="F83" i="81"/>
  <c r="T100" i="102"/>
  <c r="V96" i="102"/>
  <c r="X27" i="52"/>
  <c r="P31" i="52"/>
  <c r="T303" i="18"/>
  <c r="V299" i="18"/>
  <c r="Z27" i="23"/>
  <c r="T31" i="23"/>
  <c r="P108" i="33"/>
  <c r="X40" i="33"/>
  <c r="Z40" i="33" s="1"/>
  <c r="X53" i="100"/>
  <c r="P57" i="100"/>
  <c r="J125" i="21"/>
  <c r="H85" i="56"/>
  <c r="D299" i="18"/>
  <c r="L187" i="18"/>
  <c r="N187" i="18" s="1"/>
  <c r="T37" i="55"/>
  <c r="T26" i="87"/>
  <c r="Z22" i="87"/>
  <c r="D96" i="104"/>
  <c r="L92" i="104"/>
  <c r="N92" i="104" s="1"/>
  <c r="F92" i="104"/>
  <c r="H31" i="46"/>
  <c r="N27" i="46"/>
  <c r="F22" i="84"/>
  <c r="D31" i="52"/>
  <c r="L27" i="52"/>
  <c r="V81" i="79"/>
  <c r="X76" i="110"/>
  <c r="P80" i="110"/>
  <c r="R76" i="110"/>
  <c r="N27" i="7"/>
  <c r="H31" i="7"/>
  <c r="X27" i="46"/>
  <c r="P31" i="46"/>
  <c r="X74" i="59"/>
  <c r="P78" i="59"/>
  <c r="H36" i="86"/>
  <c r="J32" i="86"/>
  <c r="D31" i="25"/>
  <c r="L27" i="25"/>
  <c r="H291" i="12"/>
  <c r="J288" i="12"/>
  <c r="T97" i="106"/>
  <c r="V93" i="106"/>
  <c r="X27" i="11"/>
  <c r="P31" i="11"/>
  <c r="L27" i="31"/>
  <c r="D31" i="31"/>
  <c r="L27" i="111"/>
  <c r="D31" i="111"/>
  <c r="D80" i="58"/>
  <c r="L76" i="58"/>
  <c r="N76" i="58" s="1"/>
  <c r="X27" i="8"/>
  <c r="P31" i="8"/>
  <c r="F167" i="12"/>
  <c r="T161" i="30"/>
  <c r="V157" i="30"/>
  <c r="D157" i="30"/>
  <c r="L69" i="30"/>
  <c r="N69" i="30" s="1"/>
  <c r="H26" i="54"/>
  <c r="L26" i="54" s="1"/>
  <c r="N22" i="54"/>
  <c r="P69" i="68"/>
  <c r="X65" i="68"/>
  <c r="X22" i="80"/>
  <c r="Z22" i="80" s="1"/>
  <c r="P81" i="80"/>
  <c r="Z27" i="10"/>
  <c r="T31" i="10"/>
  <c r="H31" i="34"/>
  <c r="N27" i="34"/>
  <c r="N27" i="16"/>
  <c r="H31" i="16"/>
  <c r="T112" i="64"/>
  <c r="N27" i="31"/>
  <c r="H31" i="31"/>
  <c r="N27" i="52"/>
  <c r="H31" i="52"/>
  <c r="D130" i="69"/>
  <c r="L75" i="69"/>
  <c r="N75" i="69" s="1"/>
  <c r="H95" i="76"/>
  <c r="J91" i="76"/>
  <c r="X32" i="86"/>
  <c r="P36" i="86"/>
  <c r="R32" i="86"/>
  <c r="T104" i="88"/>
  <c r="V100" i="88"/>
  <c r="T275" i="15"/>
  <c r="V271" i="15"/>
  <c r="P83" i="48"/>
  <c r="R80" i="48"/>
  <c r="L27" i="49"/>
  <c r="D31" i="49"/>
  <c r="X27" i="5"/>
  <c r="P31" i="5"/>
  <c r="Z27" i="25"/>
  <c r="T31" i="25"/>
  <c r="Z27" i="16"/>
  <c r="T31" i="16"/>
  <c r="T31" i="37"/>
  <c r="Z27" i="37"/>
  <c r="V147" i="36"/>
  <c r="P85" i="57"/>
  <c r="T87" i="81"/>
  <c r="V83" i="81"/>
  <c r="X87" i="93"/>
  <c r="Z87" i="93" s="1"/>
  <c r="P91" i="93"/>
  <c r="R87" i="93"/>
  <c r="L27" i="5"/>
  <c r="D31" i="5"/>
  <c r="X27" i="112"/>
  <c r="P31" i="112"/>
  <c r="T119" i="51"/>
  <c r="V116" i="51"/>
  <c r="L81" i="80"/>
  <c r="N81" i="80" s="1"/>
  <c r="D85" i="80"/>
  <c r="F81" i="80"/>
  <c r="L100" i="88"/>
  <c r="N100" i="88" s="1"/>
  <c r="D104" i="88"/>
  <c r="F100" i="88"/>
  <c r="T90" i="94"/>
  <c r="V87" i="94"/>
  <c r="H100" i="98"/>
  <c r="J96" i="98"/>
  <c r="N27" i="4"/>
  <c r="H31" i="4"/>
  <c r="H116" i="51"/>
  <c r="J112" i="51"/>
  <c r="P112" i="77"/>
  <c r="X56" i="77"/>
  <c r="Z56" i="77" s="1"/>
  <c r="T90" i="95"/>
  <c r="V86" i="95"/>
  <c r="X33" i="55"/>
  <c r="Z33" i="55" s="1"/>
  <c r="P31" i="23"/>
  <c r="X27" i="23"/>
  <c r="X27" i="26"/>
  <c r="P31" i="26"/>
  <c r="X118" i="21"/>
  <c r="Z118" i="21" s="1"/>
  <c r="P122" i="21"/>
  <c r="R118" i="21"/>
  <c r="D127" i="27"/>
  <c r="L61" i="27"/>
  <c r="N61" i="27" s="1"/>
  <c r="F61" i="27"/>
  <c r="P96" i="102"/>
  <c r="X25" i="102"/>
  <c r="Z25" i="102" s="1"/>
  <c r="P26" i="54"/>
  <c r="X22" i="54"/>
  <c r="T131" i="71"/>
  <c r="V127" i="71"/>
  <c r="L27" i="29"/>
  <c r="D31" i="29"/>
  <c r="H31" i="111"/>
  <c r="N27" i="111"/>
  <c r="L33" i="55"/>
  <c r="D37" i="55"/>
  <c r="H116" i="77"/>
  <c r="J112" i="77"/>
  <c r="P86" i="95"/>
  <c r="X23" i="95"/>
  <c r="Z23" i="95" s="1"/>
  <c r="T31" i="53"/>
  <c r="Z27" i="53"/>
  <c r="L27" i="7"/>
  <c r="D31" i="7"/>
  <c r="L27" i="22"/>
  <c r="D31" i="22"/>
  <c r="T69" i="68"/>
  <c r="Z65" i="68"/>
  <c r="L27" i="43"/>
  <c r="D31" i="43"/>
  <c r="T31" i="8"/>
  <c r="Z27" i="8"/>
  <c r="P31" i="43"/>
  <c r="X27" i="43"/>
  <c r="H85" i="57"/>
  <c r="V88" i="80"/>
  <c r="P70" i="103"/>
  <c r="X67" i="103"/>
  <c r="T134" i="27"/>
  <c r="V131" i="27"/>
  <c r="D78" i="101"/>
  <c r="L23" i="101"/>
  <c r="N23" i="101" s="1"/>
  <c r="P66" i="61"/>
  <c r="X62" i="61"/>
  <c r="Z62" i="61" s="1"/>
  <c r="H31" i="25"/>
  <c r="N27" i="25"/>
  <c r="H107" i="96"/>
  <c r="J103" i="96"/>
  <c r="N27" i="8"/>
  <c r="H31" i="8"/>
  <c r="D112" i="64"/>
  <c r="L108" i="64"/>
  <c r="N27" i="44"/>
  <c r="H31" i="44"/>
  <c r="P129" i="85"/>
  <c r="X53" i="85"/>
  <c r="Z53" i="85" s="1"/>
  <c r="T31" i="38"/>
  <c r="Z27" i="38"/>
  <c r="X22" i="87"/>
  <c r="T91" i="93"/>
  <c r="V87" i="93"/>
  <c r="N27" i="5"/>
  <c r="H31" i="5"/>
  <c r="T31" i="44"/>
  <c r="Z27" i="44"/>
  <c r="L27" i="50"/>
  <c r="D31" i="50"/>
  <c r="D323" i="3"/>
  <c r="L199" i="3"/>
  <c r="N199" i="3" s="1"/>
  <c r="X37" i="55"/>
  <c r="P40" i="55"/>
  <c r="T31" i="50"/>
  <c r="Z27" i="50"/>
  <c r="X27" i="40"/>
  <c r="P31" i="40"/>
  <c r="J35" i="83"/>
  <c r="H100" i="92"/>
  <c r="T149" i="39"/>
  <c r="V145" i="39"/>
  <c r="L27" i="17"/>
  <c r="D31" i="17"/>
  <c r="D31" i="34"/>
  <c r="L27" i="34"/>
  <c r="X143" i="24"/>
  <c r="P147" i="24"/>
  <c r="R143" i="24"/>
  <c r="F23" i="98"/>
  <c r="D76" i="48"/>
  <c r="L17" i="48"/>
  <c r="N17" i="48" s="1"/>
  <c r="L27" i="13"/>
  <c r="D31" i="13"/>
  <c r="N27" i="50"/>
  <c r="H31" i="50"/>
  <c r="X19" i="99"/>
  <c r="P50" i="99"/>
  <c r="H31" i="40"/>
  <c r="N27" i="40"/>
  <c r="L27" i="53"/>
  <c r="D31" i="53"/>
  <c r="H93" i="95"/>
  <c r="J90" i="95"/>
  <c r="T31" i="14"/>
  <c r="Z27" i="14"/>
  <c r="T31" i="19"/>
  <c r="Z27" i="19"/>
  <c r="P91" i="76"/>
  <c r="X31" i="76"/>
  <c r="Z31" i="76" s="1"/>
  <c r="L22" i="70"/>
  <c r="N22" i="70" s="1"/>
  <c r="D79" i="70"/>
  <c r="T31" i="43"/>
  <c r="Z27" i="43"/>
  <c r="F19" i="99"/>
  <c r="H31" i="23"/>
  <c r="N27" i="23"/>
  <c r="P31" i="53"/>
  <c r="X27" i="53"/>
  <c r="P112" i="51"/>
  <c r="X56" i="51"/>
  <c r="Z56" i="51" s="1"/>
  <c r="D102" i="45"/>
  <c r="L25" i="45"/>
  <c r="N25" i="45" s="1"/>
  <c r="L27" i="11"/>
  <c r="D31" i="11"/>
  <c r="D31" i="41"/>
  <c r="L27" i="41"/>
  <c r="X22" i="81"/>
  <c r="Z22" i="81" s="1"/>
  <c r="P83" i="81"/>
  <c r="X26" i="87"/>
  <c r="P29" i="87"/>
  <c r="X27" i="14"/>
  <c r="P31" i="14"/>
  <c r="T57" i="100"/>
  <c r="Z53" i="100"/>
  <c r="Z27" i="17"/>
  <c r="T31" i="17"/>
  <c r="P88" i="56"/>
  <c r="T95" i="76"/>
  <c r="V91" i="76"/>
  <c r="X27" i="13"/>
  <c r="P31" i="13"/>
  <c r="X27" i="28"/>
  <c r="P31" i="28"/>
  <c r="D31" i="112"/>
  <c r="L27" i="112"/>
  <c r="N22" i="6"/>
  <c r="H26" i="6"/>
  <c r="Z32" i="86"/>
  <c r="T36" i="86"/>
  <c r="V32" i="86"/>
  <c r="D112" i="33"/>
  <c r="L108" i="33"/>
  <c r="F108" i="33"/>
  <c r="D72" i="68"/>
  <c r="L69" i="68"/>
  <c r="R23" i="105"/>
  <c r="P31" i="17"/>
  <c r="X27" i="17"/>
  <c r="D31" i="35"/>
  <c r="L27" i="35"/>
  <c r="H303" i="18"/>
  <c r="J299" i="18"/>
  <c r="D91" i="76"/>
  <c r="L31" i="76"/>
  <c r="N31" i="76" s="1"/>
  <c r="R75" i="69"/>
  <c r="H133" i="85"/>
  <c r="J129" i="85"/>
  <c r="P78" i="101"/>
  <c r="X23" i="101"/>
  <c r="Z23" i="101" s="1"/>
  <c r="R40" i="33"/>
  <c r="D112" i="51"/>
  <c r="L56" i="51"/>
  <c r="N56" i="51" s="1"/>
  <c r="Z74" i="59"/>
  <c r="T78" i="59"/>
  <c r="V74" i="59"/>
  <c r="Z32" i="83"/>
  <c r="T35" i="83"/>
  <c r="V32" i="83"/>
  <c r="D31" i="38"/>
  <c r="L27" i="38"/>
  <c r="X27" i="111"/>
  <c r="P31" i="111"/>
  <c r="D66" i="61"/>
  <c r="L62" i="61"/>
  <c r="N62" i="61" s="1"/>
  <c r="P78" i="79"/>
  <c r="X74" i="79"/>
  <c r="Z74" i="79" s="1"/>
  <c r="R74" i="79"/>
  <c r="H85" i="101"/>
  <c r="J82" i="101"/>
  <c r="T80" i="58"/>
  <c r="Z76" i="58"/>
  <c r="X76" i="58"/>
  <c r="H50" i="109"/>
  <c r="X87" i="89"/>
  <c r="Z87" i="89" s="1"/>
  <c r="P91" i="89"/>
  <c r="R87" i="89"/>
  <c r="P31" i="50"/>
  <c r="X27" i="50"/>
  <c r="Z81" i="56"/>
  <c r="T85" i="56"/>
  <c r="H89" i="73"/>
  <c r="J85" i="73"/>
  <c r="H107" i="88"/>
  <c r="J104" i="88"/>
  <c r="X22" i="84"/>
  <c r="Z22" i="84" s="1"/>
  <c r="P96" i="84"/>
  <c r="H78" i="79"/>
  <c r="T54" i="99"/>
  <c r="Z50" i="99"/>
  <c r="T327" i="3"/>
  <c r="V323" i="3"/>
  <c r="X96" i="92"/>
  <c r="Z96" i="92" s="1"/>
  <c r="X103" i="96"/>
  <c r="Z103" i="96" s="1"/>
  <c r="P107" i="96"/>
  <c r="R103" i="96"/>
  <c r="Z27" i="111"/>
  <c r="T31" i="111"/>
  <c r="T80" i="48"/>
  <c r="Z76" i="48"/>
  <c r="V76" i="48"/>
  <c r="J94" i="89"/>
  <c r="J100" i="106"/>
  <c r="L27" i="19"/>
  <c r="D31" i="19"/>
  <c r="P31" i="47"/>
  <c r="X27" i="47"/>
  <c r="D91" i="89"/>
  <c r="L87" i="89"/>
  <c r="N87" i="89" s="1"/>
  <c r="F87" i="89"/>
  <c r="H99" i="104"/>
  <c r="J96" i="104"/>
  <c r="X27" i="19"/>
  <c r="P31" i="19"/>
  <c r="X27" i="29"/>
  <c r="P31" i="29"/>
  <c r="P134" i="42"/>
  <c r="X31" i="42"/>
  <c r="Z31" i="42" s="1"/>
  <c r="T65" i="60"/>
  <c r="P31" i="16"/>
  <c r="X27" i="16"/>
  <c r="T119" i="77"/>
  <c r="V116" i="77"/>
  <c r="R22" i="80"/>
  <c r="T103" i="84"/>
  <c r="V100" i="84"/>
  <c r="L134" i="42"/>
  <c r="N134" i="42" s="1"/>
  <c r="D138" i="42"/>
  <c r="F134" i="42"/>
  <c r="T96" i="104"/>
  <c r="V92" i="104"/>
  <c r="N27" i="14"/>
  <c r="H31" i="14"/>
  <c r="L27" i="32"/>
  <c r="D31" i="32"/>
  <c r="X27" i="49"/>
  <c r="P31" i="49"/>
  <c r="H149" i="39"/>
  <c r="J145" i="39"/>
  <c r="D97" i="106"/>
  <c r="L93" i="106"/>
  <c r="N93" i="106" s="1"/>
  <c r="F93" i="106"/>
  <c r="Z27" i="7"/>
  <c r="T31" i="7"/>
  <c r="H106" i="45"/>
  <c r="J102" i="45"/>
  <c r="P100" i="98"/>
  <c r="X96" i="98"/>
  <c r="Z96" i="98" s="1"/>
  <c r="R96" i="98"/>
  <c r="H67" i="103"/>
  <c r="N63" i="103"/>
  <c r="T110" i="96"/>
  <c r="V107" i="96"/>
  <c r="Z76" i="110"/>
  <c r="T80" i="110"/>
  <c r="V76" i="110"/>
  <c r="P112" i="64"/>
  <c r="X108" i="64"/>
  <c r="Z108" i="64" s="1"/>
  <c r="L27" i="28"/>
  <c r="D31" i="28"/>
  <c r="H37" i="55"/>
  <c r="N33" i="55"/>
  <c r="H31" i="112"/>
  <c r="N27" i="112"/>
  <c r="N27" i="29"/>
  <c r="H31" i="29"/>
  <c r="H31" i="13"/>
  <c r="N27" i="13"/>
  <c r="V125" i="21"/>
  <c r="H83" i="70"/>
  <c r="J79" i="70"/>
  <c r="P103" i="92"/>
  <c r="X100" i="92"/>
  <c r="N50" i="99"/>
  <c r="H54" i="99"/>
  <c r="H97" i="108"/>
  <c r="J93" i="108"/>
  <c r="L27" i="37"/>
  <c r="D31" i="37"/>
  <c r="D60" i="100"/>
  <c r="H31" i="43"/>
  <c r="N27" i="43"/>
  <c r="N108" i="64"/>
  <c r="H112" i="64"/>
  <c r="N83" i="81"/>
  <c r="H87" i="81"/>
  <c r="J83" i="81"/>
  <c r="N27" i="10"/>
  <c r="H31" i="10"/>
  <c r="Z143" i="24"/>
  <c r="T147" i="24"/>
  <c r="V143" i="24"/>
  <c r="Z26" i="54"/>
  <c r="T31" i="54"/>
  <c r="H31" i="38"/>
  <c r="N27" i="38"/>
  <c r="F69" i="30"/>
  <c r="D85" i="73"/>
  <c r="L26" i="73"/>
  <c r="N26" i="73" s="1"/>
  <c r="T100" i="108"/>
  <c r="V97" i="108"/>
  <c r="D31" i="40"/>
  <c r="L27" i="40"/>
  <c r="Z79" i="70"/>
  <c r="T83" i="70"/>
  <c r="V79" i="70"/>
  <c r="D36" i="86"/>
  <c r="L32" i="86"/>
  <c r="N32" i="86" s="1"/>
  <c r="F32" i="86"/>
  <c r="T31" i="20"/>
  <c r="Z27" i="20"/>
  <c r="H66" i="61"/>
  <c r="T136" i="85"/>
  <c r="V133" i="85"/>
  <c r="L27" i="20"/>
  <c r="D31" i="20"/>
  <c r="X27" i="113"/>
  <c r="P31" i="113"/>
  <c r="X65" i="60"/>
  <c r="P68" i="60"/>
  <c r="H65" i="60"/>
  <c r="N61" i="60"/>
  <c r="D83" i="94"/>
  <c r="L23" i="94"/>
  <c r="N23" i="94" s="1"/>
  <c r="P127" i="27"/>
  <c r="X61" i="27"/>
  <c r="Z61" i="27" s="1"/>
  <c r="Z27" i="4"/>
  <c r="T31" i="4"/>
  <c r="P100" i="74"/>
  <c r="X54" i="74"/>
  <c r="Z54" i="74" s="1"/>
  <c r="H126" i="75"/>
  <c r="J122" i="75"/>
  <c r="H57" i="100"/>
  <c r="L57" i="100" s="1"/>
  <c r="P93" i="108"/>
  <c r="X23" i="108"/>
  <c r="Z23" i="108" s="1"/>
  <c r="N27" i="41"/>
  <c r="H31" i="41"/>
  <c r="T288" i="12"/>
  <c r="V284" i="12"/>
  <c r="X187" i="18"/>
  <c r="Z187" i="18" s="1"/>
  <c r="P299" i="18"/>
  <c r="P86" i="70"/>
  <c r="X83" i="70"/>
  <c r="R83" i="70"/>
  <c r="Z27" i="112"/>
  <c r="T31" i="112"/>
  <c r="X27" i="31"/>
  <c r="P31" i="31"/>
  <c r="F187" i="18"/>
  <c r="L30" i="21"/>
  <c r="N30" i="21" s="1"/>
  <c r="D118" i="21"/>
  <c r="Z85" i="73"/>
  <c r="T89" i="73"/>
  <c r="V85" i="73"/>
  <c r="X100" i="88"/>
  <c r="Z100" i="88" s="1"/>
  <c r="P104" i="88"/>
  <c r="R100" i="88"/>
  <c r="L46" i="109"/>
  <c r="N46" i="109" s="1"/>
  <c r="D50" i="109"/>
  <c r="L53" i="100"/>
  <c r="N53" i="100" s="1"/>
  <c r="N27" i="20"/>
  <c r="H31" i="20"/>
  <c r="T31" i="32"/>
  <c r="Z27" i="32"/>
  <c r="T115" i="33"/>
  <c r="V112" i="33"/>
  <c r="H80" i="48"/>
  <c r="J76" i="48"/>
  <c r="T31" i="22"/>
  <c r="Z27" i="22"/>
  <c r="N108" i="33"/>
  <c r="H112" i="33"/>
  <c r="J108" i="33"/>
  <c r="D31" i="23"/>
  <c r="L27" i="23"/>
  <c r="P31" i="38"/>
  <c r="X27" i="38"/>
  <c r="H78" i="59"/>
  <c r="P93" i="106"/>
  <c r="X23" i="106"/>
  <c r="Z23" i="106" s="1"/>
  <c r="L81" i="56"/>
  <c r="N81" i="56" s="1"/>
  <c r="D85" i="56"/>
  <c r="Z27" i="13"/>
  <c r="T31" i="13"/>
  <c r="L53" i="85"/>
  <c r="N53" i="85" s="1"/>
  <c r="D129" i="85"/>
  <c r="N26" i="87"/>
  <c r="H29" i="87"/>
  <c r="N29" i="87" s="1"/>
  <c r="R23" i="101"/>
  <c r="L22" i="6"/>
  <c r="D26" i="6"/>
  <c r="H144" i="36"/>
  <c r="J140" i="36"/>
  <c r="L74" i="59"/>
  <c r="N74" i="59" s="1"/>
  <c r="N27" i="17"/>
  <c r="H31" i="17"/>
  <c r="Z27" i="41"/>
  <c r="T31" i="41"/>
  <c r="X61" i="60"/>
  <c r="Z61" i="60" s="1"/>
  <c r="D29" i="87"/>
  <c r="L29" i="87" s="1"/>
  <c r="L26" i="87"/>
  <c r="H88" i="80"/>
  <c r="J85" i="80"/>
  <c r="H31" i="37"/>
  <c r="N27" i="37"/>
  <c r="J127" i="71"/>
  <c r="H131" i="71"/>
  <c r="X25" i="45"/>
  <c r="Z25" i="45" s="1"/>
  <c r="P102" i="45"/>
  <c r="T26" i="6"/>
  <c r="Z22" i="6"/>
  <c r="X27" i="32"/>
  <c r="P31" i="32"/>
  <c r="N27" i="32"/>
  <c r="H31" i="32"/>
  <c r="D31" i="113"/>
  <c r="L27" i="113"/>
  <c r="P145" i="39"/>
  <c r="X37" i="39"/>
  <c r="Z37" i="39" s="1"/>
  <c r="L22" i="83"/>
  <c r="N22" i="83" s="1"/>
  <c r="D28" i="83"/>
  <c r="R23" i="104"/>
  <c r="P50" i="109"/>
  <c r="X46" i="109"/>
  <c r="Z46" i="109" s="1"/>
  <c r="L27" i="16"/>
  <c r="D31" i="16"/>
  <c r="D31" i="44"/>
  <c r="L27" i="44"/>
  <c r="R31" i="36"/>
  <c r="T72" i="105"/>
  <c r="V69" i="105"/>
  <c r="P284" i="12"/>
  <c r="X167" i="12"/>
  <c r="Z167" i="12" s="1"/>
  <c r="Z78" i="57"/>
  <c r="T82" i="57"/>
  <c r="X82" i="57" s="1"/>
  <c r="L127" i="71"/>
  <c r="N127" i="71" s="1"/>
  <c r="D131" i="71"/>
  <c r="F127" i="71"/>
  <c r="D100" i="92"/>
  <c r="L96" i="92"/>
  <c r="N96" i="92" s="1"/>
  <c r="D97" i="108"/>
  <c r="L93" i="108"/>
  <c r="N93" i="108" s="1"/>
  <c r="F93" i="108"/>
  <c r="T31" i="49"/>
  <c r="Z27" i="49"/>
  <c r="D271" i="15"/>
  <c r="L162" i="15"/>
  <c r="N162" i="15" s="1"/>
  <c r="D140" i="36"/>
  <c r="L31" i="36"/>
  <c r="N31" i="36" s="1"/>
  <c r="Z67" i="103"/>
  <c r="T70" i="103"/>
  <c r="P31" i="37"/>
  <c r="X27" i="37"/>
  <c r="X61" i="71"/>
  <c r="Z61" i="71" s="1"/>
  <c r="P127" i="71"/>
  <c r="Z27" i="52"/>
  <c r="T31" i="52"/>
  <c r="L25" i="102"/>
  <c r="N25" i="102" s="1"/>
  <c r="D96" i="102"/>
  <c r="N27" i="11"/>
  <c r="H31" i="11"/>
  <c r="Z27" i="35"/>
  <c r="T31" i="35"/>
  <c r="P157" i="30"/>
  <c r="X69" i="30"/>
  <c r="Z69" i="30" s="1"/>
  <c r="F22" i="96"/>
  <c r="H87" i="94"/>
  <c r="J83" i="94"/>
  <c r="R61" i="27"/>
  <c r="T141" i="42"/>
  <c r="V138" i="42"/>
  <c r="D90" i="95"/>
  <c r="L86" i="95"/>
  <c r="N86" i="95" s="1"/>
  <c r="F86" i="95"/>
  <c r="H103" i="102"/>
  <c r="J100" i="102"/>
  <c r="P31" i="4"/>
  <c r="X27" i="4"/>
  <c r="N27" i="28"/>
  <c r="H31" i="28"/>
  <c r="H275" i="15"/>
  <c r="J271" i="15"/>
  <c r="D81" i="59"/>
  <c r="L78" i="59"/>
  <c r="P87" i="94"/>
  <c r="X83" i="94"/>
  <c r="Z83" i="94" s="1"/>
  <c r="R83" i="94"/>
  <c r="D31" i="47"/>
  <c r="L27" i="47"/>
  <c r="X106" i="9"/>
  <c r="P109" i="9"/>
  <c r="T126" i="75"/>
  <c r="V122" i="75"/>
  <c r="F23" i="101"/>
  <c r="L80" i="110"/>
  <c r="N80" i="110" s="1"/>
  <c r="D83" i="110"/>
  <c r="F80" i="110"/>
  <c r="T82" i="101"/>
  <c r="V78" i="101"/>
  <c r="D93" i="95" l="1"/>
  <c r="L90" i="95"/>
  <c r="N90" i="95" s="1"/>
  <c r="F90" i="95"/>
  <c r="P161" i="30"/>
  <c r="X157" i="30"/>
  <c r="Z157" i="30" s="1"/>
  <c r="R157" i="30"/>
  <c r="T36" i="49"/>
  <c r="Z36" i="49" s="1"/>
  <c r="Z31" i="49"/>
  <c r="P288" i="12"/>
  <c r="X284" i="12"/>
  <c r="Z284" i="12" s="1"/>
  <c r="R284" i="12"/>
  <c r="P53" i="109"/>
  <c r="X50" i="109"/>
  <c r="X31" i="32"/>
  <c r="P36" i="32"/>
  <c r="H147" i="36"/>
  <c r="J144" i="36"/>
  <c r="T36" i="32"/>
  <c r="Z36" i="32" s="1"/>
  <c r="Z31" i="32"/>
  <c r="D122" i="21"/>
  <c r="L118" i="21"/>
  <c r="N118" i="21" s="1"/>
  <c r="F118" i="21"/>
  <c r="T36" i="20"/>
  <c r="Z36" i="20" s="1"/>
  <c r="Z31" i="20"/>
  <c r="N31" i="10"/>
  <c r="H36" i="10"/>
  <c r="N36" i="10" s="1"/>
  <c r="H57" i="99"/>
  <c r="N57" i="99" s="1"/>
  <c r="N54" i="99"/>
  <c r="T83" i="110"/>
  <c r="V80" i="110"/>
  <c r="J99" i="104"/>
  <c r="H92" i="73"/>
  <c r="J89" i="73"/>
  <c r="X31" i="28"/>
  <c r="P36" i="28"/>
  <c r="X31" i="53"/>
  <c r="P36" i="53"/>
  <c r="D36" i="34"/>
  <c r="L31" i="34"/>
  <c r="X31" i="40"/>
  <c r="P36" i="40"/>
  <c r="H110" i="96"/>
  <c r="J107" i="96"/>
  <c r="X31" i="26"/>
  <c r="P36" i="26"/>
  <c r="L104" i="88"/>
  <c r="N104" i="88" s="1"/>
  <c r="D107" i="88"/>
  <c r="F104" i="88"/>
  <c r="Z31" i="16"/>
  <c r="T36" i="16"/>
  <c r="Z36" i="16" s="1"/>
  <c r="H36" i="34"/>
  <c r="N36" i="34" s="1"/>
  <c r="N31" i="34"/>
  <c r="D36" i="25"/>
  <c r="L31" i="25"/>
  <c r="H88" i="56"/>
  <c r="X31" i="52"/>
  <c r="P36" i="52"/>
  <c r="H109" i="9"/>
  <c r="P36" i="20"/>
  <c r="X31" i="20"/>
  <c r="D91" i="93"/>
  <c r="L87" i="93"/>
  <c r="N87" i="93" s="1"/>
  <c r="F87" i="93"/>
  <c r="X31" i="35"/>
  <c r="P36" i="35"/>
  <c r="X140" i="36"/>
  <c r="Z140" i="36" s="1"/>
  <c r="P144" i="36"/>
  <c r="R140" i="36"/>
  <c r="H36" i="22"/>
  <c r="N36" i="22" s="1"/>
  <c r="N31" i="22"/>
  <c r="D81" i="79"/>
  <c r="L78" i="79"/>
  <c r="H53" i="109"/>
  <c r="H137" i="69"/>
  <c r="J134" i="69"/>
  <c r="Z31" i="35"/>
  <c r="T36" i="35"/>
  <c r="Z36" i="35" s="1"/>
  <c r="J88" i="80"/>
  <c r="L26" i="6"/>
  <c r="D31" i="6"/>
  <c r="L31" i="6" s="1"/>
  <c r="H115" i="33"/>
  <c r="J112" i="33"/>
  <c r="N31" i="20"/>
  <c r="H36" i="20"/>
  <c r="N36" i="20" s="1"/>
  <c r="X100" i="74"/>
  <c r="Z100" i="74" s="1"/>
  <c r="P104" i="74"/>
  <c r="R100" i="74"/>
  <c r="D89" i="73"/>
  <c r="L85" i="73"/>
  <c r="N85" i="73" s="1"/>
  <c r="F85" i="73"/>
  <c r="N31" i="29"/>
  <c r="H36" i="29"/>
  <c r="N36" i="29" s="1"/>
  <c r="D100" i="106"/>
  <c r="L97" i="106"/>
  <c r="N97" i="106" s="1"/>
  <c r="F97" i="106"/>
  <c r="T99" i="104"/>
  <c r="V96" i="104"/>
  <c r="P36" i="16"/>
  <c r="X31" i="16"/>
  <c r="T88" i="56"/>
  <c r="D69" i="61"/>
  <c r="L66" i="61"/>
  <c r="D116" i="51"/>
  <c r="L112" i="51"/>
  <c r="N112" i="51" s="1"/>
  <c r="F112" i="51"/>
  <c r="H306" i="18"/>
  <c r="J303" i="18"/>
  <c r="N31" i="50"/>
  <c r="H36" i="50"/>
  <c r="N36" i="50" s="1"/>
  <c r="L31" i="17"/>
  <c r="D36" i="17"/>
  <c r="T36" i="44"/>
  <c r="Z36" i="44" s="1"/>
  <c r="Z31" i="44"/>
  <c r="P133" i="85"/>
  <c r="X129" i="85"/>
  <c r="Z129" i="85" s="1"/>
  <c r="R129" i="85"/>
  <c r="X70" i="103"/>
  <c r="T72" i="68"/>
  <c r="H119" i="77"/>
  <c r="J116" i="77"/>
  <c r="P31" i="54"/>
  <c r="X31" i="54" s="1"/>
  <c r="X26" i="54"/>
  <c r="N31" i="4"/>
  <c r="H36" i="4"/>
  <c r="N36" i="4" s="1"/>
  <c r="X91" i="93"/>
  <c r="P94" i="93"/>
  <c r="R91" i="93"/>
  <c r="Z31" i="10"/>
  <c r="T36" i="10"/>
  <c r="Z36" i="10" s="1"/>
  <c r="T164" i="30"/>
  <c r="V161" i="30"/>
  <c r="X80" i="110"/>
  <c r="Z80" i="110" s="1"/>
  <c r="P83" i="110"/>
  <c r="R80" i="110"/>
  <c r="H141" i="42"/>
  <c r="J138" i="42"/>
  <c r="X35" i="83"/>
  <c r="R35" i="83"/>
  <c r="L31" i="10"/>
  <c r="D36" i="10"/>
  <c r="D69" i="105"/>
  <c r="L65" i="105"/>
  <c r="N65" i="105" s="1"/>
  <c r="J103" i="84"/>
  <c r="T53" i="109"/>
  <c r="Z50" i="109"/>
  <c r="Z31" i="5"/>
  <c r="T36" i="5"/>
  <c r="Z36" i="5" s="1"/>
  <c r="H68" i="60"/>
  <c r="D36" i="112"/>
  <c r="L31" i="112"/>
  <c r="H119" i="51"/>
  <c r="J116" i="51"/>
  <c r="H36" i="46"/>
  <c r="N36" i="46" s="1"/>
  <c r="N31" i="46"/>
  <c r="L85" i="56"/>
  <c r="N85" i="56" s="1"/>
  <c r="D88" i="56"/>
  <c r="L88" i="56" s="1"/>
  <c r="T291" i="12"/>
  <c r="V288" i="12"/>
  <c r="Z31" i="4"/>
  <c r="T36" i="4"/>
  <c r="Z36" i="4" s="1"/>
  <c r="X31" i="113"/>
  <c r="P36" i="113"/>
  <c r="Z54" i="99"/>
  <c r="T57" i="99"/>
  <c r="Z57" i="99" s="1"/>
  <c r="X31" i="111"/>
  <c r="P36" i="111"/>
  <c r="D115" i="33"/>
  <c r="L112" i="33"/>
  <c r="N112" i="33" s="1"/>
  <c r="F112" i="33"/>
  <c r="X31" i="13"/>
  <c r="P36" i="13"/>
  <c r="T60" i="100"/>
  <c r="H36" i="23"/>
  <c r="N36" i="23" s="1"/>
  <c r="N31" i="23"/>
  <c r="N31" i="5"/>
  <c r="H36" i="5"/>
  <c r="N36" i="5" s="1"/>
  <c r="N31" i="44"/>
  <c r="H36" i="44"/>
  <c r="N36" i="44" s="1"/>
  <c r="H36" i="25"/>
  <c r="N36" i="25" s="1"/>
  <c r="N31" i="25"/>
  <c r="D36" i="22"/>
  <c r="L31" i="22"/>
  <c r="Z31" i="25"/>
  <c r="T36" i="25"/>
  <c r="Z36" i="25" s="1"/>
  <c r="T278" i="15"/>
  <c r="V275" i="15"/>
  <c r="L130" i="69"/>
  <c r="N130" i="69" s="1"/>
  <c r="D134" i="69"/>
  <c r="F130" i="69"/>
  <c r="H36" i="53"/>
  <c r="N36" i="53" s="1"/>
  <c r="N31" i="53"/>
  <c r="L284" i="12"/>
  <c r="N284" i="12" s="1"/>
  <c r="D288" i="12"/>
  <c r="F284" i="12"/>
  <c r="P36" i="10"/>
  <c r="X31" i="10"/>
  <c r="N69" i="68"/>
  <c r="H72" i="68"/>
  <c r="T94" i="89"/>
  <c r="V91" i="89"/>
  <c r="N31" i="35"/>
  <c r="H36" i="35"/>
  <c r="N36" i="35" s="1"/>
  <c r="H332" i="3"/>
  <c r="J327" i="3"/>
  <c r="T332" i="3"/>
  <c r="V327" i="3"/>
  <c r="T36" i="19"/>
  <c r="Z36" i="19" s="1"/>
  <c r="Z31" i="19"/>
  <c r="P69" i="105"/>
  <c r="X65" i="105"/>
  <c r="Z65" i="105" s="1"/>
  <c r="R65" i="105"/>
  <c r="X31" i="41"/>
  <c r="P36" i="41"/>
  <c r="N31" i="28"/>
  <c r="H36" i="28"/>
  <c r="N36" i="28" s="1"/>
  <c r="V141" i="42"/>
  <c r="N31" i="11"/>
  <c r="H36" i="11"/>
  <c r="N36" i="11" s="1"/>
  <c r="Z70" i="103"/>
  <c r="L97" i="108"/>
  <c r="D100" i="108"/>
  <c r="F97" i="108"/>
  <c r="T31" i="6"/>
  <c r="Z26" i="6"/>
  <c r="X31" i="31"/>
  <c r="P36" i="31"/>
  <c r="N31" i="41"/>
  <c r="H36" i="41"/>
  <c r="N36" i="41" s="1"/>
  <c r="L36" i="86"/>
  <c r="N36" i="86" s="1"/>
  <c r="D39" i="86"/>
  <c r="F36" i="86"/>
  <c r="X100" i="98"/>
  <c r="P103" i="98"/>
  <c r="R100" i="98"/>
  <c r="H152" i="39"/>
  <c r="J149" i="39"/>
  <c r="D141" i="42"/>
  <c r="L138" i="42"/>
  <c r="N138" i="42" s="1"/>
  <c r="F138" i="42"/>
  <c r="Z65" i="60"/>
  <c r="T68" i="60"/>
  <c r="T83" i="48"/>
  <c r="V80" i="48"/>
  <c r="N78" i="79"/>
  <c r="H81" i="79"/>
  <c r="Z80" i="58"/>
  <c r="T83" i="58"/>
  <c r="X80" i="58"/>
  <c r="T36" i="14"/>
  <c r="Z36" i="14" s="1"/>
  <c r="Z31" i="14"/>
  <c r="L31" i="13"/>
  <c r="D36" i="13"/>
  <c r="T36" i="50"/>
  <c r="Z36" i="50" s="1"/>
  <c r="Z31" i="50"/>
  <c r="D40" i="55"/>
  <c r="L37" i="55"/>
  <c r="P100" i="102"/>
  <c r="X96" i="102"/>
  <c r="Z96" i="102" s="1"/>
  <c r="R96" i="102"/>
  <c r="P36" i="23"/>
  <c r="X31" i="23"/>
  <c r="L85" i="80"/>
  <c r="N85" i="80" s="1"/>
  <c r="D88" i="80"/>
  <c r="F85" i="80"/>
  <c r="N31" i="52"/>
  <c r="H36" i="52"/>
  <c r="N36" i="52" s="1"/>
  <c r="X81" i="80"/>
  <c r="Z81" i="80" s="1"/>
  <c r="P85" i="80"/>
  <c r="R81" i="80"/>
  <c r="X31" i="8"/>
  <c r="P36" i="8"/>
  <c r="T100" i="106"/>
  <c r="V97" i="106"/>
  <c r="X57" i="100"/>
  <c r="Z57" i="100" s="1"/>
  <c r="P60" i="100"/>
  <c r="J83" i="110"/>
  <c r="H134" i="27"/>
  <c r="J131" i="27"/>
  <c r="D70" i="103"/>
  <c r="L67" i="103"/>
  <c r="X130" i="69"/>
  <c r="Z130" i="69" s="1"/>
  <c r="P134" i="69"/>
  <c r="R130" i="69"/>
  <c r="Z31" i="26"/>
  <c r="T36" i="26"/>
  <c r="Z36" i="26" s="1"/>
  <c r="D95" i="76"/>
  <c r="L91" i="76"/>
  <c r="N91" i="76" s="1"/>
  <c r="F91" i="76"/>
  <c r="H278" i="15"/>
  <c r="J275" i="15"/>
  <c r="L28" i="83"/>
  <c r="N28" i="83" s="1"/>
  <c r="D32" i="83"/>
  <c r="F28" i="83"/>
  <c r="X102" i="45"/>
  <c r="Z102" i="45" s="1"/>
  <c r="P106" i="45"/>
  <c r="R102" i="45"/>
  <c r="Z31" i="22"/>
  <c r="T36" i="22"/>
  <c r="Z36" i="22" s="1"/>
  <c r="D53" i="109"/>
  <c r="L53" i="109" s="1"/>
  <c r="L50" i="109"/>
  <c r="N50" i="109" s="1"/>
  <c r="L31" i="20"/>
  <c r="D36" i="20"/>
  <c r="N31" i="38"/>
  <c r="H36" i="38"/>
  <c r="N36" i="38" s="1"/>
  <c r="H36" i="112"/>
  <c r="N36" i="112" s="1"/>
  <c r="N31" i="112"/>
  <c r="V110" i="96"/>
  <c r="D94" i="89"/>
  <c r="L91" i="89"/>
  <c r="N91" i="89" s="1"/>
  <c r="F91" i="89"/>
  <c r="Z31" i="111"/>
  <c r="T36" i="111"/>
  <c r="Z36" i="111" s="1"/>
  <c r="P36" i="50"/>
  <c r="X31" i="50"/>
  <c r="P82" i="101"/>
  <c r="X78" i="101"/>
  <c r="Z78" i="101" s="1"/>
  <c r="R78" i="101"/>
  <c r="D36" i="35"/>
  <c r="L31" i="35"/>
  <c r="T39" i="86"/>
  <c r="V36" i="86"/>
  <c r="D36" i="41"/>
  <c r="L31" i="41"/>
  <c r="X66" i="61"/>
  <c r="Z66" i="61" s="1"/>
  <c r="P69" i="61"/>
  <c r="L31" i="7"/>
  <c r="D36" i="7"/>
  <c r="H103" i="98"/>
  <c r="J100" i="98"/>
  <c r="X31" i="5"/>
  <c r="P36" i="5"/>
  <c r="D99" i="104"/>
  <c r="L96" i="104"/>
  <c r="N96" i="104" s="1"/>
  <c r="F96" i="104"/>
  <c r="T103" i="102"/>
  <c r="V100" i="102"/>
  <c r="T36" i="29"/>
  <c r="Z36" i="29" s="1"/>
  <c r="Z31" i="29"/>
  <c r="P126" i="75"/>
  <c r="X122" i="75"/>
  <c r="Z122" i="75" s="1"/>
  <c r="R122" i="75"/>
  <c r="Z100" i="98"/>
  <c r="T103" i="98"/>
  <c r="V100" i="98"/>
  <c r="D100" i="98"/>
  <c r="L96" i="98"/>
  <c r="N96" i="98" s="1"/>
  <c r="F96" i="98"/>
  <c r="Z31" i="113"/>
  <c r="T36" i="113"/>
  <c r="Z36" i="113" s="1"/>
  <c r="L31" i="23"/>
  <c r="D36" i="23"/>
  <c r="Z31" i="38"/>
  <c r="T36" i="38"/>
  <c r="Z36" i="38" s="1"/>
  <c r="L50" i="99"/>
  <c r="D54" i="99"/>
  <c r="F50" i="99"/>
  <c r="D100" i="102"/>
  <c r="L96" i="102"/>
  <c r="N96" i="102" s="1"/>
  <c r="F96" i="102"/>
  <c r="L100" i="92"/>
  <c r="D103" i="92"/>
  <c r="Z31" i="41"/>
  <c r="T36" i="41"/>
  <c r="Z36" i="41" s="1"/>
  <c r="P97" i="106"/>
  <c r="X93" i="106"/>
  <c r="Z93" i="106" s="1"/>
  <c r="R93" i="106"/>
  <c r="Z31" i="112"/>
  <c r="T36" i="112"/>
  <c r="Z36" i="112" s="1"/>
  <c r="P131" i="27"/>
  <c r="X127" i="27"/>
  <c r="Z127" i="27" s="1"/>
  <c r="R127" i="27"/>
  <c r="Z83" i="70"/>
  <c r="T86" i="70"/>
  <c r="V83" i="70"/>
  <c r="H90" i="81"/>
  <c r="J87" i="81"/>
  <c r="H86" i="70"/>
  <c r="J83" i="70"/>
  <c r="X31" i="49"/>
  <c r="P36" i="49"/>
  <c r="X134" i="42"/>
  <c r="Z134" i="42" s="1"/>
  <c r="P138" i="42"/>
  <c r="R134" i="42"/>
  <c r="P100" i="84"/>
  <c r="X96" i="84"/>
  <c r="Z96" i="84" s="1"/>
  <c r="R96" i="84"/>
  <c r="D36" i="38"/>
  <c r="L31" i="38"/>
  <c r="X31" i="14"/>
  <c r="P36" i="14"/>
  <c r="L31" i="11"/>
  <c r="D36" i="11"/>
  <c r="T36" i="43"/>
  <c r="Z36" i="43" s="1"/>
  <c r="Z31" i="43"/>
  <c r="T94" i="93"/>
  <c r="Z91" i="93"/>
  <c r="V91" i="93"/>
  <c r="D115" i="64"/>
  <c r="L112" i="64"/>
  <c r="N112" i="64" s="1"/>
  <c r="T90" i="81"/>
  <c r="V87" i="81"/>
  <c r="T107" i="88"/>
  <c r="V104" i="88"/>
  <c r="N31" i="31"/>
  <c r="H36" i="31"/>
  <c r="N36" i="31" s="1"/>
  <c r="H39" i="86"/>
  <c r="J36" i="86"/>
  <c r="V137" i="69"/>
  <c r="H107" i="74"/>
  <c r="J104" i="74"/>
  <c r="D104" i="74"/>
  <c r="L100" i="74"/>
  <c r="N100" i="74" s="1"/>
  <c r="F100" i="74"/>
  <c r="H164" i="30"/>
  <c r="J161" i="30"/>
  <c r="Z31" i="17"/>
  <c r="T36" i="17"/>
  <c r="Z36" i="17" s="1"/>
  <c r="D36" i="26"/>
  <c r="L31" i="26"/>
  <c r="D36" i="47"/>
  <c r="L31" i="47"/>
  <c r="P36" i="4"/>
  <c r="X31" i="4"/>
  <c r="H90" i="94"/>
  <c r="J87" i="94"/>
  <c r="D133" i="85"/>
  <c r="L129" i="85"/>
  <c r="N129" i="85" s="1"/>
  <c r="F129" i="85"/>
  <c r="H83" i="48"/>
  <c r="J80" i="48"/>
  <c r="X93" i="108"/>
  <c r="Z93" i="108" s="1"/>
  <c r="P97" i="108"/>
  <c r="R93" i="108"/>
  <c r="N37" i="55"/>
  <c r="H40" i="55"/>
  <c r="V103" i="84"/>
  <c r="X31" i="29"/>
  <c r="P36" i="29"/>
  <c r="P36" i="47"/>
  <c r="X31" i="47"/>
  <c r="X91" i="89"/>
  <c r="Z91" i="89" s="1"/>
  <c r="P94" i="89"/>
  <c r="R91" i="89"/>
  <c r="H136" i="85"/>
  <c r="J133" i="85"/>
  <c r="P36" i="17"/>
  <c r="X31" i="17"/>
  <c r="L79" i="70"/>
  <c r="N79" i="70" s="1"/>
  <c r="D83" i="70"/>
  <c r="F79" i="70"/>
  <c r="J93" i="95"/>
  <c r="L76" i="48"/>
  <c r="N76" i="48" s="1"/>
  <c r="D80" i="48"/>
  <c r="F76" i="48"/>
  <c r="N31" i="8"/>
  <c r="H36" i="8"/>
  <c r="N36" i="8" s="1"/>
  <c r="L78" i="101"/>
  <c r="N78" i="101" s="1"/>
  <c r="D82" i="101"/>
  <c r="F78" i="101"/>
  <c r="H36" i="111"/>
  <c r="N36" i="111" s="1"/>
  <c r="N31" i="111"/>
  <c r="V119" i="51"/>
  <c r="L31" i="49"/>
  <c r="D36" i="49"/>
  <c r="X69" i="68"/>
  <c r="Z69" i="68" s="1"/>
  <c r="P72" i="68"/>
  <c r="X72" i="68" s="1"/>
  <c r="L80" i="58"/>
  <c r="N80" i="58" s="1"/>
  <c r="D83" i="58"/>
  <c r="X78" i="59"/>
  <c r="Z78" i="59" s="1"/>
  <c r="P81" i="59"/>
  <c r="Z26" i="87"/>
  <c r="T29" i="87"/>
  <c r="Z29" i="87" s="1"/>
  <c r="X108" i="33"/>
  <c r="Z108" i="33" s="1"/>
  <c r="P112" i="33"/>
  <c r="R108" i="33"/>
  <c r="L87" i="81"/>
  <c r="N87" i="81" s="1"/>
  <c r="D90" i="81"/>
  <c r="F87" i="81"/>
  <c r="D116" i="77"/>
  <c r="L112" i="77"/>
  <c r="N112" i="77" s="1"/>
  <c r="F112" i="77"/>
  <c r="T69" i="61"/>
  <c r="D68" i="60"/>
  <c r="L68" i="60" s="1"/>
  <c r="L65" i="60"/>
  <c r="N65" i="60" s="1"/>
  <c r="T36" i="47"/>
  <c r="Z36" i="47" s="1"/>
  <c r="Z31" i="47"/>
  <c r="N31" i="47"/>
  <c r="H36" i="47"/>
  <c r="N36" i="47" s="1"/>
  <c r="D149" i="39"/>
  <c r="L145" i="39"/>
  <c r="N145" i="39" s="1"/>
  <c r="F145" i="39"/>
  <c r="H83" i="58"/>
  <c r="Z106" i="9"/>
  <c r="T109" i="9"/>
  <c r="X109" i="9" s="1"/>
  <c r="V106" i="9"/>
  <c r="Z31" i="31"/>
  <c r="T36" i="31"/>
  <c r="Z36" i="31" s="1"/>
  <c r="D36" i="14"/>
  <c r="L31" i="14"/>
  <c r="L96" i="84"/>
  <c r="N96" i="84" s="1"/>
  <c r="D100" i="84"/>
  <c r="F96" i="84"/>
  <c r="H100" i="108"/>
  <c r="N97" i="108"/>
  <c r="J97" i="108"/>
  <c r="T36" i="37"/>
  <c r="Z36" i="37" s="1"/>
  <c r="Z31" i="37"/>
  <c r="T129" i="75"/>
  <c r="V126" i="75"/>
  <c r="T85" i="101"/>
  <c r="V82" i="101"/>
  <c r="L131" i="71"/>
  <c r="N131" i="71" s="1"/>
  <c r="D134" i="71"/>
  <c r="F131" i="71"/>
  <c r="P149" i="39"/>
  <c r="X145" i="39"/>
  <c r="Z145" i="39" s="1"/>
  <c r="R145" i="39"/>
  <c r="J131" i="71"/>
  <c r="H134" i="71"/>
  <c r="N31" i="17"/>
  <c r="H36" i="17"/>
  <c r="N36" i="17" s="1"/>
  <c r="H81" i="59"/>
  <c r="L81" i="59" s="1"/>
  <c r="N78" i="59"/>
  <c r="P107" i="88"/>
  <c r="X104" i="88"/>
  <c r="Z104" i="88" s="1"/>
  <c r="R104" i="88"/>
  <c r="V136" i="85"/>
  <c r="Z31" i="54"/>
  <c r="H115" i="64"/>
  <c r="D36" i="37"/>
  <c r="L31" i="37"/>
  <c r="L31" i="28"/>
  <c r="D36" i="28"/>
  <c r="D36" i="32"/>
  <c r="L31" i="32"/>
  <c r="L31" i="19"/>
  <c r="D36" i="19"/>
  <c r="X107" i="96"/>
  <c r="Z107" i="96" s="1"/>
  <c r="P110" i="96"/>
  <c r="R107" i="96"/>
  <c r="J85" i="101"/>
  <c r="Z35" i="83"/>
  <c r="V35" i="83"/>
  <c r="T98" i="76"/>
  <c r="V95" i="76"/>
  <c r="D36" i="53"/>
  <c r="L31" i="53"/>
  <c r="T152" i="39"/>
  <c r="V149" i="39"/>
  <c r="P36" i="43"/>
  <c r="X31" i="43"/>
  <c r="Z31" i="53"/>
  <c r="T36" i="53"/>
  <c r="Z36" i="53" s="1"/>
  <c r="L31" i="29"/>
  <c r="D36" i="29"/>
  <c r="T93" i="95"/>
  <c r="V90" i="95"/>
  <c r="T115" i="64"/>
  <c r="L31" i="111"/>
  <c r="D36" i="111"/>
  <c r="T36" i="23"/>
  <c r="Z36" i="23" s="1"/>
  <c r="Z31" i="23"/>
  <c r="T36" i="46"/>
  <c r="Z36" i="46" s="1"/>
  <c r="Z31" i="46"/>
  <c r="Z31" i="11"/>
  <c r="T36" i="11"/>
  <c r="Z36" i="11" s="1"/>
  <c r="X31" i="6"/>
  <c r="L82" i="57"/>
  <c r="N82" i="57" s="1"/>
  <c r="D85" i="57"/>
  <c r="L85" i="57" s="1"/>
  <c r="N85" i="57" s="1"/>
  <c r="X31" i="34"/>
  <c r="P36" i="34"/>
  <c r="N31" i="113"/>
  <c r="H36" i="113"/>
  <c r="N36" i="113" s="1"/>
  <c r="L31" i="8"/>
  <c r="D36" i="8"/>
  <c r="X31" i="11"/>
  <c r="P36" i="11"/>
  <c r="N31" i="19"/>
  <c r="H36" i="19"/>
  <c r="N36" i="19" s="1"/>
  <c r="X31" i="37"/>
  <c r="P36" i="37"/>
  <c r="J103" i="102"/>
  <c r="D144" i="36"/>
  <c r="L140" i="36"/>
  <c r="N140" i="36" s="1"/>
  <c r="F140" i="36"/>
  <c r="D36" i="44"/>
  <c r="L31" i="44"/>
  <c r="N57" i="100"/>
  <c r="H60" i="100"/>
  <c r="D36" i="40"/>
  <c r="L31" i="40"/>
  <c r="N67" i="103"/>
  <c r="H70" i="103"/>
  <c r="H109" i="45"/>
  <c r="J106" i="45"/>
  <c r="N26" i="6"/>
  <c r="H31" i="6"/>
  <c r="D106" i="45"/>
  <c r="L102" i="45"/>
  <c r="N102" i="45" s="1"/>
  <c r="F102" i="45"/>
  <c r="N100" i="92"/>
  <c r="H103" i="92"/>
  <c r="L127" i="27"/>
  <c r="N127" i="27" s="1"/>
  <c r="D131" i="27"/>
  <c r="F127" i="27"/>
  <c r="X31" i="112"/>
  <c r="P36" i="112"/>
  <c r="X36" i="86"/>
  <c r="Z36" i="86" s="1"/>
  <c r="P39" i="86"/>
  <c r="R36" i="86"/>
  <c r="N26" i="54"/>
  <c r="H31" i="54"/>
  <c r="X31" i="46"/>
  <c r="P36" i="46"/>
  <c r="D36" i="52"/>
  <c r="L31" i="52"/>
  <c r="Z37" i="55"/>
  <c r="T40" i="55"/>
  <c r="X26" i="6"/>
  <c r="L31" i="54"/>
  <c r="Z31" i="34"/>
  <c r="T36" i="34"/>
  <c r="Z36" i="34" s="1"/>
  <c r="D36" i="46"/>
  <c r="L31" i="46"/>
  <c r="P36" i="44"/>
  <c r="X31" i="44"/>
  <c r="L31" i="4"/>
  <c r="D36" i="4"/>
  <c r="D150" i="24"/>
  <c r="L147" i="24"/>
  <c r="F147" i="24"/>
  <c r="D107" i="96"/>
  <c r="L103" i="96"/>
  <c r="N103" i="96" s="1"/>
  <c r="F103" i="96"/>
  <c r="P131" i="71"/>
  <c r="X127" i="71"/>
  <c r="Z127" i="71" s="1"/>
  <c r="R127" i="71"/>
  <c r="P87" i="81"/>
  <c r="X83" i="81"/>
  <c r="Z83" i="81" s="1"/>
  <c r="R83" i="81"/>
  <c r="T306" i="18"/>
  <c r="V303" i="18"/>
  <c r="Z31" i="28"/>
  <c r="T36" i="28"/>
  <c r="Z36" i="28" s="1"/>
  <c r="V72" i="105"/>
  <c r="L83" i="110"/>
  <c r="N83" i="110" s="1"/>
  <c r="F83" i="110"/>
  <c r="X87" i="94"/>
  <c r="Z87" i="94" s="1"/>
  <c r="P90" i="94"/>
  <c r="R87" i="94"/>
  <c r="Z31" i="52"/>
  <c r="T36" i="52"/>
  <c r="Z36" i="52" s="1"/>
  <c r="Z82" i="57"/>
  <c r="T85" i="57"/>
  <c r="L31" i="16"/>
  <c r="D36" i="16"/>
  <c r="D36" i="113"/>
  <c r="L31" i="113"/>
  <c r="X31" i="38"/>
  <c r="P36" i="38"/>
  <c r="V115" i="33"/>
  <c r="X86" i="70"/>
  <c r="R86" i="70"/>
  <c r="L83" i="94"/>
  <c r="N83" i="94" s="1"/>
  <c r="D87" i="94"/>
  <c r="F83" i="94"/>
  <c r="N66" i="61"/>
  <c r="H69" i="61"/>
  <c r="Z31" i="7"/>
  <c r="T36" i="7"/>
  <c r="Z36" i="7" s="1"/>
  <c r="N31" i="14"/>
  <c r="H36" i="14"/>
  <c r="N36" i="14" s="1"/>
  <c r="X31" i="19"/>
  <c r="P36" i="19"/>
  <c r="J107" i="88"/>
  <c r="X85" i="56"/>
  <c r="Z85" i="56" s="1"/>
  <c r="X29" i="87"/>
  <c r="P95" i="76"/>
  <c r="X91" i="76"/>
  <c r="Z91" i="76" s="1"/>
  <c r="R91" i="76"/>
  <c r="X147" i="24"/>
  <c r="P150" i="24"/>
  <c r="R147" i="24"/>
  <c r="D327" i="3"/>
  <c r="L323" i="3"/>
  <c r="N323" i="3" s="1"/>
  <c r="F323" i="3"/>
  <c r="V134" i="27"/>
  <c r="T36" i="8"/>
  <c r="Z36" i="8" s="1"/>
  <c r="Z31" i="8"/>
  <c r="X86" i="95"/>
  <c r="Z86" i="95" s="1"/>
  <c r="P90" i="95"/>
  <c r="R86" i="95"/>
  <c r="P116" i="77"/>
  <c r="X112" i="77"/>
  <c r="Z112" i="77" s="1"/>
  <c r="R112" i="77"/>
  <c r="V90" i="94"/>
  <c r="X80" i="48"/>
  <c r="Z80" i="48" s="1"/>
  <c r="N31" i="16"/>
  <c r="H36" i="16"/>
  <c r="N36" i="16" s="1"/>
  <c r="L31" i="31"/>
  <c r="D36" i="31"/>
  <c r="J291" i="12"/>
  <c r="H36" i="26"/>
  <c r="N36" i="26" s="1"/>
  <c r="N31" i="26"/>
  <c r="H150" i="24"/>
  <c r="N147" i="24"/>
  <c r="J147" i="24"/>
  <c r="X31" i="7"/>
  <c r="P36" i="7"/>
  <c r="Z31" i="40"/>
  <c r="T36" i="40"/>
  <c r="Z36" i="40" s="1"/>
  <c r="V107" i="74"/>
  <c r="L106" i="9"/>
  <c r="N106" i="9" s="1"/>
  <c r="D109" i="9"/>
  <c r="L109" i="9" s="1"/>
  <c r="N31" i="49"/>
  <c r="H36" i="49"/>
  <c r="N36" i="49" s="1"/>
  <c r="P275" i="15"/>
  <c r="X271" i="15"/>
  <c r="Z271" i="15" s="1"/>
  <c r="R271" i="15"/>
  <c r="X78" i="79"/>
  <c r="Z78" i="79" s="1"/>
  <c r="P81" i="79"/>
  <c r="R78" i="79"/>
  <c r="X50" i="99"/>
  <c r="P54" i="99"/>
  <c r="R50" i="99"/>
  <c r="T134" i="71"/>
  <c r="V131" i="71"/>
  <c r="H98" i="76"/>
  <c r="J95" i="76"/>
  <c r="D275" i="15"/>
  <c r="L271" i="15"/>
  <c r="N271" i="15" s="1"/>
  <c r="F271" i="15"/>
  <c r="N31" i="32"/>
  <c r="H36" i="32"/>
  <c r="N36" i="32" s="1"/>
  <c r="H36" i="37"/>
  <c r="N36" i="37" s="1"/>
  <c r="N31" i="37"/>
  <c r="Z31" i="13"/>
  <c r="T36" i="13"/>
  <c r="Z36" i="13" s="1"/>
  <c r="T92" i="73"/>
  <c r="V89" i="73"/>
  <c r="P303" i="18"/>
  <c r="X299" i="18"/>
  <c r="Z299" i="18" s="1"/>
  <c r="R299" i="18"/>
  <c r="H129" i="75"/>
  <c r="J126" i="75"/>
  <c r="V100" i="108"/>
  <c r="Z147" i="24"/>
  <c r="T150" i="24"/>
  <c r="V147" i="24"/>
  <c r="H36" i="43"/>
  <c r="N36" i="43" s="1"/>
  <c r="N31" i="43"/>
  <c r="N31" i="13"/>
  <c r="H36" i="13"/>
  <c r="N36" i="13" s="1"/>
  <c r="P115" i="64"/>
  <c r="X115" i="64" s="1"/>
  <c r="X112" i="64"/>
  <c r="Z112" i="64" s="1"/>
  <c r="V119" i="77"/>
  <c r="T81" i="59"/>
  <c r="V78" i="59"/>
  <c r="X88" i="56"/>
  <c r="P116" i="51"/>
  <c r="X112" i="51"/>
  <c r="Z112" i="51" s="1"/>
  <c r="R112" i="51"/>
  <c r="H36" i="40"/>
  <c r="N36" i="40" s="1"/>
  <c r="N31" i="40"/>
  <c r="L31" i="50"/>
  <c r="D36" i="50"/>
  <c r="L31" i="43"/>
  <c r="D36" i="43"/>
  <c r="P125" i="21"/>
  <c r="X122" i="21"/>
  <c r="Z122" i="21" s="1"/>
  <c r="R122" i="21"/>
  <c r="L31" i="5"/>
  <c r="D36" i="5"/>
  <c r="X83" i="48"/>
  <c r="R83" i="48"/>
  <c r="L157" i="30"/>
  <c r="N157" i="30" s="1"/>
  <c r="D161" i="30"/>
  <c r="F157" i="30"/>
  <c r="N31" i="7"/>
  <c r="H36" i="7"/>
  <c r="N36" i="7" s="1"/>
  <c r="L299" i="18"/>
  <c r="N299" i="18" s="1"/>
  <c r="D303" i="18"/>
  <c r="F299" i="18"/>
  <c r="P92" i="73"/>
  <c r="X89" i="73"/>
  <c r="Z89" i="73" s="1"/>
  <c r="R89" i="73"/>
  <c r="X31" i="25"/>
  <c r="P36" i="25"/>
  <c r="X323" i="3"/>
  <c r="Z323" i="3" s="1"/>
  <c r="P327" i="3"/>
  <c r="R323" i="3"/>
  <c r="T103" i="92"/>
  <c r="Z100" i="92"/>
  <c r="X31" i="22"/>
  <c r="P36" i="22"/>
  <c r="L122" i="75"/>
  <c r="N122" i="75" s="1"/>
  <c r="D126" i="75"/>
  <c r="F122" i="75"/>
  <c r="P96" i="104"/>
  <c r="X92" i="104"/>
  <c r="Z92" i="104" s="1"/>
  <c r="R92" i="104"/>
  <c r="L103" i="92" l="1"/>
  <c r="N103" i="92" s="1"/>
  <c r="L36" i="20"/>
  <c r="L36" i="44"/>
  <c r="X36" i="49"/>
  <c r="X36" i="38"/>
  <c r="L36" i="23"/>
  <c r="L36" i="10"/>
  <c r="L36" i="28"/>
  <c r="L36" i="22"/>
  <c r="L36" i="52"/>
  <c r="L36" i="8"/>
  <c r="L36" i="5"/>
  <c r="L36" i="53"/>
  <c r="X36" i="16"/>
  <c r="X36" i="25"/>
  <c r="L36" i="50"/>
  <c r="X36" i="112"/>
  <c r="X36" i="14"/>
  <c r="L36" i="35"/>
  <c r="X36" i="4"/>
  <c r="X36" i="44"/>
  <c r="X36" i="37"/>
  <c r="L36" i="37"/>
  <c r="X36" i="7"/>
  <c r="X36" i="20"/>
  <c r="L36" i="4"/>
  <c r="X36" i="43"/>
  <c r="X36" i="22"/>
  <c r="X36" i="19"/>
  <c r="X36" i="46"/>
  <c r="L36" i="111"/>
  <c r="X36" i="47"/>
  <c r="X36" i="50"/>
  <c r="L36" i="41"/>
  <c r="L36" i="46"/>
  <c r="X36" i="5"/>
  <c r="L36" i="31"/>
  <c r="L36" i="113"/>
  <c r="L36" i="29"/>
  <c r="X36" i="17"/>
  <c r="L36" i="11"/>
  <c r="X36" i="11"/>
  <c r="X36" i="10"/>
  <c r="X36" i="113"/>
  <c r="L161" i="30"/>
  <c r="N161" i="30" s="1"/>
  <c r="D164" i="30"/>
  <c r="F161" i="30"/>
  <c r="P72" i="105"/>
  <c r="X69" i="105"/>
  <c r="Z69" i="105" s="1"/>
  <c r="R69" i="105"/>
  <c r="J98" i="76"/>
  <c r="P278" i="15"/>
  <c r="X275" i="15"/>
  <c r="Z275" i="15" s="1"/>
  <c r="R275" i="15"/>
  <c r="L36" i="16"/>
  <c r="X36" i="34"/>
  <c r="X94" i="89"/>
  <c r="Z94" i="89" s="1"/>
  <c r="R94" i="89"/>
  <c r="L115" i="64"/>
  <c r="X134" i="69"/>
  <c r="Z134" i="69" s="1"/>
  <c r="P137" i="69"/>
  <c r="R134" i="69"/>
  <c r="V100" i="106"/>
  <c r="X36" i="13"/>
  <c r="L69" i="105"/>
  <c r="N69" i="105" s="1"/>
  <c r="D72" i="105"/>
  <c r="L72" i="105" s="1"/>
  <c r="N72" i="105" s="1"/>
  <c r="J119" i="77"/>
  <c r="L89" i="73"/>
  <c r="N89" i="73" s="1"/>
  <c r="D92" i="73"/>
  <c r="F89" i="73"/>
  <c r="J150" i="24"/>
  <c r="X39" i="86"/>
  <c r="Z39" i="86" s="1"/>
  <c r="R39" i="86"/>
  <c r="Z115" i="64"/>
  <c r="V152" i="39"/>
  <c r="N115" i="64"/>
  <c r="D103" i="84"/>
  <c r="L100" i="84"/>
  <c r="N100" i="84" s="1"/>
  <c r="F100" i="84"/>
  <c r="D119" i="77"/>
  <c r="L116" i="77"/>
  <c r="N116" i="77" s="1"/>
  <c r="F116" i="77"/>
  <c r="J107" i="74"/>
  <c r="L36" i="38"/>
  <c r="J86" i="70"/>
  <c r="X131" i="27"/>
  <c r="Z131" i="27" s="1"/>
  <c r="P134" i="27"/>
  <c r="R131" i="27"/>
  <c r="X126" i="75"/>
  <c r="Z126" i="75" s="1"/>
  <c r="P129" i="75"/>
  <c r="R126" i="75"/>
  <c r="J103" i="98"/>
  <c r="V39" i="86"/>
  <c r="X36" i="23"/>
  <c r="L141" i="42"/>
  <c r="N141" i="42" s="1"/>
  <c r="F141" i="42"/>
  <c r="V164" i="30"/>
  <c r="L81" i="79"/>
  <c r="N81" i="79" s="1"/>
  <c r="L36" i="34"/>
  <c r="L122" i="21"/>
  <c r="N122" i="21" s="1"/>
  <c r="D125" i="21"/>
  <c r="F122" i="21"/>
  <c r="X288" i="12"/>
  <c r="Z288" i="12" s="1"/>
  <c r="P291" i="12"/>
  <c r="R288" i="12"/>
  <c r="L144" i="36"/>
  <c r="N144" i="36" s="1"/>
  <c r="D147" i="36"/>
  <c r="F144" i="36"/>
  <c r="J100" i="108"/>
  <c r="D291" i="12"/>
  <c r="L288" i="12"/>
  <c r="N288" i="12" s="1"/>
  <c r="F288" i="12"/>
  <c r="X96" i="104"/>
  <c r="Z96" i="104" s="1"/>
  <c r="P99" i="104"/>
  <c r="R96" i="104"/>
  <c r="L87" i="94"/>
  <c r="N87" i="94" s="1"/>
  <c r="D90" i="94"/>
  <c r="F87" i="94"/>
  <c r="L107" i="96"/>
  <c r="N107" i="96" s="1"/>
  <c r="D110" i="96"/>
  <c r="F107" i="96"/>
  <c r="L106" i="45"/>
  <c r="N106" i="45" s="1"/>
  <c r="D109" i="45"/>
  <c r="F106" i="45"/>
  <c r="L36" i="40"/>
  <c r="X110" i="96"/>
  <c r="Z110" i="96" s="1"/>
  <c r="R110" i="96"/>
  <c r="J134" i="71"/>
  <c r="D152" i="39"/>
  <c r="L149" i="39"/>
  <c r="N149" i="39" s="1"/>
  <c r="F149" i="39"/>
  <c r="L83" i="58"/>
  <c r="N83" i="58" s="1"/>
  <c r="J90" i="94"/>
  <c r="L94" i="89"/>
  <c r="N94" i="89" s="1"/>
  <c r="F94" i="89"/>
  <c r="J278" i="15"/>
  <c r="X36" i="8"/>
  <c r="X83" i="58"/>
  <c r="Z83" i="58" s="1"/>
  <c r="X36" i="31"/>
  <c r="L36" i="112"/>
  <c r="Z72" i="68"/>
  <c r="X104" i="74"/>
  <c r="Z104" i="74" s="1"/>
  <c r="P107" i="74"/>
  <c r="R104" i="74"/>
  <c r="N109" i="9"/>
  <c r="V83" i="110"/>
  <c r="V134" i="71"/>
  <c r="V85" i="101"/>
  <c r="L90" i="81"/>
  <c r="F90" i="81"/>
  <c r="X97" i="108"/>
  <c r="Z97" i="108" s="1"/>
  <c r="P100" i="108"/>
  <c r="R97" i="108"/>
  <c r="V107" i="88"/>
  <c r="V94" i="93"/>
  <c r="D103" i="102"/>
  <c r="L100" i="102"/>
  <c r="N100" i="102" s="1"/>
  <c r="F100" i="102"/>
  <c r="L36" i="7"/>
  <c r="L70" i="103"/>
  <c r="N70" i="103" s="1"/>
  <c r="J152" i="39"/>
  <c r="J306" i="18"/>
  <c r="V99" i="104"/>
  <c r="L107" i="88"/>
  <c r="N107" i="88" s="1"/>
  <c r="F107" i="88"/>
  <c r="J332" i="3"/>
  <c r="D94" i="93"/>
  <c r="L91" i="93"/>
  <c r="N91" i="93" s="1"/>
  <c r="F91" i="93"/>
  <c r="L126" i="75"/>
  <c r="N126" i="75" s="1"/>
  <c r="D129" i="75"/>
  <c r="F126" i="75"/>
  <c r="X92" i="73"/>
  <c r="R92" i="73"/>
  <c r="V93" i="95"/>
  <c r="L36" i="19"/>
  <c r="L36" i="14"/>
  <c r="D85" i="101"/>
  <c r="L82" i="101"/>
  <c r="N82" i="101" s="1"/>
  <c r="F82" i="101"/>
  <c r="D86" i="70"/>
  <c r="L83" i="70"/>
  <c r="N83" i="70" s="1"/>
  <c r="F83" i="70"/>
  <c r="X36" i="29"/>
  <c r="N90" i="81"/>
  <c r="J90" i="81"/>
  <c r="X100" i="102"/>
  <c r="Z100" i="102" s="1"/>
  <c r="P103" i="102"/>
  <c r="R100" i="102"/>
  <c r="V94" i="89"/>
  <c r="L115" i="33"/>
  <c r="N115" i="33" s="1"/>
  <c r="F115" i="33"/>
  <c r="N68" i="60"/>
  <c r="X36" i="52"/>
  <c r="X36" i="53"/>
  <c r="X54" i="99"/>
  <c r="P57" i="99"/>
  <c r="R54" i="99"/>
  <c r="X90" i="95"/>
  <c r="Z90" i="95" s="1"/>
  <c r="P93" i="95"/>
  <c r="R90" i="95"/>
  <c r="X150" i="24"/>
  <c r="Z150" i="24" s="1"/>
  <c r="R150" i="24"/>
  <c r="V306" i="18"/>
  <c r="L150" i="24"/>
  <c r="N150" i="24" s="1"/>
  <c r="F150" i="24"/>
  <c r="N31" i="6"/>
  <c r="V129" i="75"/>
  <c r="L54" i="99"/>
  <c r="D57" i="99"/>
  <c r="F54" i="99"/>
  <c r="D103" i="98"/>
  <c r="L100" i="98"/>
  <c r="N100" i="98" s="1"/>
  <c r="F100" i="98"/>
  <c r="V103" i="102"/>
  <c r="X69" i="61"/>
  <c r="Z69" i="61" s="1"/>
  <c r="J134" i="27"/>
  <c r="P88" i="80"/>
  <c r="X85" i="80"/>
  <c r="Z85" i="80" s="1"/>
  <c r="R85" i="80"/>
  <c r="Z31" i="6"/>
  <c r="D137" i="69"/>
  <c r="L134" i="69"/>
  <c r="N134" i="69" s="1"/>
  <c r="F134" i="69"/>
  <c r="X36" i="111"/>
  <c r="V291" i="12"/>
  <c r="X94" i="93"/>
  <c r="Z94" i="93" s="1"/>
  <c r="R94" i="93"/>
  <c r="P147" i="36"/>
  <c r="X144" i="36"/>
  <c r="Z144" i="36" s="1"/>
  <c r="R144" i="36"/>
  <c r="X36" i="26"/>
  <c r="L131" i="27"/>
  <c r="N131" i="27" s="1"/>
  <c r="D134" i="27"/>
  <c r="F131" i="27"/>
  <c r="V98" i="76"/>
  <c r="X112" i="33"/>
  <c r="Z112" i="33" s="1"/>
  <c r="P115" i="33"/>
  <c r="R112" i="33"/>
  <c r="L36" i="49"/>
  <c r="J83" i="48"/>
  <c r="V90" i="81"/>
  <c r="X100" i="84"/>
  <c r="Z100" i="84" s="1"/>
  <c r="P103" i="84"/>
  <c r="R100" i="84"/>
  <c r="P100" i="106"/>
  <c r="X97" i="106"/>
  <c r="Z97" i="106" s="1"/>
  <c r="R97" i="106"/>
  <c r="L40" i="55"/>
  <c r="X103" i="98"/>
  <c r="Z103" i="98" s="1"/>
  <c r="R103" i="98"/>
  <c r="J141" i="42"/>
  <c r="N88" i="56"/>
  <c r="X36" i="28"/>
  <c r="J147" i="36"/>
  <c r="X161" i="30"/>
  <c r="Z161" i="30" s="1"/>
  <c r="P164" i="30"/>
  <c r="R161" i="30"/>
  <c r="N81" i="59"/>
  <c r="L327" i="3"/>
  <c r="N327" i="3" s="1"/>
  <c r="D332" i="3"/>
  <c r="F327" i="3"/>
  <c r="L303" i="18"/>
  <c r="N303" i="18" s="1"/>
  <c r="D306" i="18"/>
  <c r="F303" i="18"/>
  <c r="X116" i="51"/>
  <c r="Z116" i="51" s="1"/>
  <c r="P119" i="51"/>
  <c r="R116" i="51"/>
  <c r="X125" i="21"/>
  <c r="Z125" i="21" s="1"/>
  <c r="R125" i="21"/>
  <c r="P306" i="18"/>
  <c r="X303" i="18"/>
  <c r="Z303" i="18" s="1"/>
  <c r="R303" i="18"/>
  <c r="L275" i="15"/>
  <c r="N275" i="15" s="1"/>
  <c r="D278" i="15"/>
  <c r="F275" i="15"/>
  <c r="X90" i="94"/>
  <c r="Z90" i="94" s="1"/>
  <c r="R90" i="94"/>
  <c r="L36" i="32"/>
  <c r="X149" i="39"/>
  <c r="Z149" i="39" s="1"/>
  <c r="P152" i="39"/>
  <c r="R149" i="39"/>
  <c r="L36" i="47"/>
  <c r="J164" i="30"/>
  <c r="V103" i="98"/>
  <c r="X40" i="55"/>
  <c r="Z40" i="55" s="1"/>
  <c r="P85" i="101"/>
  <c r="X82" i="101"/>
  <c r="Z82" i="101" s="1"/>
  <c r="R82" i="101"/>
  <c r="X36" i="41"/>
  <c r="X133" i="85"/>
  <c r="Z133" i="85" s="1"/>
  <c r="P136" i="85"/>
  <c r="R133" i="85"/>
  <c r="D119" i="51"/>
  <c r="L116" i="51"/>
  <c r="N116" i="51" s="1"/>
  <c r="F116" i="51"/>
  <c r="L100" i="106"/>
  <c r="N100" i="106" s="1"/>
  <c r="F100" i="106"/>
  <c r="J115" i="33"/>
  <c r="J137" i="69"/>
  <c r="X36" i="35"/>
  <c r="X36" i="32"/>
  <c r="D107" i="74"/>
  <c r="L104" i="74"/>
  <c r="N104" i="74" s="1"/>
  <c r="F104" i="74"/>
  <c r="L32" i="83"/>
  <c r="N32" i="83" s="1"/>
  <c r="D35" i="83"/>
  <c r="F32" i="83"/>
  <c r="X81" i="79"/>
  <c r="Z81" i="79" s="1"/>
  <c r="R81" i="79"/>
  <c r="X87" i="81"/>
  <c r="Z87" i="81" s="1"/>
  <c r="P90" i="81"/>
  <c r="R87" i="81"/>
  <c r="Z109" i="9"/>
  <c r="V109" i="9"/>
  <c r="X85" i="57"/>
  <c r="Z85" i="57" s="1"/>
  <c r="J39" i="86"/>
  <c r="X138" i="42"/>
  <c r="Z138" i="42" s="1"/>
  <c r="P141" i="42"/>
  <c r="R138" i="42"/>
  <c r="P109" i="45"/>
  <c r="X106" i="45"/>
  <c r="Z106" i="45" s="1"/>
  <c r="R106" i="45"/>
  <c r="L95" i="76"/>
  <c r="N95" i="76" s="1"/>
  <c r="D98" i="76"/>
  <c r="F95" i="76"/>
  <c r="Z83" i="48"/>
  <c r="V83" i="48"/>
  <c r="X103" i="92"/>
  <c r="Z103" i="92" s="1"/>
  <c r="V332" i="3"/>
  <c r="V278" i="15"/>
  <c r="N53" i="109"/>
  <c r="P134" i="71"/>
  <c r="X131" i="71"/>
  <c r="Z131" i="71" s="1"/>
  <c r="R131" i="71"/>
  <c r="J129" i="75"/>
  <c r="X116" i="77"/>
  <c r="Z116" i="77" s="1"/>
  <c r="P119" i="77"/>
  <c r="R116" i="77"/>
  <c r="Z92" i="73"/>
  <c r="V92" i="73"/>
  <c r="X107" i="88"/>
  <c r="Z107" i="88" s="1"/>
  <c r="R107" i="88"/>
  <c r="L134" i="71"/>
  <c r="N134" i="71" s="1"/>
  <c r="F134" i="71"/>
  <c r="L36" i="26"/>
  <c r="Z86" i="70"/>
  <c r="V86" i="70"/>
  <c r="L99" i="104"/>
  <c r="N99" i="104" s="1"/>
  <c r="F99" i="104"/>
  <c r="X60" i="100"/>
  <c r="Z60" i="100" s="1"/>
  <c r="L36" i="13"/>
  <c r="L100" i="108"/>
  <c r="N100" i="108" s="1"/>
  <c r="F100" i="108"/>
  <c r="L60" i="100"/>
  <c r="N60" i="100" s="1"/>
  <c r="X83" i="110"/>
  <c r="Z83" i="110" s="1"/>
  <c r="R83" i="110"/>
  <c r="L69" i="61"/>
  <c r="N69" i="61" s="1"/>
  <c r="L36" i="25"/>
  <c r="J110" i="96"/>
  <c r="J92" i="73"/>
  <c r="L93" i="95"/>
  <c r="N93" i="95" s="1"/>
  <c r="F93" i="95"/>
  <c r="L80" i="48"/>
  <c r="N80" i="48" s="1"/>
  <c r="D83" i="48"/>
  <c r="F80" i="48"/>
  <c r="J119" i="51"/>
  <c r="P98" i="76"/>
  <c r="X95" i="76"/>
  <c r="Z95" i="76" s="1"/>
  <c r="R95" i="76"/>
  <c r="X327" i="3"/>
  <c r="Z327" i="3" s="1"/>
  <c r="P332" i="3"/>
  <c r="R327" i="3"/>
  <c r="L36" i="43"/>
  <c r="V81" i="59"/>
  <c r="V150" i="24"/>
  <c r="N31" i="54"/>
  <c r="J109" i="45"/>
  <c r="X81" i="59"/>
  <c r="Z81" i="59" s="1"/>
  <c r="J136" i="85"/>
  <c r="N40" i="55"/>
  <c r="D136" i="85"/>
  <c r="L133" i="85"/>
  <c r="N133" i="85" s="1"/>
  <c r="F133" i="85"/>
  <c r="L88" i="80"/>
  <c r="N88" i="80" s="1"/>
  <c r="F88" i="80"/>
  <c r="L39" i="86"/>
  <c r="N39" i="86" s="1"/>
  <c r="F39" i="86"/>
  <c r="L36" i="17"/>
  <c r="Z88" i="56"/>
  <c r="X36" i="40"/>
  <c r="X68" i="60"/>
  <c r="Z68" i="60" s="1"/>
  <c r="X53" i="109"/>
  <c r="Z53" i="109" s="1"/>
  <c r="L72" i="68"/>
  <c r="N72" i="68" s="1"/>
  <c r="X98" i="76" l="1"/>
  <c r="Z98" i="76" s="1"/>
  <c r="R98" i="76"/>
  <c r="L291" i="12"/>
  <c r="N291" i="12" s="1"/>
  <c r="F291" i="12"/>
  <c r="X129" i="75"/>
  <c r="Z129" i="75" s="1"/>
  <c r="R129" i="75"/>
  <c r="X119" i="51"/>
  <c r="Z119" i="51" s="1"/>
  <c r="R119" i="51"/>
  <c r="X100" i="106"/>
  <c r="Z100" i="106" s="1"/>
  <c r="R100" i="106"/>
  <c r="L103" i="102"/>
  <c r="N103" i="102" s="1"/>
  <c r="F103" i="102"/>
  <c r="L110" i="96"/>
  <c r="N110" i="96" s="1"/>
  <c r="F110" i="96"/>
  <c r="L119" i="77"/>
  <c r="N119" i="77" s="1"/>
  <c r="F119" i="77"/>
  <c r="X278" i="15"/>
  <c r="Z278" i="15" s="1"/>
  <c r="R278" i="15"/>
  <c r="X164" i="30"/>
  <c r="Z164" i="30" s="1"/>
  <c r="R164" i="30"/>
  <c r="X119" i="77"/>
  <c r="Z119" i="77" s="1"/>
  <c r="R119" i="77"/>
  <c r="X85" i="101"/>
  <c r="Z85" i="101" s="1"/>
  <c r="R85" i="101"/>
  <c r="X57" i="99"/>
  <c r="R57" i="99"/>
  <c r="L35" i="83"/>
  <c r="N35" i="83" s="1"/>
  <c r="F35" i="83"/>
  <c r="X103" i="84"/>
  <c r="Z103" i="84" s="1"/>
  <c r="R103" i="84"/>
  <c r="L152" i="39"/>
  <c r="N152" i="39" s="1"/>
  <c r="F152" i="39"/>
  <c r="X134" i="27"/>
  <c r="Z134" i="27" s="1"/>
  <c r="R134" i="27"/>
  <c r="X137" i="69"/>
  <c r="Z137" i="69" s="1"/>
  <c r="R137" i="69"/>
  <c r="X141" i="42"/>
  <c r="Z141" i="42" s="1"/>
  <c r="R141" i="42"/>
  <c r="L83" i="48"/>
  <c r="N83" i="48" s="1"/>
  <c r="F83" i="48"/>
  <c r="L306" i="18"/>
  <c r="N306" i="18" s="1"/>
  <c r="F306" i="18"/>
  <c r="L134" i="27"/>
  <c r="N134" i="27" s="1"/>
  <c r="F134" i="27"/>
  <c r="L147" i="36"/>
  <c r="N147" i="36" s="1"/>
  <c r="F147" i="36"/>
  <c r="L103" i="84"/>
  <c r="N103" i="84" s="1"/>
  <c r="F103" i="84"/>
  <c r="X115" i="33"/>
  <c r="Z115" i="33" s="1"/>
  <c r="R115" i="33"/>
  <c r="L103" i="98"/>
  <c r="N103" i="98" s="1"/>
  <c r="F103" i="98"/>
  <c r="L86" i="70"/>
  <c r="N86" i="70" s="1"/>
  <c r="F86" i="70"/>
  <c r="L90" i="94"/>
  <c r="N90" i="94" s="1"/>
  <c r="F90" i="94"/>
  <c r="L92" i="73"/>
  <c r="N92" i="73" s="1"/>
  <c r="F92" i="73"/>
  <c r="L136" i="85"/>
  <c r="N136" i="85" s="1"/>
  <c r="F136" i="85"/>
  <c r="L129" i="75"/>
  <c r="N129" i="75" s="1"/>
  <c r="F129" i="75"/>
  <c r="X72" i="105"/>
  <c r="Z72" i="105" s="1"/>
  <c r="R72" i="105"/>
  <c r="L278" i="15"/>
  <c r="N278" i="15" s="1"/>
  <c r="F278" i="15"/>
  <c r="L137" i="69"/>
  <c r="N137" i="69" s="1"/>
  <c r="F137" i="69"/>
  <c r="L98" i="76"/>
  <c r="N98" i="76" s="1"/>
  <c r="F98" i="76"/>
  <c r="X134" i="71"/>
  <c r="Z134" i="71" s="1"/>
  <c r="R134" i="71"/>
  <c r="L107" i="74"/>
  <c r="N107" i="74" s="1"/>
  <c r="F107" i="74"/>
  <c r="L119" i="51"/>
  <c r="N119" i="51" s="1"/>
  <c r="F119" i="51"/>
  <c r="L332" i="3"/>
  <c r="N332" i="3" s="1"/>
  <c r="F332" i="3"/>
  <c r="L57" i="99"/>
  <c r="F57" i="99"/>
  <c r="X100" i="108"/>
  <c r="Z100" i="108" s="1"/>
  <c r="R100" i="108"/>
  <c r="X291" i="12"/>
  <c r="Z291" i="12" s="1"/>
  <c r="R291" i="12"/>
  <c r="X93" i="95"/>
  <c r="Z93" i="95" s="1"/>
  <c r="R93" i="95"/>
  <c r="L85" i="101"/>
  <c r="N85" i="101" s="1"/>
  <c r="F85" i="101"/>
  <c r="X107" i="74"/>
  <c r="Z107" i="74" s="1"/>
  <c r="R107" i="74"/>
  <c r="X99" i="104"/>
  <c r="Z99" i="104" s="1"/>
  <c r="R99" i="104"/>
  <c r="X90" i="81"/>
  <c r="Z90" i="81" s="1"/>
  <c r="R90" i="81"/>
  <c r="X136" i="85"/>
  <c r="Z136" i="85" s="1"/>
  <c r="R136" i="85"/>
  <c r="X306" i="18"/>
  <c r="Z306" i="18" s="1"/>
  <c r="R306" i="18"/>
  <c r="L164" i="30"/>
  <c r="N164" i="30" s="1"/>
  <c r="F164" i="30"/>
  <c r="X332" i="3"/>
  <c r="Z332" i="3" s="1"/>
  <c r="R332" i="3"/>
  <c r="X147" i="36"/>
  <c r="Z147" i="36" s="1"/>
  <c r="R147" i="36"/>
  <c r="X88" i="80"/>
  <c r="Z88" i="80" s="1"/>
  <c r="R88" i="80"/>
  <c r="X109" i="45"/>
  <c r="Z109" i="45" s="1"/>
  <c r="R109" i="45"/>
  <c r="X152" i="39"/>
  <c r="Z152" i="39" s="1"/>
  <c r="R152" i="39"/>
  <c r="X103" i="102"/>
  <c r="Z103" i="102" s="1"/>
  <c r="R103" i="102"/>
  <c r="L94" i="93"/>
  <c r="N94" i="93" s="1"/>
  <c r="F94" i="93"/>
  <c r="L109" i="45"/>
  <c r="N109" i="45" s="1"/>
  <c r="F109" i="45"/>
  <c r="L125" i="21"/>
  <c r="N125" i="21" s="1"/>
  <c r="F125" i="21"/>
</calcChain>
</file>

<file path=xl/sharedStrings.xml><?xml version="1.0" encoding="utf-8"?>
<sst xmlns="http://schemas.openxmlformats.org/spreadsheetml/2006/main" count="2948" uniqueCount="315">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</sst>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0" fillId="0" borderId="0" xfId="0" applyBorder="1"/>
    <xf numFmtId="0" fontId="0" fillId="0" borderId="0" xfId="0" applyFill="1" applyAlignment="1">
      <alignment horizontal="centerContinuous"/>
    </xf>
    <xf numFmtId="0" fontId="2" fillId="0" borderId="0" xfId="0" applyFont="1" applyFill="1" applyBorder="1"/>
    <xf numFmtId="0" fontId="2" fillId="0" borderId="0" xfId="0" applyFont="1" applyAlignment="1">
      <alignment horizontal="left"/>
    </xf>
    <xf numFmtId="0" fontId="3" fillId="0" borderId="0" xfId="0" applyFont="1"/>
    <xf numFmtId="164" fontId="2" fillId="0" borderId="0" xfId="1" applyNumberFormat="1" applyFont="1" applyFill="1" applyAlignment="1">
      <alignment horizontal="centerContinuous"/>
    </xf>
    <xf numFmtId="166" fontId="4" fillId="0" borderId="0" xfId="0" applyNumberFormat="1" applyFont="1" applyAlignment="1">
      <alignment horizontal="left"/>
    </xf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0" fontId="5" fillId="0" borderId="0" xfId="0" applyFont="1" applyFill="1"/>
    <xf numFmtId="0" fontId="4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306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306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7"/>
  <sheetViews>
    <sheetView tabSelected="1" zoomScale="80" workbookViewId="0">
      <pane xSplit="3" ySplit="10" topLeftCell="D23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3466709.4899999993</v>
      </c>
      <c r="E12" s="4"/>
      <c r="F12" s="12"/>
      <c r="G12" s="4"/>
      <c r="H12" s="4">
        <f>SUM(OSRRefH13x_0)</f>
        <v>3413283.7329099998</v>
      </c>
      <c r="I12" s="4"/>
      <c r="J12" s="12"/>
      <c r="K12" s="4"/>
      <c r="L12" s="4">
        <f t="shared" ref="L12:L135" si="0">+D12-H12</f>
        <v>53425.757089999504</v>
      </c>
      <c r="M12" s="4"/>
      <c r="N12" s="12">
        <f t="shared" ref="N12:N135" si="1">IF(H12=0,0,L12/H12)</f>
        <v>1.5652304721955036E-2</v>
      </c>
      <c r="O12" s="10"/>
      <c r="P12" s="4">
        <f>SUM(OSRRefP13x_0)</f>
        <v>25198407.699999999</v>
      </c>
      <c r="Q12" s="4"/>
      <c r="R12" s="12"/>
      <c r="S12" s="4"/>
      <c r="T12" s="4">
        <f>SUM(OSRRefT13x_0)</f>
        <v>26282260.30714</v>
      </c>
      <c r="U12" s="4"/>
      <c r="V12" s="12"/>
      <c r="W12" s="4"/>
      <c r="X12" s="4">
        <f t="shared" ref="X12:X135" si="2">+P12-T12</f>
        <v>-1083852.6071400009</v>
      </c>
      <c r="Y12" s="4"/>
      <c r="Z12" s="12">
        <f t="shared" ref="Z12:Z135" si="3">IF(T12=0,0,X12/T12)</f>
        <v>-4.1238941950725402E-2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1126218.7329099998</v>
      </c>
      <c r="I13" s="2"/>
      <c r="J13" s="19"/>
      <c r="K13" s="2"/>
      <c r="L13" s="2">
        <f t="shared" si="0"/>
        <v>-1126218.7329099998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8040001.3071400002</v>
      </c>
      <c r="U13" s="2"/>
      <c r="V13" s="19"/>
      <c r="W13" s="2"/>
      <c r="X13" s="2">
        <f t="shared" si="2"/>
        <v>-8040001.3071400002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/>
      <c r="I14" s="2"/>
      <c r="J14" s="19"/>
      <c r="K14" s="2"/>
      <c r="L14" s="2">
        <f t="shared" si="0"/>
        <v>104784.96000000001</v>
      </c>
      <c r="M14" s="2"/>
      <c r="N14" s="19">
        <f t="shared" si="1"/>
        <v>0</v>
      </c>
      <c r="O14" s="11"/>
      <c r="P14" s="2">
        <f>--2390761.72</f>
        <v>2390761.7200000002</v>
      </c>
      <c r="Q14" s="2"/>
      <c r="R14" s="19"/>
      <c r="S14" s="2"/>
      <c r="T14" s="2"/>
      <c r="U14" s="2"/>
      <c r="V14" s="19"/>
      <c r="W14" s="2"/>
      <c r="X14" s="2">
        <f t="shared" si="2"/>
        <v>2390761.7200000002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/>
      <c r="I15" s="2"/>
      <c r="J15" s="19"/>
      <c r="K15" s="2"/>
      <c r="L15" s="2">
        <f t="shared" si="0"/>
        <v>46558.78</v>
      </c>
      <c r="M15" s="2"/>
      <c r="N15" s="19">
        <f t="shared" si="1"/>
        <v>0</v>
      </c>
      <c r="O15" s="11"/>
      <c r="P15" s="2">
        <f>--1239973.19</f>
        <v>1239973.19</v>
      </c>
      <c r="Q15" s="2"/>
      <c r="R15" s="19"/>
      <c r="S15" s="2"/>
      <c r="T15" s="2"/>
      <c r="U15" s="2"/>
      <c r="V15" s="19"/>
      <c r="W15" s="2"/>
      <c r="X15" s="2">
        <f t="shared" si="2"/>
        <v>1239973.19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/>
      <c r="I16" s="2"/>
      <c r="J16" s="19"/>
      <c r="K16" s="2"/>
      <c r="L16" s="2">
        <f t="shared" si="0"/>
        <v>1344.88</v>
      </c>
      <c r="M16" s="2"/>
      <c r="N16" s="19">
        <f t="shared" si="1"/>
        <v>0</v>
      </c>
      <c r="O16" s="11"/>
      <c r="P16" s="2">
        <f>--33616.89</f>
        <v>33616.89</v>
      </c>
      <c r="Q16" s="2"/>
      <c r="R16" s="19"/>
      <c r="S16" s="2"/>
      <c r="T16" s="2"/>
      <c r="U16" s="2"/>
      <c r="V16" s="19"/>
      <c r="W16" s="2"/>
      <c r="X16" s="2">
        <f t="shared" si="2"/>
        <v>33616.89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/>
      <c r="I17" s="2"/>
      <c r="J17" s="19"/>
      <c r="K17" s="2"/>
      <c r="L17" s="2">
        <f t="shared" si="0"/>
        <v>993.89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/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/>
      <c r="U18" s="2"/>
      <c r="V18" s="19"/>
      <c r="W18" s="2"/>
      <c r="X18" s="2">
        <f t="shared" si="2"/>
        <v>798.88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/>
      <c r="I19" s="2"/>
      <c r="J19" s="19"/>
      <c r="K19" s="2"/>
      <c r="L19" s="2">
        <f t="shared" si="0"/>
        <v>772.36</v>
      </c>
      <c r="M19" s="2"/>
      <c r="N19" s="19">
        <f t="shared" si="1"/>
        <v>0</v>
      </c>
      <c r="O19" s="11"/>
      <c r="P19" s="2">
        <f>--2282.25</f>
        <v>2282.25</v>
      </c>
      <c r="Q19" s="2"/>
      <c r="R19" s="19"/>
      <c r="S19" s="2"/>
      <c r="T19" s="2"/>
      <c r="U19" s="2"/>
      <c r="V19" s="19"/>
      <c r="W19" s="2"/>
      <c r="X19" s="2">
        <f t="shared" si="2"/>
        <v>2282.25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/>
      <c r="I20" s="2"/>
      <c r="J20" s="19"/>
      <c r="K20" s="2"/>
      <c r="L20" s="2">
        <f t="shared" si="0"/>
        <v>51.77</v>
      </c>
      <c r="M20" s="2"/>
      <c r="N20" s="19">
        <f t="shared" si="1"/>
        <v>0</v>
      </c>
      <c r="O20" s="11"/>
      <c r="P20" s="2">
        <f>--1151.94</f>
        <v>1151.94</v>
      </c>
      <c r="Q20" s="2"/>
      <c r="R20" s="19"/>
      <c r="S20" s="2"/>
      <c r="T20" s="2"/>
      <c r="U20" s="2"/>
      <c r="V20" s="19"/>
      <c r="W20" s="2"/>
      <c r="X20" s="2">
        <f t="shared" si="2"/>
        <v>1151.94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/>
      <c r="I21" s="2"/>
      <c r="J21" s="19"/>
      <c r="K21" s="2"/>
      <c r="L21" s="2">
        <f t="shared" si="0"/>
        <v>16.47</v>
      </c>
      <c r="M21" s="2"/>
      <c r="N21" s="19">
        <f t="shared" si="1"/>
        <v>0</v>
      </c>
      <c r="O21" s="11"/>
      <c r="P21" s="2">
        <f>--271.59</f>
        <v>271.58999999999997</v>
      </c>
      <c r="Q21" s="2"/>
      <c r="R21" s="19"/>
      <c r="S21" s="2"/>
      <c r="T21" s="2"/>
      <c r="U21" s="2"/>
      <c r="V21" s="19"/>
      <c r="W21" s="2"/>
      <c r="X21" s="2">
        <f t="shared" si="2"/>
        <v>271.58999999999997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/>
      <c r="I22" s="2"/>
      <c r="J22" s="19"/>
      <c r="K22" s="2"/>
      <c r="L22" s="2">
        <f t="shared" si="0"/>
        <v>469.81</v>
      </c>
      <c r="M22" s="2"/>
      <c r="N22" s="19">
        <f t="shared" si="1"/>
        <v>0</v>
      </c>
      <c r="O22" s="11"/>
      <c r="P22" s="2">
        <f>--4097.71</f>
        <v>4097.71</v>
      </c>
      <c r="Q22" s="2"/>
      <c r="R22" s="19"/>
      <c r="S22" s="2"/>
      <c r="T22" s="2"/>
      <c r="U22" s="2"/>
      <c r="V22" s="19"/>
      <c r="W22" s="2"/>
      <c r="X22" s="2">
        <f t="shared" si="2"/>
        <v>4097.71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/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/>
      <c r="I24" s="2"/>
      <c r="J24" s="19"/>
      <c r="K24" s="2"/>
      <c r="L24" s="2">
        <f t="shared" si="0"/>
        <v>11343.24</v>
      </c>
      <c r="M24" s="2"/>
      <c r="N24" s="19">
        <f t="shared" si="1"/>
        <v>0</v>
      </c>
      <c r="O24" s="11"/>
      <c r="P24" s="2">
        <f>--51783.69</f>
        <v>51783.69</v>
      </c>
      <c r="Q24" s="2"/>
      <c r="R24" s="19"/>
      <c r="S24" s="2"/>
      <c r="T24" s="2"/>
      <c r="U24" s="2"/>
      <c r="V24" s="19"/>
      <c r="W24" s="2"/>
      <c r="X24" s="2">
        <f t="shared" si="2"/>
        <v>51783.69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/>
      <c r="I25" s="2"/>
      <c r="J25" s="19"/>
      <c r="K25" s="2"/>
      <c r="L25" s="2">
        <f t="shared" si="0"/>
        <v>11784.71</v>
      </c>
      <c r="M25" s="2"/>
      <c r="N25" s="19">
        <f t="shared" si="1"/>
        <v>0</v>
      </c>
      <c r="O25" s="11"/>
      <c r="P25" s="2">
        <f>--75474.2</f>
        <v>75474.2</v>
      </c>
      <c r="Q25" s="2"/>
      <c r="R25" s="19"/>
      <c r="S25" s="2"/>
      <c r="T25" s="2"/>
      <c r="U25" s="2"/>
      <c r="V25" s="19"/>
      <c r="W25" s="2"/>
      <c r="X25" s="2">
        <f t="shared" si="2"/>
        <v>75474.2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/>
      <c r="I26" s="2"/>
      <c r="J26" s="19"/>
      <c r="K26" s="2"/>
      <c r="L26" s="2">
        <f t="shared" si="0"/>
        <v>30046.01</v>
      </c>
      <c r="M26" s="2"/>
      <c r="N26" s="19">
        <f t="shared" si="1"/>
        <v>0</v>
      </c>
      <c r="O26" s="11"/>
      <c r="P26" s="2">
        <f>--261693.33</f>
        <v>261693.33</v>
      </c>
      <c r="Q26" s="2"/>
      <c r="R26" s="19"/>
      <c r="S26" s="2"/>
      <c r="T26" s="2"/>
      <c r="U26" s="2"/>
      <c r="V26" s="19"/>
      <c r="W26" s="2"/>
      <c r="X26" s="2">
        <f t="shared" si="2"/>
        <v>261693.33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/>
      <c r="I27" s="2"/>
      <c r="J27" s="19"/>
      <c r="K27" s="2"/>
      <c r="L27" s="2">
        <f t="shared" si="0"/>
        <v>42663.45</v>
      </c>
      <c r="M27" s="2"/>
      <c r="N27" s="19">
        <f t="shared" si="1"/>
        <v>0</v>
      </c>
      <c r="O27" s="11"/>
      <c r="P27" s="2">
        <f>--275336.23</f>
        <v>275336.23</v>
      </c>
      <c r="Q27" s="2"/>
      <c r="R27" s="19"/>
      <c r="S27" s="2"/>
      <c r="T27" s="2"/>
      <c r="U27" s="2"/>
      <c r="V27" s="19"/>
      <c r="W27" s="2"/>
      <c r="X27" s="2">
        <f t="shared" si="2"/>
        <v>275336.23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/>
      <c r="I28" s="2"/>
      <c r="J28" s="19"/>
      <c r="K28" s="2"/>
      <c r="L28" s="2">
        <f t="shared" si="0"/>
        <v>92.07</v>
      </c>
      <c r="M28" s="2"/>
      <c r="N28" s="19">
        <f t="shared" si="1"/>
        <v>0</v>
      </c>
      <c r="O28" s="11"/>
      <c r="P28" s="2">
        <f>--442.04</f>
        <v>442.04</v>
      </c>
      <c r="Q28" s="2"/>
      <c r="R28" s="19"/>
      <c r="S28" s="2"/>
      <c r="T28" s="2"/>
      <c r="U28" s="2"/>
      <c r="V28" s="19"/>
      <c r="W28" s="2"/>
      <c r="X28" s="2">
        <f t="shared" si="2"/>
        <v>442.04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--45955.75</f>
        <v>45955.75</v>
      </c>
      <c r="E29" s="2"/>
      <c r="F29" s="19"/>
      <c r="G29" s="2"/>
      <c r="H29" s="2"/>
      <c r="I29" s="2"/>
      <c r="J29" s="19"/>
      <c r="K29" s="2"/>
      <c r="L29" s="2">
        <f t="shared" si="0"/>
        <v>45955.75</v>
      </c>
      <c r="M29" s="2"/>
      <c r="N29" s="19">
        <f t="shared" si="1"/>
        <v>0</v>
      </c>
      <c r="O29" s="11"/>
      <c r="P29" s="2">
        <f>--258470.62</f>
        <v>258470.62</v>
      </c>
      <c r="Q29" s="2"/>
      <c r="R29" s="19"/>
      <c r="S29" s="2"/>
      <c r="T29" s="2"/>
      <c r="U29" s="2"/>
      <c r="V29" s="19"/>
      <c r="W29" s="2"/>
      <c r="X29" s="2">
        <f t="shared" si="2"/>
        <v>258470.62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/>
      <c r="I30" s="2"/>
      <c r="J30" s="19"/>
      <c r="K30" s="2"/>
      <c r="L30" s="2">
        <f t="shared" si="0"/>
        <v>33.83</v>
      </c>
      <c r="M30" s="2"/>
      <c r="N30" s="19">
        <f t="shared" si="1"/>
        <v>0</v>
      </c>
      <c r="O30" s="11"/>
      <c r="P30" s="2">
        <f>--179.98</f>
        <v>179.98</v>
      </c>
      <c r="Q30" s="2"/>
      <c r="R30" s="19"/>
      <c r="S30" s="2"/>
      <c r="T30" s="2"/>
      <c r="U30" s="2"/>
      <c r="V30" s="19"/>
      <c r="W30" s="2"/>
      <c r="X30" s="2">
        <f t="shared" si="2"/>
        <v>179.98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--1908.2</f>
        <v>1908.2</v>
      </c>
      <c r="E31" s="2"/>
      <c r="F31" s="19"/>
      <c r="G31" s="2"/>
      <c r="H31" s="2"/>
      <c r="I31" s="2"/>
      <c r="J31" s="19"/>
      <c r="K31" s="2"/>
      <c r="L31" s="2">
        <f t="shared" si="0"/>
        <v>1908.2</v>
      </c>
      <c r="M31" s="2"/>
      <c r="N31" s="19">
        <f t="shared" si="1"/>
        <v>0</v>
      </c>
      <c r="O31" s="11"/>
      <c r="P31" s="2">
        <f>--10163.45</f>
        <v>10163.450000000001</v>
      </c>
      <c r="Q31" s="2"/>
      <c r="R31" s="19"/>
      <c r="S31" s="2"/>
      <c r="T31" s="2"/>
      <c r="U31" s="2"/>
      <c r="V31" s="19"/>
      <c r="W31" s="2"/>
      <c r="X31" s="2">
        <f t="shared" si="2"/>
        <v>10163.450000000001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/>
      <c r="I32" s="2"/>
      <c r="J32" s="19"/>
      <c r="K32" s="2"/>
      <c r="L32" s="2">
        <f t="shared" si="0"/>
        <v>442.03</v>
      </c>
      <c r="M32" s="2"/>
      <c r="N32" s="19">
        <f t="shared" si="1"/>
        <v>0</v>
      </c>
      <c r="O32" s="11"/>
      <c r="P32" s="2">
        <f>--1880.52</f>
        <v>1880.52</v>
      </c>
      <c r="Q32" s="2"/>
      <c r="R32" s="19"/>
      <c r="S32" s="2"/>
      <c r="T32" s="2"/>
      <c r="U32" s="2"/>
      <c r="V32" s="19"/>
      <c r="W32" s="2"/>
      <c r="X32" s="2">
        <f t="shared" si="2"/>
        <v>1880.52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/>
      <c r="I33" s="2"/>
      <c r="J33" s="19"/>
      <c r="K33" s="2"/>
      <c r="L33" s="2">
        <f t="shared" si="0"/>
        <v>74.61</v>
      </c>
      <c r="M33" s="2"/>
      <c r="N33" s="19">
        <f t="shared" si="1"/>
        <v>0</v>
      </c>
      <c r="O33" s="11"/>
      <c r="P33" s="2">
        <f>--488.71</f>
        <v>488.71</v>
      </c>
      <c r="Q33" s="2"/>
      <c r="R33" s="19"/>
      <c r="S33" s="2"/>
      <c r="T33" s="2"/>
      <c r="U33" s="2"/>
      <c r="V33" s="19"/>
      <c r="W33" s="2"/>
      <c r="X33" s="2">
        <f t="shared" si="2"/>
        <v>488.71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/>
      <c r="I34" s="2"/>
      <c r="J34" s="19"/>
      <c r="K34" s="2"/>
      <c r="L34" s="2">
        <f t="shared" si="0"/>
        <v>197676.23</v>
      </c>
      <c r="M34" s="2"/>
      <c r="N34" s="19">
        <f t="shared" si="1"/>
        <v>0</v>
      </c>
      <c r="O34" s="11"/>
      <c r="P34" s="2">
        <f>--1682295.22</f>
        <v>1682295.22</v>
      </c>
      <c r="Q34" s="2"/>
      <c r="R34" s="19"/>
      <c r="S34" s="2"/>
      <c r="T34" s="2"/>
      <c r="U34" s="2"/>
      <c r="V34" s="19"/>
      <c r="W34" s="2"/>
      <c r="X34" s="2">
        <f t="shared" si="2"/>
        <v>1682295.22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/>
      <c r="I35" s="2"/>
      <c r="J35" s="19"/>
      <c r="K35" s="2"/>
      <c r="L35" s="2">
        <f t="shared" si="0"/>
        <v>41252.71</v>
      </c>
      <c r="M35" s="2"/>
      <c r="N35" s="19">
        <f t="shared" si="1"/>
        <v>0</v>
      </c>
      <c r="O35" s="11"/>
      <c r="P35" s="2">
        <f>--441821.19</f>
        <v>441821.19</v>
      </c>
      <c r="Q35" s="2"/>
      <c r="R35" s="19"/>
      <c r="S35" s="2"/>
      <c r="T35" s="2"/>
      <c r="U35" s="2"/>
      <c r="V35" s="19"/>
      <c r="W35" s="2"/>
      <c r="X35" s="2">
        <f t="shared" si="2"/>
        <v>441821.19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/>
      <c r="I36" s="2"/>
      <c r="J36" s="19"/>
      <c r="K36" s="2"/>
      <c r="L36" s="2">
        <f t="shared" si="0"/>
        <v>26570.92</v>
      </c>
      <c r="M36" s="2"/>
      <c r="N36" s="19">
        <f t="shared" si="1"/>
        <v>0</v>
      </c>
      <c r="O36" s="11"/>
      <c r="P36" s="2">
        <f>--259566.14</f>
        <v>259566.14</v>
      </c>
      <c r="Q36" s="2"/>
      <c r="R36" s="19"/>
      <c r="S36" s="2"/>
      <c r="T36" s="2"/>
      <c r="U36" s="2"/>
      <c r="V36" s="19"/>
      <c r="W36" s="2"/>
      <c r="X36" s="2">
        <f t="shared" si="2"/>
        <v>259566.14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/>
      <c r="I37" s="2"/>
      <c r="J37" s="19"/>
      <c r="K37" s="2"/>
      <c r="L37" s="2">
        <f t="shared" si="0"/>
        <v>53271</v>
      </c>
      <c r="M37" s="2"/>
      <c r="N37" s="19">
        <f t="shared" si="1"/>
        <v>0</v>
      </c>
      <c r="O37" s="11"/>
      <c r="P37" s="2">
        <f>--75901.71</f>
        <v>75901.710000000006</v>
      </c>
      <c r="Q37" s="2"/>
      <c r="R37" s="19"/>
      <c r="S37" s="2"/>
      <c r="T37" s="2"/>
      <c r="U37" s="2"/>
      <c r="V37" s="19"/>
      <c r="W37" s="2"/>
      <c r="X37" s="2">
        <f t="shared" si="2"/>
        <v>75901.710000000006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/>
      <c r="I38" s="2"/>
      <c r="J38" s="19"/>
      <c r="K38" s="2"/>
      <c r="L38" s="2">
        <f t="shared" si="0"/>
        <v>9848.33</v>
      </c>
      <c r="M38" s="2"/>
      <c r="N38" s="19">
        <f t="shared" si="1"/>
        <v>0</v>
      </c>
      <c r="O38" s="11"/>
      <c r="P38" s="2">
        <f>--62934.49</f>
        <v>62934.49</v>
      </c>
      <c r="Q38" s="2"/>
      <c r="R38" s="19"/>
      <c r="S38" s="2"/>
      <c r="T38" s="2"/>
      <c r="U38" s="2"/>
      <c r="V38" s="19"/>
      <c r="W38" s="2"/>
      <c r="X38" s="2">
        <f t="shared" si="2"/>
        <v>62934.49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/>
      <c r="I39" s="2"/>
      <c r="J39" s="19"/>
      <c r="K39" s="2"/>
      <c r="L39" s="2">
        <f t="shared" si="0"/>
        <v>815.01</v>
      </c>
      <c r="M39" s="2"/>
      <c r="N39" s="19">
        <f t="shared" si="1"/>
        <v>0</v>
      </c>
      <c r="O39" s="11"/>
      <c r="P39" s="2">
        <f>--70553.04</f>
        <v>70553.039999999994</v>
      </c>
      <c r="Q39" s="2"/>
      <c r="R39" s="19"/>
      <c r="S39" s="2"/>
      <c r="T39" s="2"/>
      <c r="U39" s="2"/>
      <c r="V39" s="19"/>
      <c r="W39" s="2"/>
      <c r="X39" s="2">
        <f t="shared" si="2"/>
        <v>70553.039999999994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/>
      <c r="I40" s="2"/>
      <c r="J40" s="19"/>
      <c r="K40" s="2"/>
      <c r="L40" s="2">
        <f t="shared" si="0"/>
        <v>208.95</v>
      </c>
      <c r="M40" s="2"/>
      <c r="N40" s="19">
        <f t="shared" si="1"/>
        <v>0</v>
      </c>
      <c r="O40" s="11"/>
      <c r="P40" s="2">
        <f>--2185.99</f>
        <v>2185.9899999999998</v>
      </c>
      <c r="Q40" s="2"/>
      <c r="R40" s="19"/>
      <c r="S40" s="2"/>
      <c r="T40" s="2"/>
      <c r="U40" s="2"/>
      <c r="V40" s="19"/>
      <c r="W40" s="2"/>
      <c r="X40" s="2">
        <f t="shared" si="2"/>
        <v>2185.9899999999998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--91985.93</f>
        <v>91985.93</v>
      </c>
      <c r="E41" s="2"/>
      <c r="F41" s="19"/>
      <c r="G41" s="2"/>
      <c r="H41" s="2"/>
      <c r="I41" s="2"/>
      <c r="J41" s="19"/>
      <c r="K41" s="2"/>
      <c r="L41" s="2">
        <f t="shared" si="0"/>
        <v>91985.93</v>
      </c>
      <c r="M41" s="2"/>
      <c r="N41" s="19">
        <f t="shared" si="1"/>
        <v>0</v>
      </c>
      <c r="O41" s="11"/>
      <c r="P41" s="2">
        <f>--567184.8</f>
        <v>567184.80000000005</v>
      </c>
      <c r="Q41" s="2"/>
      <c r="R41" s="19"/>
      <c r="S41" s="2"/>
      <c r="T41" s="2"/>
      <c r="U41" s="2"/>
      <c r="V41" s="19"/>
      <c r="W41" s="2"/>
      <c r="X41" s="2">
        <f t="shared" si="2"/>
        <v>567184.80000000005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--131149.86</f>
        <v>131149.85999999999</v>
      </c>
      <c r="E42" s="2"/>
      <c r="F42" s="19"/>
      <c r="G42" s="2"/>
      <c r="H42" s="2"/>
      <c r="I42" s="2"/>
      <c r="J42" s="19"/>
      <c r="K42" s="2"/>
      <c r="L42" s="2">
        <f t="shared" si="0"/>
        <v>131149.85999999999</v>
      </c>
      <c r="M42" s="2"/>
      <c r="N42" s="19">
        <f t="shared" si="1"/>
        <v>0</v>
      </c>
      <c r="O42" s="11"/>
      <c r="P42" s="2">
        <f>--788152.3</f>
        <v>788152.3</v>
      </c>
      <c r="Q42" s="2"/>
      <c r="R42" s="19"/>
      <c r="S42" s="2"/>
      <c r="T42" s="2"/>
      <c r="U42" s="2"/>
      <c r="V42" s="19"/>
      <c r="W42" s="2"/>
      <c r="X42" s="2">
        <f t="shared" si="2"/>
        <v>788152.3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--128356.95</f>
        <v>128356.95</v>
      </c>
      <c r="E43" s="2"/>
      <c r="F43" s="19"/>
      <c r="G43" s="2"/>
      <c r="H43" s="2"/>
      <c r="I43" s="2"/>
      <c r="J43" s="19"/>
      <c r="K43" s="2"/>
      <c r="L43" s="2">
        <f t="shared" si="0"/>
        <v>128356.95</v>
      </c>
      <c r="M43" s="2"/>
      <c r="N43" s="19">
        <f t="shared" si="1"/>
        <v>0</v>
      </c>
      <c r="O43" s="11"/>
      <c r="P43" s="2">
        <f>--244955.87</f>
        <v>244955.87</v>
      </c>
      <c r="Q43" s="2"/>
      <c r="R43" s="19"/>
      <c r="S43" s="2"/>
      <c r="T43" s="2"/>
      <c r="U43" s="2"/>
      <c r="V43" s="19"/>
      <c r="W43" s="2"/>
      <c r="X43" s="2">
        <f t="shared" si="2"/>
        <v>244955.87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--54029.26</f>
        <v>54029.26</v>
      </c>
      <c r="E44" s="2"/>
      <c r="F44" s="19"/>
      <c r="G44" s="2"/>
      <c r="H44" s="2"/>
      <c r="I44" s="2"/>
      <c r="J44" s="19"/>
      <c r="K44" s="2"/>
      <c r="L44" s="2">
        <f t="shared" si="0"/>
        <v>54029.26</v>
      </c>
      <c r="M44" s="2"/>
      <c r="N44" s="19">
        <f t="shared" si="1"/>
        <v>0</v>
      </c>
      <c r="O44" s="11"/>
      <c r="P44" s="2">
        <f>--358216.7</f>
        <v>358216.7</v>
      </c>
      <c r="Q44" s="2"/>
      <c r="R44" s="19"/>
      <c r="S44" s="2"/>
      <c r="T44" s="2"/>
      <c r="U44" s="2"/>
      <c r="V44" s="19"/>
      <c r="W44" s="2"/>
      <c r="X44" s="2">
        <f t="shared" si="2"/>
        <v>358216.7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--15335.14</f>
        <v>15335.14</v>
      </c>
      <c r="E45" s="2"/>
      <c r="F45" s="19"/>
      <c r="G45" s="2"/>
      <c r="H45" s="2"/>
      <c r="I45" s="2"/>
      <c r="J45" s="19"/>
      <c r="K45" s="2"/>
      <c r="L45" s="2">
        <f t="shared" si="0"/>
        <v>15335.14</v>
      </c>
      <c r="M45" s="2"/>
      <c r="N45" s="19">
        <f t="shared" si="1"/>
        <v>0</v>
      </c>
      <c r="O45" s="11"/>
      <c r="P45" s="2">
        <f>--110971.24</f>
        <v>110971.24</v>
      </c>
      <c r="Q45" s="2"/>
      <c r="R45" s="19"/>
      <c r="S45" s="2"/>
      <c r="T45" s="2"/>
      <c r="U45" s="2"/>
      <c r="V45" s="19"/>
      <c r="W45" s="2"/>
      <c r="X45" s="2">
        <f t="shared" si="2"/>
        <v>110971.24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--25041.87</f>
        <v>25041.87</v>
      </c>
      <c r="E46" s="2"/>
      <c r="F46" s="19"/>
      <c r="G46" s="2"/>
      <c r="H46" s="2"/>
      <c r="I46" s="2"/>
      <c r="J46" s="19"/>
      <c r="K46" s="2"/>
      <c r="L46" s="2">
        <f t="shared" si="0"/>
        <v>25041.87</v>
      </c>
      <c r="M46" s="2"/>
      <c r="N46" s="19">
        <f t="shared" si="1"/>
        <v>0</v>
      </c>
      <c r="O46" s="11"/>
      <c r="P46" s="2">
        <f>--299332.15</f>
        <v>299332.15000000002</v>
      </c>
      <c r="Q46" s="2"/>
      <c r="R46" s="19"/>
      <c r="S46" s="2"/>
      <c r="T46" s="2"/>
      <c r="U46" s="2"/>
      <c r="V46" s="19"/>
      <c r="W46" s="2"/>
      <c r="X46" s="2">
        <f t="shared" si="2"/>
        <v>299332.15000000002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--76509.05</f>
        <v>76509.05</v>
      </c>
      <c r="E47" s="2"/>
      <c r="F47" s="19"/>
      <c r="G47" s="2"/>
      <c r="H47" s="2"/>
      <c r="I47" s="2"/>
      <c r="J47" s="19"/>
      <c r="K47" s="2"/>
      <c r="L47" s="2">
        <f t="shared" si="0"/>
        <v>76509.05</v>
      </c>
      <c r="M47" s="2"/>
      <c r="N47" s="19">
        <f t="shared" si="1"/>
        <v>0</v>
      </c>
      <c r="O47" s="11"/>
      <c r="P47" s="2">
        <f>--1583841.53</f>
        <v>1583841.53</v>
      </c>
      <c r="Q47" s="2"/>
      <c r="R47" s="19"/>
      <c r="S47" s="2"/>
      <c r="T47" s="2"/>
      <c r="U47" s="2"/>
      <c r="V47" s="19"/>
      <c r="W47" s="2"/>
      <c r="X47" s="2">
        <f t="shared" si="2"/>
        <v>1583841.53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--10952.82</f>
        <v>10952.82</v>
      </c>
      <c r="E48" s="2"/>
      <c r="F48" s="19"/>
      <c r="G48" s="2"/>
      <c r="H48" s="2"/>
      <c r="I48" s="2"/>
      <c r="J48" s="19"/>
      <c r="K48" s="2"/>
      <c r="L48" s="2">
        <f t="shared" si="0"/>
        <v>10952.82</v>
      </c>
      <c r="M48" s="2"/>
      <c r="N48" s="19">
        <f t="shared" si="1"/>
        <v>0</v>
      </c>
      <c r="O48" s="11"/>
      <c r="P48" s="2">
        <f>--96131.44</f>
        <v>96131.44</v>
      </c>
      <c r="Q48" s="2"/>
      <c r="R48" s="19"/>
      <c r="S48" s="2"/>
      <c r="T48" s="2"/>
      <c r="U48" s="2"/>
      <c r="V48" s="19"/>
      <c r="W48" s="2"/>
      <c r="X48" s="2">
        <f t="shared" si="2"/>
        <v>96131.44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--149.99</f>
        <v>149.99</v>
      </c>
      <c r="E50" s="2"/>
      <c r="F50" s="19"/>
      <c r="G50" s="2"/>
      <c r="H50" s="2"/>
      <c r="I50" s="2"/>
      <c r="J50" s="19"/>
      <c r="K50" s="2"/>
      <c r="L50" s="2">
        <f t="shared" si="0"/>
        <v>149.99</v>
      </c>
      <c r="M50" s="2"/>
      <c r="N50" s="19">
        <f t="shared" si="1"/>
        <v>0</v>
      </c>
      <c r="O50" s="11"/>
      <c r="P50" s="2">
        <f>--4557.93</f>
        <v>4557.93</v>
      </c>
      <c r="Q50" s="2"/>
      <c r="R50" s="19"/>
      <c r="S50" s="2"/>
      <c r="T50" s="2"/>
      <c r="U50" s="2"/>
      <c r="V50" s="19"/>
      <c r="W50" s="2"/>
      <c r="X50" s="2">
        <f t="shared" si="2"/>
        <v>4557.93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--5885.2</f>
        <v>5885.2</v>
      </c>
      <c r="E51" s="2"/>
      <c r="F51" s="19"/>
      <c r="G51" s="2"/>
      <c r="H51" s="2"/>
      <c r="I51" s="2"/>
      <c r="J51" s="19"/>
      <c r="K51" s="2"/>
      <c r="L51" s="2">
        <f t="shared" si="0"/>
        <v>5885.2</v>
      </c>
      <c r="M51" s="2"/>
      <c r="N51" s="19">
        <f t="shared" si="1"/>
        <v>0</v>
      </c>
      <c r="O51" s="11"/>
      <c r="P51" s="2">
        <f>--47022.07</f>
        <v>47022.07</v>
      </c>
      <c r="Q51" s="2"/>
      <c r="R51" s="19"/>
      <c r="S51" s="2"/>
      <c r="T51" s="2"/>
      <c r="U51" s="2"/>
      <c r="V51" s="19"/>
      <c r="W51" s="2"/>
      <c r="X51" s="2">
        <f t="shared" si="2"/>
        <v>47022.07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--38.96</f>
        <v>38.96</v>
      </c>
      <c r="E52" s="2"/>
      <c r="F52" s="19"/>
      <c r="G52" s="2"/>
      <c r="H52" s="2"/>
      <c r="I52" s="2"/>
      <c r="J52" s="19"/>
      <c r="K52" s="2"/>
      <c r="L52" s="2">
        <f t="shared" si="0"/>
        <v>38.96</v>
      </c>
      <c r="M52" s="2"/>
      <c r="N52" s="19">
        <f t="shared" si="1"/>
        <v>0</v>
      </c>
      <c r="O52" s="11"/>
      <c r="P52" s="2">
        <f>--1094.84</f>
        <v>1094.8399999999999</v>
      </c>
      <c r="Q52" s="2"/>
      <c r="R52" s="19"/>
      <c r="S52" s="2"/>
      <c r="T52" s="2"/>
      <c r="U52" s="2"/>
      <c r="V52" s="19"/>
      <c r="W52" s="2"/>
      <c r="X52" s="2">
        <f t="shared" si="2"/>
        <v>1094.8399999999999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 t="shared" ref="D53:D54" si="4"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--7659.37</f>
        <v>7659.37</v>
      </c>
      <c r="Q53" s="2"/>
      <c r="R53" s="19"/>
      <c r="S53" s="2"/>
      <c r="T53" s="2"/>
      <c r="U53" s="2"/>
      <c r="V53" s="19"/>
      <c r="W53" s="2"/>
      <c r="X53" s="2">
        <f t="shared" si="2"/>
        <v>7659.37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 t="shared" si="4"/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--309.26</f>
        <v>309.26</v>
      </c>
      <c r="Q54" s="2"/>
      <c r="R54" s="19"/>
      <c r="S54" s="2"/>
      <c r="T54" s="2"/>
      <c r="U54" s="2"/>
      <c r="V54" s="19"/>
      <c r="W54" s="2"/>
      <c r="X54" s="2">
        <f t="shared" si="2"/>
        <v>309.26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--167054.96</f>
        <v>167054.96</v>
      </c>
      <c r="E55" s="2"/>
      <c r="F55" s="19"/>
      <c r="G55" s="2"/>
      <c r="H55" s="2">
        <v>2287065</v>
      </c>
      <c r="I55" s="2"/>
      <c r="J55" s="19"/>
      <c r="K55" s="2"/>
      <c r="L55" s="2">
        <f t="shared" si="0"/>
        <v>-2120010.04</v>
      </c>
      <c r="M55" s="2"/>
      <c r="N55" s="19">
        <f t="shared" si="1"/>
        <v>-0.9269566190729166</v>
      </c>
      <c r="O55" s="11"/>
      <c r="P55" s="2">
        <f>--908920.12</f>
        <v>908920.12</v>
      </c>
      <c r="Q55" s="2"/>
      <c r="R55" s="19"/>
      <c r="S55" s="2"/>
      <c r="T55" s="2">
        <v>18242259</v>
      </c>
      <c r="U55" s="2"/>
      <c r="V55" s="19"/>
      <c r="W55" s="2"/>
      <c r="X55" s="2">
        <f t="shared" si="2"/>
        <v>-17333338.879999999</v>
      </c>
      <c r="Y55" s="2"/>
      <c r="Z55" s="19">
        <f t="shared" si="3"/>
        <v>-0.95017502382791508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--7332.54</f>
        <v>7332.54</v>
      </c>
      <c r="E56" s="2"/>
      <c r="F56" s="19"/>
      <c r="G56" s="2"/>
      <c r="H56" s="2"/>
      <c r="I56" s="2"/>
      <c r="J56" s="19"/>
      <c r="K56" s="2"/>
      <c r="L56" s="2">
        <f t="shared" si="0"/>
        <v>7332.54</v>
      </c>
      <c r="M56" s="2"/>
      <c r="N56" s="19">
        <f t="shared" si="1"/>
        <v>0</v>
      </c>
      <c r="O56" s="11"/>
      <c r="P56" s="2">
        <f>--139737.77</f>
        <v>139737.76999999999</v>
      </c>
      <c r="Q56" s="2"/>
      <c r="R56" s="19"/>
      <c r="S56" s="2"/>
      <c r="T56" s="2"/>
      <c r="U56" s="2"/>
      <c r="V56" s="19"/>
      <c r="W56" s="2"/>
      <c r="X56" s="2">
        <f t="shared" si="2"/>
        <v>139737.76999999999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--1850.06</f>
        <v>1850.06</v>
      </c>
      <c r="E57" s="2"/>
      <c r="F57" s="19"/>
      <c r="G57" s="2"/>
      <c r="H57" s="2"/>
      <c r="I57" s="2"/>
      <c r="J57" s="19"/>
      <c r="K57" s="2"/>
      <c r="L57" s="2">
        <f t="shared" si="0"/>
        <v>1850.06</v>
      </c>
      <c r="M57" s="2"/>
      <c r="N57" s="19">
        <f t="shared" si="1"/>
        <v>0</v>
      </c>
      <c r="O57" s="11"/>
      <c r="P57" s="2">
        <f>--68466.86</f>
        <v>68466.86</v>
      </c>
      <c r="Q57" s="2"/>
      <c r="R57" s="19"/>
      <c r="S57" s="2"/>
      <c r="T57" s="2"/>
      <c r="U57" s="2"/>
      <c r="V57" s="19"/>
      <c r="W57" s="2"/>
      <c r="X57" s="2">
        <f t="shared" si="2"/>
        <v>68466.86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--664.97</f>
        <v>664.97</v>
      </c>
      <c r="Q58" s="2"/>
      <c r="R58" s="19"/>
      <c r="S58" s="2"/>
      <c r="T58" s="2"/>
      <c r="U58" s="2"/>
      <c r="V58" s="19"/>
      <c r="W58" s="2"/>
      <c r="X58" s="2">
        <f t="shared" si="2"/>
        <v>664.97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--21322.38</f>
        <v>21322.38</v>
      </c>
      <c r="E59" s="2"/>
      <c r="F59" s="19"/>
      <c r="G59" s="2"/>
      <c r="H59" s="2"/>
      <c r="I59" s="2"/>
      <c r="J59" s="19"/>
      <c r="K59" s="2"/>
      <c r="L59" s="2">
        <f t="shared" si="0"/>
        <v>21322.38</v>
      </c>
      <c r="M59" s="2"/>
      <c r="N59" s="19">
        <f t="shared" si="1"/>
        <v>0</v>
      </c>
      <c r="O59" s="11"/>
      <c r="P59" s="2">
        <f>--523390.34</f>
        <v>523390.34</v>
      </c>
      <c r="Q59" s="2"/>
      <c r="R59" s="19"/>
      <c r="S59" s="2"/>
      <c r="T59" s="2"/>
      <c r="U59" s="2"/>
      <c r="V59" s="19"/>
      <c r="W59" s="2"/>
      <c r="X59" s="2">
        <f t="shared" si="2"/>
        <v>523390.34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--1651.49</f>
        <v>1651.49</v>
      </c>
      <c r="E60" s="2"/>
      <c r="F60" s="19"/>
      <c r="G60" s="2"/>
      <c r="H60" s="2"/>
      <c r="I60" s="2"/>
      <c r="J60" s="19"/>
      <c r="K60" s="2"/>
      <c r="L60" s="2">
        <f t="shared" si="0"/>
        <v>1651.49</v>
      </c>
      <c r="M60" s="2"/>
      <c r="N60" s="19">
        <f t="shared" si="1"/>
        <v>0</v>
      </c>
      <c r="O60" s="11"/>
      <c r="P60" s="2">
        <f>--14359.99</f>
        <v>14359.99</v>
      </c>
      <c r="Q60" s="2"/>
      <c r="R60" s="19"/>
      <c r="S60" s="2"/>
      <c r="T60" s="2"/>
      <c r="U60" s="2"/>
      <c r="V60" s="19"/>
      <c r="W60" s="2"/>
      <c r="X60" s="2">
        <f t="shared" si="2"/>
        <v>14359.99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--2215.2</f>
        <v>2215.1999999999998</v>
      </c>
      <c r="E61" s="2"/>
      <c r="F61" s="19"/>
      <c r="G61" s="2"/>
      <c r="H61" s="2"/>
      <c r="I61" s="2"/>
      <c r="J61" s="19"/>
      <c r="K61" s="2"/>
      <c r="L61" s="2">
        <f t="shared" si="0"/>
        <v>2215.1999999999998</v>
      </c>
      <c r="M61" s="2"/>
      <c r="N61" s="19">
        <f t="shared" si="1"/>
        <v>0</v>
      </c>
      <c r="O61" s="11"/>
      <c r="P61" s="2">
        <f>--3361.92</f>
        <v>3361.92</v>
      </c>
      <c r="Q61" s="2"/>
      <c r="R61" s="19"/>
      <c r="S61" s="2"/>
      <c r="T61" s="2"/>
      <c r="U61" s="2"/>
      <c r="V61" s="19"/>
      <c r="W61" s="2"/>
      <c r="X61" s="2">
        <f t="shared" si="2"/>
        <v>3361.92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--19.99</f>
        <v>19.989999999999998</v>
      </c>
      <c r="E62" s="2"/>
      <c r="F62" s="19"/>
      <c r="G62" s="2"/>
      <c r="H62" s="2"/>
      <c r="I62" s="2"/>
      <c r="J62" s="19"/>
      <c r="K62" s="2"/>
      <c r="L62" s="2">
        <f t="shared" si="0"/>
        <v>19.989999999999998</v>
      </c>
      <c r="M62" s="2"/>
      <c r="N62" s="19">
        <f t="shared" si="1"/>
        <v>0</v>
      </c>
      <c r="O62" s="11"/>
      <c r="P62" s="2">
        <f>--61.9</f>
        <v>61.9</v>
      </c>
      <c r="Q62" s="2"/>
      <c r="R62" s="19"/>
      <c r="S62" s="2"/>
      <c r="T62" s="2"/>
      <c r="U62" s="2"/>
      <c r="V62" s="19"/>
      <c r="W62" s="2"/>
      <c r="X62" s="2">
        <f t="shared" si="2"/>
        <v>61.9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--40.39</f>
        <v>40.39</v>
      </c>
      <c r="E63" s="2"/>
      <c r="F63" s="19"/>
      <c r="G63" s="2"/>
      <c r="H63" s="2"/>
      <c r="I63" s="2"/>
      <c r="J63" s="19"/>
      <c r="K63" s="2"/>
      <c r="L63" s="2">
        <f t="shared" si="0"/>
        <v>40.39</v>
      </c>
      <c r="M63" s="2"/>
      <c r="N63" s="19">
        <f t="shared" si="1"/>
        <v>0</v>
      </c>
      <c r="O63" s="11"/>
      <c r="P63" s="2">
        <f>--263.07</f>
        <v>263.07</v>
      </c>
      <c r="Q63" s="2"/>
      <c r="R63" s="19"/>
      <c r="S63" s="2"/>
      <c r="T63" s="2"/>
      <c r="U63" s="2"/>
      <c r="V63" s="19"/>
      <c r="W63" s="2"/>
      <c r="X63" s="2">
        <f t="shared" si="2"/>
        <v>263.07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--349.94</f>
        <v>349.94</v>
      </c>
      <c r="E64" s="2"/>
      <c r="F64" s="19"/>
      <c r="G64" s="2"/>
      <c r="H64" s="2"/>
      <c r="I64" s="2"/>
      <c r="J64" s="19"/>
      <c r="K64" s="2"/>
      <c r="L64" s="2">
        <f t="shared" si="0"/>
        <v>349.94</v>
      </c>
      <c r="M64" s="2"/>
      <c r="N64" s="19">
        <f t="shared" si="1"/>
        <v>0</v>
      </c>
      <c r="O64" s="11"/>
      <c r="P64" s="2">
        <f>--2906.58</f>
        <v>2906.58</v>
      </c>
      <c r="Q64" s="2"/>
      <c r="R64" s="19"/>
      <c r="S64" s="2"/>
      <c r="T64" s="2"/>
      <c r="U64" s="2"/>
      <c r="V64" s="19"/>
      <c r="W64" s="2"/>
      <c r="X64" s="2">
        <f t="shared" si="2"/>
        <v>2906.58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--527.81</f>
        <v>527.80999999999995</v>
      </c>
      <c r="E65" s="2"/>
      <c r="F65" s="19"/>
      <c r="G65" s="2"/>
      <c r="H65" s="2"/>
      <c r="I65" s="2"/>
      <c r="J65" s="19"/>
      <c r="K65" s="2"/>
      <c r="L65" s="2">
        <f t="shared" si="0"/>
        <v>527.80999999999995</v>
      </c>
      <c r="M65" s="2"/>
      <c r="N65" s="19">
        <f t="shared" si="1"/>
        <v>0</v>
      </c>
      <c r="O65" s="11"/>
      <c r="P65" s="2">
        <f>--4662.41</f>
        <v>4662.41</v>
      </c>
      <c r="Q65" s="2"/>
      <c r="R65" s="19"/>
      <c r="S65" s="2"/>
      <c r="T65" s="2"/>
      <c r="U65" s="2"/>
      <c r="V65" s="19"/>
      <c r="W65" s="2"/>
      <c r="X65" s="2">
        <f t="shared" si="2"/>
        <v>4662.41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--147.48</f>
        <v>147.47999999999999</v>
      </c>
      <c r="E66" s="2"/>
      <c r="F66" s="19"/>
      <c r="G66" s="2"/>
      <c r="H66" s="2"/>
      <c r="I66" s="2"/>
      <c r="J66" s="19"/>
      <c r="K66" s="2"/>
      <c r="L66" s="2">
        <f t="shared" si="0"/>
        <v>147.47999999999999</v>
      </c>
      <c r="M66" s="2"/>
      <c r="N66" s="19">
        <f t="shared" si="1"/>
        <v>0</v>
      </c>
      <c r="O66" s="11"/>
      <c r="P66" s="2">
        <f>--678.5</f>
        <v>678.5</v>
      </c>
      <c r="Q66" s="2"/>
      <c r="R66" s="19"/>
      <c r="S66" s="2"/>
      <c r="T66" s="2"/>
      <c r="U66" s="2"/>
      <c r="V66" s="19"/>
      <c r="W66" s="2"/>
      <c r="X66" s="2">
        <f t="shared" si="2"/>
        <v>678.5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--10371.21</f>
        <v>10371.209999999999</v>
      </c>
      <c r="E67" s="2"/>
      <c r="F67" s="19"/>
      <c r="G67" s="2"/>
      <c r="H67" s="2"/>
      <c r="I67" s="2"/>
      <c r="J67" s="19"/>
      <c r="K67" s="2"/>
      <c r="L67" s="2">
        <f t="shared" si="0"/>
        <v>10371.209999999999</v>
      </c>
      <c r="M67" s="2"/>
      <c r="N67" s="19">
        <f t="shared" si="1"/>
        <v>0</v>
      </c>
      <c r="O67" s="11"/>
      <c r="P67" s="2">
        <f>--53401.55</f>
        <v>53401.55</v>
      </c>
      <c r="Q67" s="2"/>
      <c r="R67" s="19"/>
      <c r="S67" s="2"/>
      <c r="T67" s="2"/>
      <c r="U67" s="2"/>
      <c r="V67" s="19"/>
      <c r="W67" s="2"/>
      <c r="X67" s="2">
        <f t="shared" si="2"/>
        <v>53401.55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--187926.1</f>
        <v>187926.1</v>
      </c>
      <c r="E68" s="2"/>
      <c r="F68" s="19"/>
      <c r="G68" s="2"/>
      <c r="H68" s="2"/>
      <c r="I68" s="2"/>
      <c r="J68" s="19"/>
      <c r="K68" s="2"/>
      <c r="L68" s="2">
        <f t="shared" si="0"/>
        <v>187926.1</v>
      </c>
      <c r="M68" s="2"/>
      <c r="N68" s="19">
        <f t="shared" si="1"/>
        <v>0</v>
      </c>
      <c r="O68" s="11"/>
      <c r="P68" s="2">
        <f>--1030657.83</f>
        <v>1030657.83</v>
      </c>
      <c r="Q68" s="2"/>
      <c r="R68" s="19"/>
      <c r="S68" s="2"/>
      <c r="T68" s="2"/>
      <c r="U68" s="2"/>
      <c r="V68" s="19"/>
      <c r="W68" s="2"/>
      <c r="X68" s="2">
        <f t="shared" si="2"/>
        <v>1030657.83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--3264.8</f>
        <v>3264.8</v>
      </c>
      <c r="E69" s="2"/>
      <c r="F69" s="19"/>
      <c r="G69" s="2"/>
      <c r="H69" s="2"/>
      <c r="I69" s="2"/>
      <c r="J69" s="19"/>
      <c r="K69" s="2"/>
      <c r="L69" s="2">
        <f t="shared" si="0"/>
        <v>3264.8</v>
      </c>
      <c r="M69" s="2"/>
      <c r="N69" s="19">
        <f t="shared" si="1"/>
        <v>0</v>
      </c>
      <c r="O69" s="11"/>
      <c r="P69" s="2">
        <f>--16824.57</f>
        <v>16824.57</v>
      </c>
      <c r="Q69" s="2"/>
      <c r="R69" s="19"/>
      <c r="S69" s="2"/>
      <c r="T69" s="2"/>
      <c r="U69" s="2"/>
      <c r="V69" s="19"/>
      <c r="W69" s="2"/>
      <c r="X69" s="2">
        <f t="shared" si="2"/>
        <v>16824.57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--1.89</f>
        <v>1.89</v>
      </c>
      <c r="E70" s="2"/>
      <c r="F70" s="19"/>
      <c r="G70" s="2"/>
      <c r="H70" s="2"/>
      <c r="I70" s="2"/>
      <c r="J70" s="19"/>
      <c r="K70" s="2"/>
      <c r="L70" s="2">
        <f t="shared" si="0"/>
        <v>1.89</v>
      </c>
      <c r="M70" s="2"/>
      <c r="N70" s="19">
        <f t="shared" si="1"/>
        <v>0</v>
      </c>
      <c r="O70" s="11"/>
      <c r="P70" s="2">
        <f>--10.3</f>
        <v>10.3</v>
      </c>
      <c r="Q70" s="2"/>
      <c r="R70" s="19"/>
      <c r="S70" s="2"/>
      <c r="T70" s="2"/>
      <c r="U70" s="2"/>
      <c r="V70" s="19"/>
      <c r="W70" s="2"/>
      <c r="X70" s="2">
        <f t="shared" si="2"/>
        <v>10.3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--21.54</f>
        <v>21.54</v>
      </c>
      <c r="E71" s="2"/>
      <c r="F71" s="19"/>
      <c r="G71" s="2"/>
      <c r="H71" s="2"/>
      <c r="I71" s="2"/>
      <c r="J71" s="19"/>
      <c r="K71" s="2"/>
      <c r="L71" s="2">
        <f t="shared" si="0"/>
        <v>21.54</v>
      </c>
      <c r="M71" s="2"/>
      <c r="N71" s="19">
        <f t="shared" si="1"/>
        <v>0</v>
      </c>
      <c r="O71" s="11"/>
      <c r="P71" s="2">
        <f>--161.4</f>
        <v>161.4</v>
      </c>
      <c r="Q71" s="2"/>
      <c r="R71" s="19"/>
      <c r="S71" s="2"/>
      <c r="T71" s="2"/>
      <c r="U71" s="2"/>
      <c r="V71" s="19"/>
      <c r="W71" s="2"/>
      <c r="X71" s="2">
        <f t="shared" si="2"/>
        <v>161.4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--1528.71</f>
        <v>1528.71</v>
      </c>
      <c r="E72" s="2"/>
      <c r="F72" s="19"/>
      <c r="G72" s="2"/>
      <c r="H72" s="2"/>
      <c r="I72" s="2"/>
      <c r="J72" s="19"/>
      <c r="K72" s="2"/>
      <c r="L72" s="2">
        <f t="shared" si="0"/>
        <v>1528.71</v>
      </c>
      <c r="M72" s="2"/>
      <c r="N72" s="19">
        <f t="shared" si="1"/>
        <v>0</v>
      </c>
      <c r="O72" s="11"/>
      <c r="P72" s="2">
        <f>--9360.45</f>
        <v>9360.4500000000007</v>
      </c>
      <c r="Q72" s="2"/>
      <c r="R72" s="19"/>
      <c r="S72" s="2"/>
      <c r="T72" s="2"/>
      <c r="U72" s="2"/>
      <c r="V72" s="19"/>
      <c r="W72" s="2"/>
      <c r="X72" s="2">
        <f t="shared" si="2"/>
        <v>9360.4500000000007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--42582.67</f>
        <v>42582.67</v>
      </c>
      <c r="Q73" s="2"/>
      <c r="R73" s="19"/>
      <c r="S73" s="2"/>
      <c r="T73" s="2"/>
      <c r="U73" s="2"/>
      <c r="V73" s="19"/>
      <c r="W73" s="2"/>
      <c r="X73" s="2">
        <f t="shared" si="2"/>
        <v>42582.67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--6423.17</f>
        <v>6423.17</v>
      </c>
      <c r="E74" s="2"/>
      <c r="F74" s="19"/>
      <c r="G74" s="2"/>
      <c r="H74" s="2"/>
      <c r="I74" s="2"/>
      <c r="J74" s="19"/>
      <c r="K74" s="2"/>
      <c r="L74" s="2">
        <f t="shared" si="0"/>
        <v>6423.17</v>
      </c>
      <c r="M74" s="2"/>
      <c r="N74" s="19">
        <f t="shared" si="1"/>
        <v>0</v>
      </c>
      <c r="O74" s="11"/>
      <c r="P74" s="2">
        <f>--10672.17</f>
        <v>10672.17</v>
      </c>
      <c r="Q74" s="2"/>
      <c r="R74" s="19"/>
      <c r="S74" s="2"/>
      <c r="T74" s="2"/>
      <c r="U74" s="2"/>
      <c r="V74" s="19"/>
      <c r="W74" s="2"/>
      <c r="X74" s="2">
        <f t="shared" si="2"/>
        <v>10672.17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--1257.56</f>
        <v>1257.56</v>
      </c>
      <c r="E75" s="2"/>
      <c r="F75" s="19"/>
      <c r="G75" s="2"/>
      <c r="H75" s="2"/>
      <c r="I75" s="2"/>
      <c r="J75" s="19"/>
      <c r="K75" s="2"/>
      <c r="L75" s="2">
        <f t="shared" si="0"/>
        <v>1257.56</v>
      </c>
      <c r="M75" s="2"/>
      <c r="N75" s="19">
        <f t="shared" si="1"/>
        <v>0</v>
      </c>
      <c r="O75" s="11"/>
      <c r="P75" s="2">
        <f>--13692.85</f>
        <v>13692.85</v>
      </c>
      <c r="Q75" s="2"/>
      <c r="R75" s="19"/>
      <c r="S75" s="2"/>
      <c r="T75" s="2"/>
      <c r="U75" s="2"/>
      <c r="V75" s="19"/>
      <c r="W75" s="2"/>
      <c r="X75" s="2">
        <f t="shared" si="2"/>
        <v>13692.85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--9.99</f>
        <v>9.99</v>
      </c>
      <c r="E76" s="2"/>
      <c r="F76" s="19"/>
      <c r="G76" s="2"/>
      <c r="H76" s="2"/>
      <c r="I76" s="2"/>
      <c r="J76" s="19"/>
      <c r="K76" s="2"/>
      <c r="L76" s="2">
        <f t="shared" si="0"/>
        <v>9.99</v>
      </c>
      <c r="M76" s="2"/>
      <c r="N76" s="19">
        <f t="shared" si="1"/>
        <v>0</v>
      </c>
      <c r="O76" s="11"/>
      <c r="P76" s="2">
        <f>--9.99</f>
        <v>9.99</v>
      </c>
      <c r="Q76" s="2"/>
      <c r="R76" s="19"/>
      <c r="S76" s="2"/>
      <c r="T76" s="2"/>
      <c r="U76" s="2"/>
      <c r="V76" s="19"/>
      <c r="W76" s="2"/>
      <c r="X76" s="2">
        <f t="shared" si="2"/>
        <v>9.99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--922.94</f>
        <v>922.94</v>
      </c>
      <c r="E77" s="2"/>
      <c r="F77" s="19"/>
      <c r="G77" s="2"/>
      <c r="H77" s="2"/>
      <c r="I77" s="2"/>
      <c r="J77" s="19"/>
      <c r="K77" s="2"/>
      <c r="L77" s="2">
        <f t="shared" si="0"/>
        <v>922.94</v>
      </c>
      <c r="M77" s="2"/>
      <c r="N77" s="19">
        <f t="shared" si="1"/>
        <v>0</v>
      </c>
      <c r="O77" s="11"/>
      <c r="P77" s="2">
        <f>--1890.27</f>
        <v>1890.27</v>
      </c>
      <c r="Q77" s="2"/>
      <c r="R77" s="19"/>
      <c r="S77" s="2"/>
      <c r="T77" s="2"/>
      <c r="U77" s="2"/>
      <c r="V77" s="19"/>
      <c r="W77" s="2"/>
      <c r="X77" s="2">
        <f t="shared" si="2"/>
        <v>1890.27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--140</f>
        <v>140</v>
      </c>
      <c r="Q78" s="2"/>
      <c r="R78" s="19"/>
      <c r="S78" s="2"/>
      <c r="T78" s="2"/>
      <c r="U78" s="2"/>
      <c r="V78" s="19"/>
      <c r="W78" s="2"/>
      <c r="X78" s="2">
        <f t="shared" si="2"/>
        <v>140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--28849.25</f>
        <v>28849.25</v>
      </c>
      <c r="E79" s="2"/>
      <c r="F79" s="19"/>
      <c r="G79" s="2"/>
      <c r="H79" s="2"/>
      <c r="I79" s="2"/>
      <c r="J79" s="19"/>
      <c r="K79" s="2"/>
      <c r="L79" s="2">
        <f t="shared" si="0"/>
        <v>28849.25</v>
      </c>
      <c r="M79" s="2"/>
      <c r="N79" s="19">
        <f t="shared" si="1"/>
        <v>0</v>
      </c>
      <c r="O79" s="11"/>
      <c r="P79" s="2">
        <f>--192403.75</f>
        <v>192403.75</v>
      </c>
      <c r="Q79" s="2"/>
      <c r="R79" s="19"/>
      <c r="S79" s="2"/>
      <c r="T79" s="2"/>
      <c r="U79" s="2"/>
      <c r="V79" s="19"/>
      <c r="W79" s="2"/>
      <c r="X79" s="2">
        <f t="shared" si="2"/>
        <v>192403.75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--2183.94</f>
        <v>2183.94</v>
      </c>
      <c r="E80" s="2"/>
      <c r="F80" s="19"/>
      <c r="G80" s="2"/>
      <c r="H80" s="2"/>
      <c r="I80" s="2"/>
      <c r="J80" s="19"/>
      <c r="K80" s="2"/>
      <c r="L80" s="2">
        <f t="shared" si="0"/>
        <v>2183.94</v>
      </c>
      <c r="M80" s="2"/>
      <c r="N80" s="19">
        <f t="shared" si="1"/>
        <v>0</v>
      </c>
      <c r="O80" s="11"/>
      <c r="P80" s="2">
        <f>--2502.84</f>
        <v>2502.84</v>
      </c>
      <c r="Q80" s="2"/>
      <c r="R80" s="19"/>
      <c r="S80" s="2"/>
      <c r="T80" s="2"/>
      <c r="U80" s="2"/>
      <c r="V80" s="19"/>
      <c r="W80" s="2"/>
      <c r="X80" s="2">
        <f t="shared" si="2"/>
        <v>2502.84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--1654803.69</f>
        <v>1654803.69</v>
      </c>
      <c r="E81" s="2"/>
      <c r="F81" s="19"/>
      <c r="G81" s="2"/>
      <c r="H81" s="2"/>
      <c r="I81" s="2"/>
      <c r="J81" s="19"/>
      <c r="K81" s="2"/>
      <c r="L81" s="2">
        <f t="shared" si="0"/>
        <v>1654803.69</v>
      </c>
      <c r="M81" s="2"/>
      <c r="N81" s="19">
        <f t="shared" si="1"/>
        <v>0</v>
      </c>
      <c r="O81" s="11"/>
      <c r="P81" s="2">
        <f>--9787324.7</f>
        <v>9787324.6999999993</v>
      </c>
      <c r="Q81" s="2"/>
      <c r="R81" s="19"/>
      <c r="S81" s="2"/>
      <c r="T81" s="2"/>
      <c r="U81" s="2"/>
      <c r="V81" s="19"/>
      <c r="W81" s="2"/>
      <c r="X81" s="2">
        <f t="shared" si="2"/>
        <v>9787324.6999999993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--8298.17</f>
        <v>8298.17</v>
      </c>
      <c r="E82" s="2"/>
      <c r="F82" s="19"/>
      <c r="G82" s="2"/>
      <c r="H82" s="2"/>
      <c r="I82" s="2"/>
      <c r="J82" s="19"/>
      <c r="K82" s="2"/>
      <c r="L82" s="2">
        <f t="shared" si="0"/>
        <v>8298.17</v>
      </c>
      <c r="M82" s="2"/>
      <c r="N82" s="19">
        <f t="shared" si="1"/>
        <v>0</v>
      </c>
      <c r="O82" s="11"/>
      <c r="P82" s="2">
        <f>--47727.07</f>
        <v>47727.07</v>
      </c>
      <c r="Q82" s="2"/>
      <c r="R82" s="19"/>
      <c r="S82" s="2"/>
      <c r="T82" s="2"/>
      <c r="U82" s="2"/>
      <c r="V82" s="19"/>
      <c r="W82" s="2"/>
      <c r="X82" s="2">
        <f t="shared" si="2"/>
        <v>47727.07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--25040.14</f>
        <v>25040.14</v>
      </c>
      <c r="E83" s="2"/>
      <c r="F83" s="19"/>
      <c r="G83" s="2"/>
      <c r="H83" s="2"/>
      <c r="I83" s="2"/>
      <c r="J83" s="19"/>
      <c r="K83" s="2"/>
      <c r="L83" s="2">
        <f t="shared" si="0"/>
        <v>25040.14</v>
      </c>
      <c r="M83" s="2"/>
      <c r="N83" s="19">
        <f t="shared" si="1"/>
        <v>0</v>
      </c>
      <c r="O83" s="11"/>
      <c r="P83" s="2">
        <f>--301979.93</f>
        <v>301979.93</v>
      </c>
      <c r="Q83" s="2"/>
      <c r="R83" s="19"/>
      <c r="S83" s="2"/>
      <c r="T83" s="2"/>
      <c r="U83" s="2"/>
      <c r="V83" s="19"/>
      <c r="W83" s="2"/>
      <c r="X83" s="2">
        <f t="shared" si="2"/>
        <v>301979.93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>--100290.43</f>
        <v>100290.43</v>
      </c>
      <c r="E84" s="2"/>
      <c r="F84" s="19"/>
      <c r="G84" s="2"/>
      <c r="H84" s="2"/>
      <c r="I84" s="2"/>
      <c r="J84" s="19"/>
      <c r="K84" s="2"/>
      <c r="L84" s="2">
        <f t="shared" si="0"/>
        <v>100290.43</v>
      </c>
      <c r="M84" s="2"/>
      <c r="N84" s="19">
        <f t="shared" si="1"/>
        <v>0</v>
      </c>
      <c r="O84" s="11"/>
      <c r="P84" s="2">
        <f>--647185.49</f>
        <v>647185.49</v>
      </c>
      <c r="Q84" s="2"/>
      <c r="R84" s="19"/>
      <c r="S84" s="2"/>
      <c r="T84" s="2"/>
      <c r="U84" s="2"/>
      <c r="V84" s="19"/>
      <c r="W84" s="2"/>
      <c r="X84" s="2">
        <f t="shared" si="2"/>
        <v>647185.49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>--78257.13</f>
        <v>78257.13</v>
      </c>
      <c r="E85" s="2"/>
      <c r="F85" s="19"/>
      <c r="G85" s="2"/>
      <c r="H85" s="2"/>
      <c r="I85" s="2"/>
      <c r="J85" s="19"/>
      <c r="K85" s="2"/>
      <c r="L85" s="2">
        <f t="shared" si="0"/>
        <v>78257.13</v>
      </c>
      <c r="M85" s="2"/>
      <c r="N85" s="19">
        <f t="shared" si="1"/>
        <v>0</v>
      </c>
      <c r="O85" s="11"/>
      <c r="P85" s="2">
        <f>--441393.78</f>
        <v>441393.78</v>
      </c>
      <c r="Q85" s="2"/>
      <c r="R85" s="19"/>
      <c r="S85" s="2"/>
      <c r="T85" s="2"/>
      <c r="U85" s="2"/>
      <c r="V85" s="19"/>
      <c r="W85" s="2"/>
      <c r="X85" s="2">
        <f t="shared" si="2"/>
        <v>441393.78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--257.96</f>
        <v>257.95999999999998</v>
      </c>
      <c r="E86" s="2"/>
      <c r="F86" s="19"/>
      <c r="G86" s="2"/>
      <c r="H86" s="2"/>
      <c r="I86" s="2"/>
      <c r="J86" s="19"/>
      <c r="K86" s="2"/>
      <c r="L86" s="2">
        <f t="shared" si="0"/>
        <v>257.95999999999998</v>
      </c>
      <c r="M86" s="2"/>
      <c r="N86" s="19">
        <f t="shared" si="1"/>
        <v>0</v>
      </c>
      <c r="O86" s="11"/>
      <c r="P86" s="2">
        <f>--2064.38</f>
        <v>2064.38</v>
      </c>
      <c r="Q86" s="2"/>
      <c r="R86" s="19"/>
      <c r="S86" s="2"/>
      <c r="T86" s="2"/>
      <c r="U86" s="2"/>
      <c r="V86" s="19"/>
      <c r="W86" s="2"/>
      <c r="X86" s="2">
        <f t="shared" si="2"/>
        <v>2064.38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--10906.99</f>
        <v>10906.99</v>
      </c>
      <c r="E87" s="2"/>
      <c r="F87" s="19"/>
      <c r="G87" s="2"/>
      <c r="H87" s="2"/>
      <c r="I87" s="2"/>
      <c r="J87" s="19"/>
      <c r="K87" s="2"/>
      <c r="L87" s="2">
        <f t="shared" si="0"/>
        <v>10906.99</v>
      </c>
      <c r="M87" s="2"/>
      <c r="N87" s="19">
        <f t="shared" si="1"/>
        <v>0</v>
      </c>
      <c r="O87" s="11"/>
      <c r="P87" s="2">
        <f>--97878.96</f>
        <v>97878.96</v>
      </c>
      <c r="Q87" s="2"/>
      <c r="R87" s="19"/>
      <c r="S87" s="2"/>
      <c r="T87" s="2"/>
      <c r="U87" s="2"/>
      <c r="V87" s="19"/>
      <c r="W87" s="2"/>
      <c r="X87" s="2">
        <f t="shared" si="2"/>
        <v>97878.96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--1706.87</f>
        <v>1706.87</v>
      </c>
      <c r="E88" s="2"/>
      <c r="F88" s="19"/>
      <c r="G88" s="2"/>
      <c r="H88" s="2"/>
      <c r="I88" s="2"/>
      <c r="J88" s="19"/>
      <c r="K88" s="2"/>
      <c r="L88" s="2">
        <f t="shared" si="0"/>
        <v>1706.87</v>
      </c>
      <c r="M88" s="2"/>
      <c r="N88" s="19">
        <f t="shared" si="1"/>
        <v>0</v>
      </c>
      <c r="O88" s="11"/>
      <c r="P88" s="2">
        <f>--6056.31</f>
        <v>6056.31</v>
      </c>
      <c r="Q88" s="2"/>
      <c r="R88" s="19"/>
      <c r="S88" s="2"/>
      <c r="T88" s="2"/>
      <c r="U88" s="2"/>
      <c r="V88" s="19"/>
      <c r="W88" s="2"/>
      <c r="X88" s="2">
        <f t="shared" si="2"/>
        <v>6056.31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--2728</f>
        <v>2728</v>
      </c>
      <c r="Q89" s="2"/>
      <c r="R89" s="19"/>
      <c r="S89" s="2"/>
      <c r="T89" s="2"/>
      <c r="U89" s="2"/>
      <c r="V89" s="19"/>
      <c r="W89" s="2"/>
      <c r="X89" s="2">
        <f t="shared" si="2"/>
        <v>2728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--817.97</f>
        <v>817.97</v>
      </c>
      <c r="E90" s="2"/>
      <c r="F90" s="19"/>
      <c r="G90" s="2"/>
      <c r="H90" s="2"/>
      <c r="I90" s="2"/>
      <c r="J90" s="19"/>
      <c r="K90" s="2"/>
      <c r="L90" s="2">
        <f t="shared" si="0"/>
        <v>817.97</v>
      </c>
      <c r="M90" s="2"/>
      <c r="N90" s="19">
        <f t="shared" si="1"/>
        <v>0</v>
      </c>
      <c r="O90" s="11"/>
      <c r="P90" s="2">
        <f>--12145.79</f>
        <v>12145.79</v>
      </c>
      <c r="Q90" s="2"/>
      <c r="R90" s="19"/>
      <c r="S90" s="2"/>
      <c r="T90" s="2"/>
      <c r="U90" s="2"/>
      <c r="V90" s="19"/>
      <c r="W90" s="2"/>
      <c r="X90" s="2">
        <f t="shared" si="2"/>
        <v>12145.79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--519.9</f>
        <v>519.9</v>
      </c>
      <c r="E91" s="2"/>
      <c r="F91" s="19"/>
      <c r="G91" s="2"/>
      <c r="H91" s="2"/>
      <c r="I91" s="2"/>
      <c r="J91" s="19"/>
      <c r="K91" s="2"/>
      <c r="L91" s="2">
        <f t="shared" si="0"/>
        <v>519.9</v>
      </c>
      <c r="M91" s="2"/>
      <c r="N91" s="19">
        <f t="shared" si="1"/>
        <v>0</v>
      </c>
      <c r="O91" s="11"/>
      <c r="P91" s="2">
        <f>--2469.21</f>
        <v>2469.21</v>
      </c>
      <c r="Q91" s="2"/>
      <c r="R91" s="19"/>
      <c r="S91" s="2"/>
      <c r="T91" s="2"/>
      <c r="U91" s="2"/>
      <c r="V91" s="19"/>
      <c r="W91" s="2"/>
      <c r="X91" s="2">
        <f t="shared" si="2"/>
        <v>2469.21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--219.96</f>
        <v>219.96</v>
      </c>
      <c r="Q92" s="2"/>
      <c r="R92" s="19"/>
      <c r="S92" s="2"/>
      <c r="T92" s="2"/>
      <c r="U92" s="2"/>
      <c r="V92" s="19"/>
      <c r="W92" s="2"/>
      <c r="X92" s="2">
        <f t="shared" si="2"/>
        <v>219.96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-4114.56</f>
        <v>-4114.5600000000004</v>
      </c>
      <c r="E93" s="2"/>
      <c r="F93" s="19"/>
      <c r="G93" s="2"/>
      <c r="H93" s="2"/>
      <c r="I93" s="2"/>
      <c r="J93" s="19"/>
      <c r="K93" s="2"/>
      <c r="L93" s="2">
        <f t="shared" si="0"/>
        <v>-4114.5600000000004</v>
      </c>
      <c r="M93" s="2"/>
      <c r="N93" s="19">
        <f t="shared" si="1"/>
        <v>0</v>
      </c>
      <c r="O93" s="11"/>
      <c r="P93" s="2">
        <f>-120740.41</f>
        <v>-120740.41</v>
      </c>
      <c r="Q93" s="2"/>
      <c r="R93" s="19"/>
      <c r="S93" s="2"/>
      <c r="T93" s="2"/>
      <c r="U93" s="2"/>
      <c r="V93" s="19"/>
      <c r="W93" s="2"/>
      <c r="X93" s="2">
        <f t="shared" si="2"/>
        <v>-120740.41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-2008.16</f>
        <v>-2008.16</v>
      </c>
      <c r="E94" s="2"/>
      <c r="F94" s="19"/>
      <c r="G94" s="2"/>
      <c r="H94" s="2"/>
      <c r="I94" s="2"/>
      <c r="J94" s="19"/>
      <c r="K94" s="2"/>
      <c r="L94" s="2">
        <f t="shared" si="0"/>
        <v>-2008.16</v>
      </c>
      <c r="M94" s="2"/>
      <c r="N94" s="19">
        <f t="shared" si="1"/>
        <v>0</v>
      </c>
      <c r="O94" s="11"/>
      <c r="P94" s="2">
        <f>-45387.31</f>
        <v>-45387.31</v>
      </c>
      <c r="Q94" s="2"/>
      <c r="R94" s="19"/>
      <c r="S94" s="2"/>
      <c r="T94" s="2"/>
      <c r="U94" s="2"/>
      <c r="V94" s="19"/>
      <c r="W94" s="2"/>
      <c r="X94" s="2">
        <f t="shared" si="2"/>
        <v>-45387.31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-144.99</f>
        <v>-144.99</v>
      </c>
      <c r="Q95" s="2"/>
      <c r="R95" s="19"/>
      <c r="S95" s="2"/>
      <c r="T95" s="2"/>
      <c r="U95" s="2"/>
      <c r="V95" s="19"/>
      <c r="W95" s="2"/>
      <c r="X95" s="2">
        <f t="shared" si="2"/>
        <v>-144.99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>-993.89</f>
        <v>-993.89</v>
      </c>
      <c r="E96" s="2"/>
      <c r="F96" s="19"/>
      <c r="G96" s="2"/>
      <c r="H96" s="2"/>
      <c r="I96" s="2"/>
      <c r="J96" s="19"/>
      <c r="K96" s="2"/>
      <c r="L96" s="2">
        <f t="shared" si="0"/>
        <v>-993.89</v>
      </c>
      <c r="M96" s="2"/>
      <c r="N96" s="19">
        <f t="shared" si="1"/>
        <v>0</v>
      </c>
      <c r="O96" s="11"/>
      <c r="P96" s="2">
        <f>-17255.33</f>
        <v>-17255.330000000002</v>
      </c>
      <c r="Q96" s="2"/>
      <c r="R96" s="19"/>
      <c r="S96" s="2"/>
      <c r="T96" s="2"/>
      <c r="U96" s="2"/>
      <c r="V96" s="19"/>
      <c r="W96" s="2"/>
      <c r="X96" s="2">
        <f t="shared" si="2"/>
        <v>-17255.330000000002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>-103.4</f>
        <v>-103.4</v>
      </c>
      <c r="E97" s="2"/>
      <c r="F97" s="19"/>
      <c r="G97" s="2"/>
      <c r="H97" s="2"/>
      <c r="I97" s="2"/>
      <c r="J97" s="19"/>
      <c r="K97" s="2"/>
      <c r="L97" s="2">
        <f t="shared" si="0"/>
        <v>-103.4</v>
      </c>
      <c r="M97" s="2"/>
      <c r="N97" s="19">
        <f t="shared" si="1"/>
        <v>0</v>
      </c>
      <c r="O97" s="11"/>
      <c r="P97" s="2">
        <f>-220.06</f>
        <v>-220.06</v>
      </c>
      <c r="Q97" s="2"/>
      <c r="R97" s="19"/>
      <c r="S97" s="2"/>
      <c r="T97" s="2"/>
      <c r="U97" s="2"/>
      <c r="V97" s="19"/>
      <c r="W97" s="2"/>
      <c r="X97" s="2">
        <f t="shared" si="2"/>
        <v>-220.06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"4214", " - ", "SALES RETURN TAXABLE-REMAINDER")</f>
        <v xml:space="preserve">          4214 - SALES RETURN TAXABLE-REMAINDER</v>
      </c>
      <c r="C98" s="11"/>
      <c r="D98" s="2">
        <f t="shared" ref="D98:D100" si="5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-11.94</f>
        <v>-11.94</v>
      </c>
      <c r="Q98" s="2"/>
      <c r="R98" s="19"/>
      <c r="S98" s="2"/>
      <c r="T98" s="2"/>
      <c r="U98" s="2"/>
      <c r="V98" s="19"/>
      <c r="W98" s="2"/>
      <c r="X98" s="2">
        <f t="shared" si="2"/>
        <v>-11.94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"4217", " - ", "NON-TAXABLE SALES-DORM/HOUSEWA")</f>
        <v xml:space="preserve">          4217 - NON-TAXABLE SALES-DORM/HOUSEWA</v>
      </c>
      <c r="C99" s="11"/>
      <c r="D99" s="2">
        <f t="shared" si="5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-2.98</f>
        <v>-2.98</v>
      </c>
      <c r="Q99" s="2"/>
      <c r="R99" s="19"/>
      <c r="S99" s="2"/>
      <c r="T99" s="2"/>
      <c r="U99" s="2"/>
      <c r="V99" s="19"/>
      <c r="W99" s="2"/>
      <c r="X99" s="2">
        <f t="shared" si="2"/>
        <v>-2.98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"4218", " - ", "SALES RETURN TAXABLE-STUDY GUI")</f>
        <v xml:space="preserve">          4218 - SALES RETURN TAXABLE-STUDY GUI</v>
      </c>
      <c r="C100" s="11"/>
      <c r="D100" s="2">
        <f t="shared" si="5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-39.25</f>
        <v>-39.25</v>
      </c>
      <c r="Q100" s="2"/>
      <c r="R100" s="19"/>
      <c r="S100" s="2"/>
      <c r="T100" s="2"/>
      <c r="U100" s="2"/>
      <c r="V100" s="19"/>
      <c r="W100" s="2"/>
      <c r="X100" s="2">
        <f t="shared" si="2"/>
        <v>-39.25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"4225", " - ", "SALES RETURN TAXABLE-TEST FORM")</f>
        <v xml:space="preserve">          4225 - SALES RETURN TAXABLE-TEST FORM</v>
      </c>
      <c r="C101" s="11"/>
      <c r="D101" s="2">
        <f>-72.54</f>
        <v>-72.540000000000006</v>
      </c>
      <c r="E101" s="2"/>
      <c r="F101" s="19"/>
      <c r="G101" s="2"/>
      <c r="H101" s="2"/>
      <c r="I101" s="2"/>
      <c r="J101" s="19"/>
      <c r="K101" s="2"/>
      <c r="L101" s="2">
        <f t="shared" si="0"/>
        <v>-72.540000000000006</v>
      </c>
      <c r="M101" s="2"/>
      <c r="N101" s="19">
        <f t="shared" si="1"/>
        <v>0</v>
      </c>
      <c r="O101" s="11"/>
      <c r="P101" s="2">
        <f>-168.25</f>
        <v>-168.25</v>
      </c>
      <c r="Q101" s="2"/>
      <c r="R101" s="19"/>
      <c r="S101" s="2"/>
      <c r="T101" s="2"/>
      <c r="U101" s="2"/>
      <c r="V101" s="19"/>
      <c r="W101" s="2"/>
      <c r="X101" s="2">
        <f t="shared" si="2"/>
        <v>-168.25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"4226", " - ", "SALES RETURN TAXABLE-WRITING I")</f>
        <v xml:space="preserve">          4226 - SALES RETURN TAXABLE-WRITING I</v>
      </c>
      <c r="C102" s="11"/>
      <c r="D102" s="2">
        <f>-72.88</f>
        <v>-72.88</v>
      </c>
      <c r="E102" s="2"/>
      <c r="F102" s="19"/>
      <c r="G102" s="2"/>
      <c r="H102" s="2"/>
      <c r="I102" s="2"/>
      <c r="J102" s="19"/>
      <c r="K102" s="2"/>
      <c r="L102" s="2">
        <f t="shared" si="0"/>
        <v>-72.88</v>
      </c>
      <c r="M102" s="2"/>
      <c r="N102" s="19">
        <f t="shared" si="1"/>
        <v>0</v>
      </c>
      <c r="O102" s="11"/>
      <c r="P102" s="2">
        <f>-753.79</f>
        <v>-753.79</v>
      </c>
      <c r="Q102" s="2"/>
      <c r="R102" s="19"/>
      <c r="S102" s="2"/>
      <c r="T102" s="2"/>
      <c r="U102" s="2"/>
      <c r="V102" s="19"/>
      <c r="W102" s="2"/>
      <c r="X102" s="2">
        <f t="shared" si="2"/>
        <v>-753.79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"4227", " - ", "SALES RETURN TAXABLE-SCHOOL SU")</f>
        <v xml:space="preserve">          4227 - SALES RETURN TAXABLE-SCHOOL SU</v>
      </c>
      <c r="C103" s="11"/>
      <c r="D103" s="2">
        <f>-703.56</f>
        <v>-703.56</v>
      </c>
      <c r="E103" s="2"/>
      <c r="F103" s="19"/>
      <c r="G103" s="2"/>
      <c r="H103" s="2"/>
      <c r="I103" s="2"/>
      <c r="J103" s="19"/>
      <c r="K103" s="2"/>
      <c r="L103" s="2">
        <f t="shared" si="0"/>
        <v>-703.56</v>
      </c>
      <c r="M103" s="2"/>
      <c r="N103" s="19">
        <f t="shared" si="1"/>
        <v>0</v>
      </c>
      <c r="O103" s="11"/>
      <c r="P103" s="2">
        <f>-7614.42</f>
        <v>-7614.42</v>
      </c>
      <c r="Q103" s="2"/>
      <c r="R103" s="19"/>
      <c r="S103" s="2"/>
      <c r="T103" s="2"/>
      <c r="U103" s="2"/>
      <c r="V103" s="19"/>
      <c r="W103" s="2"/>
      <c r="X103" s="2">
        <f t="shared" si="2"/>
        <v>-7614.42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"4228", " - ", "SALES RETURN TAXABLE-ART/TECH")</f>
        <v xml:space="preserve">          4228 - SALES RETURN TAXABLE-ART/TECH</v>
      </c>
      <c r="C104" s="11"/>
      <c r="D104" s="2">
        <f>-685.23</f>
        <v>-685.23</v>
      </c>
      <c r="E104" s="2"/>
      <c r="F104" s="19"/>
      <c r="G104" s="2"/>
      <c r="H104" s="2"/>
      <c r="I104" s="2"/>
      <c r="J104" s="19"/>
      <c r="K104" s="2"/>
      <c r="L104" s="2">
        <f t="shared" si="0"/>
        <v>-685.23</v>
      </c>
      <c r="M104" s="2"/>
      <c r="N104" s="19">
        <f t="shared" si="1"/>
        <v>0</v>
      </c>
      <c r="O104" s="11"/>
      <c r="P104" s="2">
        <f>-4599.92</f>
        <v>-4599.92</v>
      </c>
      <c r="Q104" s="2"/>
      <c r="R104" s="19"/>
      <c r="S104" s="2"/>
      <c r="T104" s="2"/>
      <c r="U104" s="2"/>
      <c r="V104" s="19"/>
      <c r="W104" s="2"/>
      <c r="X104" s="2">
        <f t="shared" si="2"/>
        <v>-4599.92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"4233", " - ", "SALES RETURN TAXABLE-CANDY")</f>
        <v xml:space="preserve">          4233 - SALES RETURN TAXABLE-CANDY</v>
      </c>
      <c r="C105" s="11"/>
      <c r="D105" s="2">
        <f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-1.29</f>
        <v>-1.29</v>
      </c>
      <c r="Q105" s="2"/>
      <c r="R105" s="19"/>
      <c r="S105" s="2"/>
      <c r="T105" s="2"/>
      <c r="U105" s="2"/>
      <c r="V105" s="19"/>
      <c r="W105" s="2"/>
      <c r="X105" s="2">
        <f t="shared" si="2"/>
        <v>-1.29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"4240", " - ", "SALES RETURN TAXABLE-LOGO CLOT")</f>
        <v xml:space="preserve">          4240 - SALES RETURN TAXABLE-LOGO CLOT</v>
      </c>
      <c r="C106" s="11"/>
      <c r="D106" s="2">
        <f>-8202.92</f>
        <v>-8202.92</v>
      </c>
      <c r="E106" s="2"/>
      <c r="F106" s="19"/>
      <c r="G106" s="2"/>
      <c r="H106" s="2"/>
      <c r="I106" s="2"/>
      <c r="J106" s="19"/>
      <c r="K106" s="2"/>
      <c r="L106" s="2">
        <f t="shared" si="0"/>
        <v>-8202.92</v>
      </c>
      <c r="M106" s="2"/>
      <c r="N106" s="19">
        <f t="shared" si="1"/>
        <v>0</v>
      </c>
      <c r="O106" s="11"/>
      <c r="P106" s="2">
        <f>-69811.67</f>
        <v>-69811.67</v>
      </c>
      <c r="Q106" s="2"/>
      <c r="R106" s="19"/>
      <c r="S106" s="2"/>
      <c r="T106" s="2"/>
      <c r="U106" s="2"/>
      <c r="V106" s="19"/>
      <c r="W106" s="2"/>
      <c r="X106" s="2">
        <f t="shared" si="2"/>
        <v>-69811.67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"4241", " - ", "SALES RETURN TAXABLE-LOGO GIFT")</f>
        <v xml:space="preserve">          4241 - SALES RETURN TAXABLE-LOGO GIFT</v>
      </c>
      <c r="C107" s="11"/>
      <c r="D107" s="2">
        <f>-972.77</f>
        <v>-972.77</v>
      </c>
      <c r="E107" s="2"/>
      <c r="F107" s="19"/>
      <c r="G107" s="2"/>
      <c r="H107" s="2"/>
      <c r="I107" s="2"/>
      <c r="J107" s="19"/>
      <c r="K107" s="2"/>
      <c r="L107" s="2">
        <f t="shared" si="0"/>
        <v>-972.77</v>
      </c>
      <c r="M107" s="2"/>
      <c r="N107" s="19">
        <f t="shared" si="1"/>
        <v>0</v>
      </c>
      <c r="O107" s="11"/>
      <c r="P107" s="2">
        <f>-5926.98</f>
        <v>-5926.98</v>
      </c>
      <c r="Q107" s="2"/>
      <c r="R107" s="19"/>
      <c r="S107" s="2"/>
      <c r="T107" s="2"/>
      <c r="U107" s="2"/>
      <c r="V107" s="19"/>
      <c r="W107" s="2"/>
      <c r="X107" s="2">
        <f t="shared" si="2"/>
        <v>-5926.98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"4242", " - ", "SALES RETURN TAXABLE-EVERYDAY")</f>
        <v xml:space="preserve">          4242 - SALES RETURN TAXABLE-EVERYDAY</v>
      </c>
      <c r="C108" s="11"/>
      <c r="D108" s="2">
        <f>-349.75</f>
        <v>-349.75</v>
      </c>
      <c r="E108" s="2"/>
      <c r="F108" s="19"/>
      <c r="G108" s="2"/>
      <c r="H108" s="2"/>
      <c r="I108" s="2"/>
      <c r="J108" s="19"/>
      <c r="K108" s="2"/>
      <c r="L108" s="2">
        <f t="shared" si="0"/>
        <v>-349.75</v>
      </c>
      <c r="M108" s="2"/>
      <c r="N108" s="19">
        <f t="shared" si="1"/>
        <v>0</v>
      </c>
      <c r="O108" s="11"/>
      <c r="P108" s="2">
        <f>-3894.08</f>
        <v>-3894.08</v>
      </c>
      <c r="Q108" s="2"/>
      <c r="R108" s="19"/>
      <c r="S108" s="2"/>
      <c r="T108" s="2"/>
      <c r="U108" s="2"/>
      <c r="V108" s="19"/>
      <c r="W108" s="2"/>
      <c r="X108" s="2">
        <f t="shared" si="2"/>
        <v>-3894.08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"4243", " - ", "SALES RETURN TAXABLE-CARDS")</f>
        <v xml:space="preserve">          4243 - SALES RETURN TAXABLE-CARDS</v>
      </c>
      <c r="C109" s="11"/>
      <c r="D109" s="2">
        <f>-1609.18</f>
        <v>-1609.18</v>
      </c>
      <c r="E109" s="2"/>
      <c r="F109" s="19"/>
      <c r="G109" s="2"/>
      <c r="H109" s="2"/>
      <c r="I109" s="2"/>
      <c r="J109" s="19"/>
      <c r="K109" s="2"/>
      <c r="L109" s="2">
        <f t="shared" si="0"/>
        <v>-1609.18</v>
      </c>
      <c r="M109" s="2"/>
      <c r="N109" s="19">
        <f t="shared" si="1"/>
        <v>0</v>
      </c>
      <c r="O109" s="11"/>
      <c r="P109" s="2">
        <f>-2833.39</f>
        <v>-2833.39</v>
      </c>
      <c r="Q109" s="2"/>
      <c r="R109" s="19"/>
      <c r="S109" s="2"/>
      <c r="T109" s="2"/>
      <c r="U109" s="2"/>
      <c r="V109" s="19"/>
      <c r="W109" s="2"/>
      <c r="X109" s="2">
        <f t="shared" si="2"/>
        <v>-2833.39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"4244", " - ", "SALES RETURN TAXABLE-ACCESSORI")</f>
        <v xml:space="preserve">          4244 - SALES RETURN TAXABLE-ACCESSORI</v>
      </c>
      <c r="C110" s="11"/>
      <c r="D110" s="2">
        <f>-328.75</f>
        <v>-328.75</v>
      </c>
      <c r="E110" s="2"/>
      <c r="F110" s="19"/>
      <c r="G110" s="2"/>
      <c r="H110" s="2"/>
      <c r="I110" s="2"/>
      <c r="J110" s="19"/>
      <c r="K110" s="2"/>
      <c r="L110" s="2">
        <f t="shared" si="0"/>
        <v>-328.75</v>
      </c>
      <c r="M110" s="2"/>
      <c r="N110" s="19">
        <f t="shared" si="1"/>
        <v>0</v>
      </c>
      <c r="O110" s="11"/>
      <c r="P110" s="2">
        <f>-2430.8</f>
        <v>-2430.8000000000002</v>
      </c>
      <c r="Q110" s="2"/>
      <c r="R110" s="19"/>
      <c r="S110" s="2"/>
      <c r="T110" s="2"/>
      <c r="U110" s="2"/>
      <c r="V110" s="19"/>
      <c r="W110" s="2"/>
      <c r="X110" s="2">
        <f t="shared" si="2"/>
        <v>-2430.8000000000002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"4245", " - ", "SALES RETURN TAXABLE-SPECIAL O")</f>
        <v xml:space="preserve">          4245 - SALES RETURN TAXABLE-SPECIAL O</v>
      </c>
      <c r="C111" s="11"/>
      <c r="D111" s="2">
        <f>0</f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-1715.05</f>
        <v>-1715.05</v>
      </c>
      <c r="Q111" s="2"/>
      <c r="R111" s="19"/>
      <c r="S111" s="2"/>
      <c r="T111" s="2"/>
      <c r="U111" s="2"/>
      <c r="V111" s="19"/>
      <c r="W111" s="2"/>
      <c r="X111" s="2">
        <f t="shared" si="2"/>
        <v>-1715.05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"4281", " - ", "SALES RETURN TAXABLE-ELECTRONI")</f>
        <v xml:space="preserve">          4281 - SALES RETURN TAXABLE-ELECTRONI</v>
      </c>
      <c r="C112" s="11"/>
      <c r="D112" s="2">
        <f>-1117.89</f>
        <v>-1117.8900000000001</v>
      </c>
      <c r="E112" s="2"/>
      <c r="F112" s="19"/>
      <c r="G112" s="2"/>
      <c r="H112" s="2"/>
      <c r="I112" s="2"/>
      <c r="J112" s="19"/>
      <c r="K112" s="2"/>
      <c r="L112" s="2">
        <f t="shared" si="0"/>
        <v>-1117.8900000000001</v>
      </c>
      <c r="M112" s="2"/>
      <c r="N112" s="19">
        <f t="shared" si="1"/>
        <v>0</v>
      </c>
      <c r="O112" s="11"/>
      <c r="P112" s="2">
        <f>-7622.7</f>
        <v>-7622.7</v>
      </c>
      <c r="Q112" s="2"/>
      <c r="R112" s="19"/>
      <c r="S112" s="2"/>
      <c r="T112" s="2"/>
      <c r="U112" s="2"/>
      <c r="V112" s="19"/>
      <c r="W112" s="2"/>
      <c r="X112" s="2">
        <f t="shared" si="2"/>
        <v>-7622.7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"4282", " - ", "SALES RETURN TAXABLE-COMPUTER")</f>
        <v xml:space="preserve">          4282 - SALES RETURN TAXABLE-COMPUTER</v>
      </c>
      <c r="C113" s="11"/>
      <c r="D113" s="2">
        <f>-4341.94</f>
        <v>-4341.9399999999996</v>
      </c>
      <c r="E113" s="2"/>
      <c r="F113" s="19"/>
      <c r="G113" s="2"/>
      <c r="H113" s="2"/>
      <c r="I113" s="2"/>
      <c r="J113" s="19"/>
      <c r="K113" s="2"/>
      <c r="L113" s="2">
        <f t="shared" si="0"/>
        <v>-4341.9399999999996</v>
      </c>
      <c r="M113" s="2"/>
      <c r="N113" s="19">
        <f t="shared" si="1"/>
        <v>0</v>
      </c>
      <c r="O113" s="11"/>
      <c r="P113" s="2">
        <f>-207225.13</f>
        <v>-207225.13</v>
      </c>
      <c r="Q113" s="2"/>
      <c r="R113" s="19"/>
      <c r="S113" s="2"/>
      <c r="T113" s="2"/>
      <c r="U113" s="2"/>
      <c r="V113" s="19"/>
      <c r="W113" s="2"/>
      <c r="X113" s="2">
        <f t="shared" si="2"/>
        <v>-207225.13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"4283", " - ", "SALES RETURN TAXABLE-COMPUTER")</f>
        <v xml:space="preserve">          4283 - SALES RETURN TAXABLE-COMPUTER</v>
      </c>
      <c r="C114" s="11"/>
      <c r="D114" s="2">
        <f>-910.69</f>
        <v>-910.69</v>
      </c>
      <c r="E114" s="2"/>
      <c r="F114" s="19"/>
      <c r="G114" s="2"/>
      <c r="H114" s="2"/>
      <c r="I114" s="2"/>
      <c r="J114" s="19"/>
      <c r="K114" s="2"/>
      <c r="L114" s="2">
        <f t="shared" si="0"/>
        <v>-910.69</v>
      </c>
      <c r="M114" s="2"/>
      <c r="N114" s="19">
        <f t="shared" si="1"/>
        <v>0</v>
      </c>
      <c r="O114" s="11"/>
      <c r="P114" s="2">
        <f>-5825.41</f>
        <v>-5825.41</v>
      </c>
      <c r="Q114" s="2"/>
      <c r="R114" s="19"/>
      <c r="S114" s="2"/>
      <c r="T114" s="2"/>
      <c r="U114" s="2"/>
      <c r="V114" s="19"/>
      <c r="W114" s="2"/>
      <c r="X114" s="2">
        <f t="shared" si="2"/>
        <v>-5825.41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"4284", " - ", "SALES RETURN TAXABLE-SOFTWARE")</f>
        <v xml:space="preserve">          4284 - SALES RETURN TAXABLE-SOFTWARE</v>
      </c>
      <c r="C115" s="11"/>
      <c r="D115" s="2">
        <f>0</f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-129</f>
        <v>-129</v>
      </c>
      <c r="Q115" s="2"/>
      <c r="R115" s="19"/>
      <c r="S115" s="2"/>
      <c r="T115" s="2"/>
      <c r="U115" s="2"/>
      <c r="V115" s="19"/>
      <c r="W115" s="2"/>
      <c r="X115" s="2">
        <f t="shared" si="2"/>
        <v>-129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"4285", " - ", "SALES RETURN TAXABLE-SOFTWARE")</f>
        <v xml:space="preserve">          4285 - SALES RETURN TAXABLE-SOFTWARE</v>
      </c>
      <c r="C116" s="11"/>
      <c r="D116" s="2">
        <f>-149.99</f>
        <v>-149.99</v>
      </c>
      <c r="E116" s="2"/>
      <c r="F116" s="19"/>
      <c r="G116" s="2"/>
      <c r="H116" s="2"/>
      <c r="I116" s="2"/>
      <c r="J116" s="19"/>
      <c r="K116" s="2"/>
      <c r="L116" s="2">
        <f t="shared" si="0"/>
        <v>-149.99</v>
      </c>
      <c r="M116" s="2"/>
      <c r="N116" s="19">
        <f t="shared" si="1"/>
        <v>0</v>
      </c>
      <c r="O116" s="11"/>
      <c r="P116" s="2">
        <f>-805.97</f>
        <v>-805.97</v>
      </c>
      <c r="Q116" s="2"/>
      <c r="R116" s="19"/>
      <c r="S116" s="2"/>
      <c r="T116" s="2"/>
      <c r="U116" s="2"/>
      <c r="V116" s="19"/>
      <c r="W116" s="2"/>
      <c r="X116" s="2">
        <f t="shared" si="2"/>
        <v>-805.97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"4286", " - ", "SALES RETURN TAXABLE-COMPUTER")</f>
        <v xml:space="preserve">          4286 - SALES RETURN TAXABLE-COMPUTER</v>
      </c>
      <c r="C117" s="11"/>
      <c r="D117" s="2">
        <f>-290.88</f>
        <v>-290.88</v>
      </c>
      <c r="E117" s="2"/>
      <c r="F117" s="19"/>
      <c r="G117" s="2"/>
      <c r="H117" s="2"/>
      <c r="I117" s="2"/>
      <c r="J117" s="19"/>
      <c r="K117" s="2"/>
      <c r="L117" s="2">
        <f t="shared" si="0"/>
        <v>-290.88</v>
      </c>
      <c r="M117" s="2"/>
      <c r="N117" s="19">
        <f t="shared" si="1"/>
        <v>0</v>
      </c>
      <c r="O117" s="11"/>
      <c r="P117" s="2">
        <f>-3582.89</f>
        <v>-3582.89</v>
      </c>
      <c r="Q117" s="2"/>
      <c r="R117" s="19"/>
      <c r="S117" s="2"/>
      <c r="T117" s="2"/>
      <c r="U117" s="2"/>
      <c r="V117" s="19"/>
      <c r="W117" s="2"/>
      <c r="X117" s="2">
        <f t="shared" si="2"/>
        <v>-3582.89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"4288", " - ", "TAXABLE SALES RETURN-MUSIC")</f>
        <v xml:space="preserve">          4288 - TAXABLE SALES RETURN-MUSIC</v>
      </c>
      <c r="C118" s="11"/>
      <c r="D118" s="2">
        <f t="shared" ref="D118:D123" si="6"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-3.99</f>
        <v>-3.99</v>
      </c>
      <c r="Q118" s="2"/>
      <c r="R118" s="19"/>
      <c r="S118" s="2"/>
      <c r="T118" s="2"/>
      <c r="U118" s="2"/>
      <c r="V118" s="19"/>
      <c r="W118" s="2"/>
      <c r="X118" s="2">
        <f t="shared" si="2"/>
        <v>-3.99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"4292", " - ", "SALES RETURN TAXABLE-GRAD MERC")</f>
        <v xml:space="preserve">          4292 - SALES RETURN TAXABLE-GRAD MERC</v>
      </c>
      <c r="C119" s="11"/>
      <c r="D119" s="2">
        <f t="shared" si="6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-419.05</f>
        <v>-419.05</v>
      </c>
      <c r="Q119" s="2"/>
      <c r="R119" s="19"/>
      <c r="S119" s="2"/>
      <c r="T119" s="2"/>
      <c r="U119" s="2"/>
      <c r="V119" s="19"/>
      <c r="W119" s="2"/>
      <c r="X119" s="2">
        <f t="shared" si="2"/>
        <v>-419.05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"4295", " - ", "SALES RETURN TAXABLE-CUSTOMER")</f>
        <v xml:space="preserve">          4295 - SALES RETURN TAXABLE-CUSTOMER</v>
      </c>
      <c r="C120" s="11"/>
      <c r="D120" s="2">
        <f t="shared" si="6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--0.99</f>
        <v>0.99</v>
      </c>
      <c r="Q120" s="2"/>
      <c r="R120" s="19"/>
      <c r="S120" s="2"/>
      <c r="T120" s="2"/>
      <c r="U120" s="2"/>
      <c r="V120" s="19"/>
      <c r="W120" s="2"/>
      <c r="X120" s="2">
        <f t="shared" si="2"/>
        <v>0.99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"4301", " - ", "SALES RETURN NON TAXABLE-NEW T")</f>
        <v xml:space="preserve">          4301 - SALES RETURN NON TAXABLE-NEW T</v>
      </c>
      <c r="C121" s="11"/>
      <c r="D121" s="2">
        <f t="shared" si="6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-15221.62</f>
        <v>-15221.62</v>
      </c>
      <c r="Q121" s="2"/>
      <c r="R121" s="19"/>
      <c r="S121" s="2"/>
      <c r="T121" s="2"/>
      <c r="U121" s="2"/>
      <c r="V121" s="19"/>
      <c r="W121" s="2"/>
      <c r="X121" s="2">
        <f t="shared" si="2"/>
        <v>-15221.62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"4302", " - ", "SALES RETURN NON TAXABLE-TEXT")</f>
        <v xml:space="preserve">          4302 - SALES RETURN NON TAXABLE-TEXT</v>
      </c>
      <c r="C122" s="11"/>
      <c r="D122" s="2">
        <f t="shared" si="6"/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-1312.37</f>
        <v>-1312.37</v>
      </c>
      <c r="Q122" s="2"/>
      <c r="R122" s="19"/>
      <c r="S122" s="2"/>
      <c r="T122" s="2"/>
      <c r="U122" s="2"/>
      <c r="V122" s="19"/>
      <c r="W122" s="2"/>
      <c r="X122" s="2">
        <f t="shared" si="2"/>
        <v>-1312.37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"4303", " - ", "SALES RETURN NON-TAXABLE-RENTA")</f>
        <v xml:space="preserve">          4303 - SALES RETURN NON-TAXABLE-RENTA</v>
      </c>
      <c r="C123" s="11"/>
      <c r="D123" s="2">
        <f t="shared" si="6"/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-184.99</f>
        <v>-184.99</v>
      </c>
      <c r="Q123" s="2"/>
      <c r="R123" s="19"/>
      <c r="S123" s="2"/>
      <c r="T123" s="2"/>
      <c r="U123" s="2"/>
      <c r="V123" s="19"/>
      <c r="W123" s="2"/>
      <c r="X123" s="2">
        <f t="shared" si="2"/>
        <v>-184.99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"4304", " - ", "SALES RETURN NON TAXABLE-DIGIT")</f>
        <v xml:space="preserve">          4304 - SALES RETURN NON TAXABLE-DIGIT</v>
      </c>
      <c r="C124" s="11"/>
      <c r="D124" s="2">
        <f>-1249.23</f>
        <v>-1249.23</v>
      </c>
      <c r="E124" s="2"/>
      <c r="F124" s="19"/>
      <c r="G124" s="2"/>
      <c r="H124" s="2"/>
      <c r="I124" s="2"/>
      <c r="J124" s="19"/>
      <c r="K124" s="2"/>
      <c r="L124" s="2">
        <f t="shared" si="0"/>
        <v>-1249.23</v>
      </c>
      <c r="M124" s="2"/>
      <c r="N124" s="19">
        <f t="shared" si="1"/>
        <v>0</v>
      </c>
      <c r="O124" s="11"/>
      <c r="P124" s="2">
        <f>-18991.98</f>
        <v>-18991.98</v>
      </c>
      <c r="Q124" s="2"/>
      <c r="R124" s="19"/>
      <c r="S124" s="2"/>
      <c r="T124" s="2"/>
      <c r="U124" s="2"/>
      <c r="V124" s="19"/>
      <c r="W124" s="2"/>
      <c r="X124" s="2">
        <f t="shared" si="2"/>
        <v>-18991.98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"4311", " - ", "SALES RETURN NON TAXABLE-NO VA")</f>
        <v xml:space="preserve">          4311 - SALES RETURN NON TAXABLE-NO VA</v>
      </c>
      <c r="C125" s="11"/>
      <c r="D125" s="2">
        <f>-169.45</f>
        <v>-169.45</v>
      </c>
      <c r="E125" s="2"/>
      <c r="F125" s="19"/>
      <c r="G125" s="2"/>
      <c r="H125" s="2"/>
      <c r="I125" s="2"/>
      <c r="J125" s="19"/>
      <c r="K125" s="2"/>
      <c r="L125" s="2">
        <f t="shared" si="0"/>
        <v>-169.45</v>
      </c>
      <c r="M125" s="2"/>
      <c r="N125" s="19">
        <f t="shared" si="1"/>
        <v>0</v>
      </c>
      <c r="O125" s="11"/>
      <c r="P125" s="2">
        <f>-794.76</f>
        <v>-794.76</v>
      </c>
      <c r="Q125" s="2"/>
      <c r="R125" s="19"/>
      <c r="S125" s="2"/>
      <c r="T125" s="2"/>
      <c r="U125" s="2"/>
      <c r="V125" s="19"/>
      <c r="W125" s="2"/>
      <c r="X125" s="2">
        <f t="shared" si="2"/>
        <v>-794.76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"4327", " - ", "SALES RETURN NON TAXABLE-SCHOO")</f>
        <v xml:space="preserve">          4327 - SALES RETURN NON TAXABLE-SCHOO</v>
      </c>
      <c r="C126" s="11"/>
      <c r="D126" s="2">
        <f>0</f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-21.87</f>
        <v>-21.87</v>
      </c>
      <c r="Q126" s="2"/>
      <c r="R126" s="19"/>
      <c r="S126" s="2"/>
      <c r="T126" s="2"/>
      <c r="U126" s="2"/>
      <c r="V126" s="19"/>
      <c r="W126" s="2"/>
      <c r="X126" s="2">
        <f t="shared" si="2"/>
        <v>-21.87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"4331", " - ", "SALES RETURN NON TAXABLE-FOOD")</f>
        <v xml:space="preserve">          4331 - SALES RETURN NON TAXABLE-FOOD</v>
      </c>
      <c r="C127" s="11"/>
      <c r="D127" s="2">
        <f>-7.58</f>
        <v>-7.58</v>
      </c>
      <c r="E127" s="2"/>
      <c r="F127" s="19"/>
      <c r="G127" s="2"/>
      <c r="H127" s="2"/>
      <c r="I127" s="2"/>
      <c r="J127" s="19"/>
      <c r="K127" s="2"/>
      <c r="L127" s="2">
        <f t="shared" si="0"/>
        <v>-7.58</v>
      </c>
      <c r="M127" s="2"/>
      <c r="N127" s="19">
        <f t="shared" si="1"/>
        <v>0</v>
      </c>
      <c r="O127" s="11"/>
      <c r="P127" s="2">
        <f>-7.58</f>
        <v>-7.58</v>
      </c>
      <c r="Q127" s="2"/>
      <c r="R127" s="19"/>
      <c r="S127" s="2"/>
      <c r="T127" s="2"/>
      <c r="U127" s="2"/>
      <c r="V127" s="19"/>
      <c r="W127" s="2"/>
      <c r="X127" s="2">
        <f t="shared" si="2"/>
        <v>-7.58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"4332", " - ", "SALES RETURN NON TAXABLE-JUICE")</f>
        <v xml:space="preserve">          4332 - SALES RETURN NON TAXABLE-JUICE</v>
      </c>
      <c r="C128" s="11"/>
      <c r="D128" s="2">
        <f>-2.79</f>
        <v>-2.79</v>
      </c>
      <c r="E128" s="2"/>
      <c r="F128" s="19"/>
      <c r="G128" s="2"/>
      <c r="H128" s="2"/>
      <c r="I128" s="2"/>
      <c r="J128" s="19"/>
      <c r="K128" s="2"/>
      <c r="L128" s="2">
        <f t="shared" si="0"/>
        <v>-2.79</v>
      </c>
      <c r="M128" s="2"/>
      <c r="N128" s="19">
        <f t="shared" si="1"/>
        <v>0</v>
      </c>
      <c r="O128" s="11"/>
      <c r="P128" s="2">
        <f>-2.79</f>
        <v>-2.79</v>
      </c>
      <c r="Q128" s="2"/>
      <c r="R128" s="19"/>
      <c r="S128" s="2"/>
      <c r="T128" s="2"/>
      <c r="U128" s="2"/>
      <c r="V128" s="19"/>
      <c r="W128" s="2"/>
      <c r="X128" s="2">
        <f t="shared" si="2"/>
        <v>-2.79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"4340", " - ", "SALES RETURN NON TAXABLE-LOGO")</f>
        <v xml:space="preserve">          4340 - SALES RETURN NON TAXABLE-LOGO</v>
      </c>
      <c r="C129" s="11"/>
      <c r="D129" s="2">
        <f>0</f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-931.65</f>
        <v>-931.65</v>
      </c>
      <c r="Q129" s="2"/>
      <c r="R129" s="19"/>
      <c r="S129" s="2"/>
      <c r="T129" s="2"/>
      <c r="U129" s="2"/>
      <c r="V129" s="19"/>
      <c r="W129" s="2"/>
      <c r="X129" s="2">
        <f t="shared" si="2"/>
        <v>-931.65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"4341", " - ", "SALES RETURN NON TAXABLE-LOGO")</f>
        <v xml:space="preserve">          4341 - SALES RETURN NON TAXABLE-LOGO</v>
      </c>
      <c r="C130" s="11"/>
      <c r="D130" s="2">
        <f>-214.7</f>
        <v>-214.7</v>
      </c>
      <c r="E130" s="2"/>
      <c r="F130" s="19"/>
      <c r="G130" s="2"/>
      <c r="H130" s="2"/>
      <c r="I130" s="2"/>
      <c r="J130" s="19"/>
      <c r="K130" s="2"/>
      <c r="L130" s="2">
        <f t="shared" si="0"/>
        <v>-214.7</v>
      </c>
      <c r="M130" s="2"/>
      <c r="N130" s="19">
        <f t="shared" si="1"/>
        <v>0</v>
      </c>
      <c r="O130" s="11"/>
      <c r="P130" s="2">
        <f>-245.5</f>
        <v>-245.5</v>
      </c>
      <c r="Q130" s="2"/>
      <c r="R130" s="19"/>
      <c r="S130" s="2"/>
      <c r="T130" s="2"/>
      <c r="U130" s="2"/>
      <c r="V130" s="19"/>
      <c r="W130" s="2"/>
      <c r="X130" s="2">
        <f t="shared" si="2"/>
        <v>-245.5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"4342", " - ", "SALES RETURN NON TAXABLE-EVERY")</f>
        <v xml:space="preserve">          4342 - SALES RETURN NON TAXABLE-EVERY</v>
      </c>
      <c r="C131" s="11"/>
      <c r="D131" s="2">
        <f t="shared" ref="D131:D135" si="7">0</f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-149.22</f>
        <v>-149.22</v>
      </c>
      <c r="Q131" s="2"/>
      <c r="R131" s="19"/>
      <c r="S131" s="2"/>
      <c r="T131" s="2"/>
      <c r="U131" s="2"/>
      <c r="V131" s="19"/>
      <c r="W131" s="2"/>
      <c r="X131" s="2">
        <f t="shared" si="2"/>
        <v>-149.22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"4346", " - ", "SALES RETURN NON TAXABLE-COIN-")</f>
        <v xml:space="preserve">          4346 - SALES RETURN NON TAXABLE-COIN-</v>
      </c>
      <c r="C132" s="11"/>
      <c r="D132" s="2">
        <f t="shared" si="7"/>
        <v>0</v>
      </c>
      <c r="E132" s="2"/>
      <c r="F132" s="19"/>
      <c r="G132" s="2"/>
      <c r="H132" s="2"/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-8.15</f>
        <v>-8.15</v>
      </c>
      <c r="Q132" s="2"/>
      <c r="R132" s="19"/>
      <c r="S132" s="2"/>
      <c r="T132" s="2"/>
      <c r="U132" s="2"/>
      <c r="V132" s="19"/>
      <c r="W132" s="2"/>
      <c r="X132" s="2">
        <f t="shared" si="2"/>
        <v>-8.15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"4381", " - ", "SALES RETURN NON TAXABLE-ELECT")</f>
        <v xml:space="preserve">          4381 - SALES RETURN NON TAXABLE-ELECT</v>
      </c>
      <c r="C133" s="11"/>
      <c r="D133" s="2">
        <f t="shared" si="7"/>
        <v>0</v>
      </c>
      <c r="E133" s="2"/>
      <c r="F133" s="19"/>
      <c r="G133" s="2"/>
      <c r="H133" s="2"/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-1279.84</f>
        <v>-1279.8399999999999</v>
      </c>
      <c r="Q133" s="2"/>
      <c r="R133" s="19"/>
      <c r="S133" s="2"/>
      <c r="T133" s="2"/>
      <c r="U133" s="2"/>
      <c r="V133" s="19"/>
      <c r="W133" s="2"/>
      <c r="X133" s="2">
        <f t="shared" si="2"/>
        <v>-1279.8399999999999</v>
      </c>
      <c r="Y133" s="2"/>
      <c r="Z133" s="19">
        <f t="shared" si="3"/>
        <v>0</v>
      </c>
    </row>
    <row r="134" spans="1:26" s="24" customFormat="1" hidden="1" outlineLevel="1" x14ac:dyDescent="0.25">
      <c r="A134" s="44"/>
      <c r="B134" s="11" t="str">
        <f>CONCATENATE("          ", "4383", " - ", "SALES RETURN NON TAXABLE-COMPU")</f>
        <v xml:space="preserve">          4383 - SALES RETURN NON TAXABLE-COMPU</v>
      </c>
      <c r="C134" s="11"/>
      <c r="D134" s="2">
        <f t="shared" si="7"/>
        <v>0</v>
      </c>
      <c r="E134" s="2"/>
      <c r="F134" s="19"/>
      <c r="G134" s="2"/>
      <c r="H134" s="2"/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1"/>
      <c r="P134" s="2">
        <f>-49.98</f>
        <v>-49.98</v>
      </c>
      <c r="Q134" s="2"/>
      <c r="R134" s="19"/>
      <c r="S134" s="2"/>
      <c r="T134" s="2"/>
      <c r="U134" s="2"/>
      <c r="V134" s="19"/>
      <c r="W134" s="2"/>
      <c r="X134" s="2">
        <f t="shared" si="2"/>
        <v>-49.98</v>
      </c>
      <c r="Y134" s="2"/>
      <c r="Z134" s="19">
        <f t="shared" si="3"/>
        <v>0</v>
      </c>
    </row>
    <row r="135" spans="1:26" s="24" customFormat="1" hidden="1" outlineLevel="1" x14ac:dyDescent="0.25">
      <c r="A135" s="44"/>
      <c r="B135" s="11" t="str">
        <f>CONCATENATE("          ", "4386", " - ", "SALES RETURN NON TAXABLE-COMPU")</f>
        <v xml:space="preserve">          4386 - SALES RETURN NON TAXABLE-COMPU</v>
      </c>
      <c r="C135" s="11"/>
      <c r="D135" s="2">
        <f t="shared" si="7"/>
        <v>0</v>
      </c>
      <c r="E135" s="2"/>
      <c r="F135" s="19"/>
      <c r="G135" s="2"/>
      <c r="H135" s="2"/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1"/>
      <c r="P135" s="2">
        <f>-104.96</f>
        <v>-104.96</v>
      </c>
      <c r="Q135" s="2"/>
      <c r="R135" s="19"/>
      <c r="S135" s="2"/>
      <c r="T135" s="2"/>
      <c r="U135" s="2"/>
      <c r="V135" s="19"/>
      <c r="W135" s="2"/>
      <c r="X135" s="2">
        <f t="shared" si="2"/>
        <v>-104.96</v>
      </c>
      <c r="Y135" s="2"/>
      <c r="Z135" s="19">
        <f t="shared" si="3"/>
        <v>0</v>
      </c>
    </row>
    <row r="136" spans="1:26" x14ac:dyDescent="0.25">
      <c r="A136" s="9"/>
      <c r="B136" s="10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collapsed="1" x14ac:dyDescent="0.25">
      <c r="A137" s="10"/>
      <c r="B137" s="29" t="s">
        <v>8</v>
      </c>
      <c r="C137" s="10"/>
      <c r="D137" s="4">
        <f>SUM(OSRRefD16x_0)</f>
        <v>1361474.1300000001</v>
      </c>
      <c r="E137" s="4"/>
      <c r="F137" s="12">
        <f t="shared" ref="F137:F197" si="8">IF(D$12=0,0,D137/D$12)</f>
        <v>0.39272807079084104</v>
      </c>
      <c r="G137" s="4"/>
      <c r="H137" s="4">
        <f>SUM(OSRRefH16x_0)</f>
        <v>1238755.4207799998</v>
      </c>
      <c r="I137" s="4"/>
      <c r="J137" s="12">
        <f t="shared" ref="J137:J197" si="9">IF(H$12=0,0,H137/H$12)</f>
        <v>0.3629219009355244</v>
      </c>
      <c r="K137" s="4"/>
      <c r="L137" s="4">
        <f t="shared" ref="L137:L197" si="10">+D137-H137</f>
        <v>122718.70922000031</v>
      </c>
      <c r="M137" s="4"/>
      <c r="N137" s="12">
        <f t="shared" ref="N137:N197" si="11">IF(H137=0,0,L137/H137)</f>
        <v>9.9066132960071121E-2</v>
      </c>
      <c r="O137" s="10"/>
      <c r="P137" s="4">
        <f>SUM(OSRRefP16x_0)</f>
        <v>11016815.070000006</v>
      </c>
      <c r="Q137" s="4"/>
      <c r="R137" s="12">
        <f t="shared" ref="R137:R197" si="12">IF(P$12=0,0,P137/P$12)</f>
        <v>0.43720282651034359</v>
      </c>
      <c r="S137" s="4"/>
      <c r="T137" s="4">
        <f>SUM(OSRRefT16x_0)</f>
        <v>11420320.75423</v>
      </c>
      <c r="U137" s="4"/>
      <c r="V137" s="12">
        <f t="shared" ref="V137:V197" si="13">IF(T$12=0,0,T137/T$12)</f>
        <v>0.43452582162910414</v>
      </c>
      <c r="W137" s="4"/>
      <c r="X137" s="4">
        <f t="shared" ref="X137:X197" si="14">+P137-T137</f>
        <v>-403505.68422999419</v>
      </c>
      <c r="Y137" s="4"/>
      <c r="Z137" s="12">
        <f t="shared" ref="Z137:Z197" si="15">IF(T137=0,0,X137/T137)</f>
        <v>-3.5332254926424791E-2</v>
      </c>
    </row>
    <row r="138" spans="1:26" s="24" customFormat="1" hidden="1" outlineLevel="1" x14ac:dyDescent="0.25">
      <c r="A138" s="44"/>
      <c r="B138" s="11" t="str">
        <f>CONCATENATE("          ", "5000", " - ", "PURCHASES @ COST")</f>
        <v xml:space="preserve">          5000 - PURCHASES @ COST</v>
      </c>
      <c r="C138" s="11"/>
      <c r="D138" s="2"/>
      <c r="E138" s="2"/>
      <c r="F138" s="19">
        <f t="shared" si="8"/>
        <v>0</v>
      </c>
      <c r="G138" s="2"/>
      <c r="H138" s="2">
        <v>1238755.4207799998</v>
      </c>
      <c r="I138" s="2"/>
      <c r="J138" s="19">
        <f t="shared" si="9"/>
        <v>0.3629219009355244</v>
      </c>
      <c r="K138" s="2"/>
      <c r="L138" s="2">
        <f t="shared" si="10"/>
        <v>-1238755.4207799998</v>
      </c>
      <c r="M138" s="2"/>
      <c r="N138" s="19">
        <f t="shared" si="11"/>
        <v>-1</v>
      </c>
      <c r="O138" s="11"/>
      <c r="P138" s="2"/>
      <c r="Q138" s="2"/>
      <c r="R138" s="19">
        <f t="shared" si="12"/>
        <v>0</v>
      </c>
      <c r="S138" s="2"/>
      <c r="T138" s="2">
        <v>11420320.75423</v>
      </c>
      <c r="U138" s="2"/>
      <c r="V138" s="19">
        <f t="shared" si="13"/>
        <v>0.43452582162910414</v>
      </c>
      <c r="W138" s="2"/>
      <c r="X138" s="2">
        <f t="shared" si="14"/>
        <v>-11420320.75423</v>
      </c>
      <c r="Y138" s="2"/>
      <c r="Z138" s="19">
        <f t="shared" si="15"/>
        <v>-1</v>
      </c>
    </row>
    <row r="139" spans="1:26" s="24" customFormat="1" hidden="1" outlineLevel="1" x14ac:dyDescent="0.25">
      <c r="A139" s="44"/>
      <c r="B139" s="11" t="str">
        <f>CONCATENATE("          ", "5001", " - ", "PURCHASES @ COST-NEW TEXT")</f>
        <v xml:space="preserve">          5001 - PURCHASES @ COST-NEW TEXT</v>
      </c>
      <c r="C139" s="11"/>
      <c r="D139" s="2">
        <v>-110695.19</v>
      </c>
      <c r="E139" s="2"/>
      <c r="F139" s="19">
        <f t="shared" si="8"/>
        <v>-3.1930910368840867E-2</v>
      </c>
      <c r="G139" s="2"/>
      <c r="H139" s="2"/>
      <c r="I139" s="2"/>
      <c r="J139" s="19">
        <f t="shared" si="9"/>
        <v>0</v>
      </c>
      <c r="K139" s="2"/>
      <c r="L139" s="2">
        <f t="shared" si="10"/>
        <v>-110695.19</v>
      </c>
      <c r="M139" s="2"/>
      <c r="N139" s="19">
        <f t="shared" si="11"/>
        <v>0</v>
      </c>
      <c r="O139" s="11"/>
      <c r="P139" s="2">
        <v>2516599.4700000002</v>
      </c>
      <c r="Q139" s="2"/>
      <c r="R139" s="19">
        <f t="shared" si="12"/>
        <v>9.9871368856374224E-2</v>
      </c>
      <c r="S139" s="2"/>
      <c r="T139" s="2"/>
      <c r="U139" s="2"/>
      <c r="V139" s="19">
        <f t="shared" si="13"/>
        <v>0</v>
      </c>
      <c r="W139" s="2"/>
      <c r="X139" s="2">
        <f t="shared" si="14"/>
        <v>2516599.4700000002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"5002", " - ", "PURCHASES @ COST-USED TEXT")</f>
        <v xml:space="preserve">          5002 - PURCHASES @ COST-USED TEXT</v>
      </c>
      <c r="C140" s="11"/>
      <c r="D140" s="2">
        <v>11947.84</v>
      </c>
      <c r="E140" s="2"/>
      <c r="F140" s="19">
        <f t="shared" si="8"/>
        <v>3.4464497340964103E-3</v>
      </c>
      <c r="G140" s="2"/>
      <c r="H140" s="2"/>
      <c r="I140" s="2"/>
      <c r="J140" s="19">
        <f t="shared" si="9"/>
        <v>0</v>
      </c>
      <c r="K140" s="2"/>
      <c r="L140" s="2">
        <f t="shared" si="10"/>
        <v>11947.84</v>
      </c>
      <c r="M140" s="2"/>
      <c r="N140" s="19">
        <f t="shared" si="11"/>
        <v>0</v>
      </c>
      <c r="O140" s="11"/>
      <c r="P140" s="2">
        <v>524555.37</v>
      </c>
      <c r="Q140" s="2"/>
      <c r="R140" s="19">
        <f t="shared" si="12"/>
        <v>2.0817004639543158E-2</v>
      </c>
      <c r="S140" s="2"/>
      <c r="T140" s="2"/>
      <c r="U140" s="2"/>
      <c r="V140" s="19">
        <f t="shared" si="13"/>
        <v>0</v>
      </c>
      <c r="W140" s="2"/>
      <c r="X140" s="2">
        <f t="shared" si="14"/>
        <v>524555.37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"5003", " - ", "PURCHASES @ COST-RENTAL TEXT")</f>
        <v xml:space="preserve">          5003 - PURCHASES @ COST-RENTAL TEXT</v>
      </c>
      <c r="C141" s="11"/>
      <c r="D141" s="2"/>
      <c r="E141" s="2"/>
      <c r="F141" s="19">
        <f t="shared" si="8"/>
        <v>0</v>
      </c>
      <c r="G141" s="2"/>
      <c r="H141" s="2"/>
      <c r="I141" s="2"/>
      <c r="J141" s="19">
        <f t="shared" si="9"/>
        <v>0</v>
      </c>
      <c r="K141" s="2"/>
      <c r="L141" s="2">
        <f t="shared" si="10"/>
        <v>0</v>
      </c>
      <c r="M141" s="2"/>
      <c r="N141" s="19">
        <f t="shared" si="11"/>
        <v>0</v>
      </c>
      <c r="O141" s="11"/>
      <c r="P141" s="2">
        <v>-78.400000000000006</v>
      </c>
      <c r="Q141" s="2"/>
      <c r="R141" s="19">
        <f t="shared" si="12"/>
        <v>-3.1113077037800291E-6</v>
      </c>
      <c r="S141" s="2"/>
      <c r="T141" s="2"/>
      <c r="U141" s="2"/>
      <c r="V141" s="19">
        <f t="shared" si="13"/>
        <v>0</v>
      </c>
      <c r="W141" s="2"/>
      <c r="X141" s="2">
        <f t="shared" si="14"/>
        <v>-78.400000000000006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"5004", " - ", "PURCHASES @ COST-DIGITAL TEXT")</f>
        <v xml:space="preserve">          5004 - PURCHASES @ COST-DIGITAL TEXT</v>
      </c>
      <c r="C142" s="11"/>
      <c r="D142" s="2">
        <v>61264.060000000005</v>
      </c>
      <c r="E142" s="2"/>
      <c r="F142" s="19">
        <f t="shared" si="8"/>
        <v>1.7672106698505049E-2</v>
      </c>
      <c r="G142" s="2"/>
      <c r="H142" s="2"/>
      <c r="I142" s="2"/>
      <c r="J142" s="19">
        <f t="shared" si="9"/>
        <v>0</v>
      </c>
      <c r="K142" s="2"/>
      <c r="L142" s="2">
        <f t="shared" si="10"/>
        <v>61264.060000000005</v>
      </c>
      <c r="M142" s="2"/>
      <c r="N142" s="19">
        <f t="shared" si="11"/>
        <v>0</v>
      </c>
      <c r="O142" s="11"/>
      <c r="P142" s="2">
        <v>535157.82999999996</v>
      </c>
      <c r="Q142" s="2"/>
      <c r="R142" s="19">
        <f t="shared" si="12"/>
        <v>2.1237763765525549E-2</v>
      </c>
      <c r="S142" s="2"/>
      <c r="T142" s="2"/>
      <c r="U142" s="2"/>
      <c r="V142" s="19">
        <f t="shared" si="13"/>
        <v>0</v>
      </c>
      <c r="W142" s="2"/>
      <c r="X142" s="2">
        <f t="shared" si="14"/>
        <v>535157.82999999996</v>
      </c>
      <c r="Y142" s="2"/>
      <c r="Z142" s="19">
        <f t="shared" si="15"/>
        <v>0</v>
      </c>
    </row>
    <row r="143" spans="1:26" s="24" customFormat="1" hidden="1" outlineLevel="1" x14ac:dyDescent="0.25">
      <c r="A143" s="44"/>
      <c r="B143" s="11" t="str">
        <f>CONCATENATE("          ", "5011", " - ", "PURCHASES @ COST-NO VALUE TEXT")</f>
        <v xml:space="preserve">          5011 - PURCHASES @ COST-NO VALUE TEXT</v>
      </c>
      <c r="C143" s="11"/>
      <c r="D143" s="2">
        <v>258</v>
      </c>
      <c r="E143" s="2"/>
      <c r="F143" s="19">
        <f t="shared" si="8"/>
        <v>7.4422157594751336E-5</v>
      </c>
      <c r="G143" s="2"/>
      <c r="H143" s="2"/>
      <c r="I143" s="2"/>
      <c r="J143" s="19">
        <f t="shared" si="9"/>
        <v>0</v>
      </c>
      <c r="K143" s="2"/>
      <c r="L143" s="2">
        <f t="shared" si="10"/>
        <v>258</v>
      </c>
      <c r="M143" s="2"/>
      <c r="N143" s="19">
        <f t="shared" si="11"/>
        <v>0</v>
      </c>
      <c r="O143" s="11"/>
      <c r="P143" s="2">
        <v>5733</v>
      </c>
      <c r="Q143" s="2"/>
      <c r="R143" s="19">
        <f t="shared" si="12"/>
        <v>2.2751437583891463E-4</v>
      </c>
      <c r="S143" s="2"/>
      <c r="T143" s="2"/>
      <c r="U143" s="2"/>
      <c r="V143" s="19">
        <f t="shared" si="13"/>
        <v>0</v>
      </c>
      <c r="W143" s="2"/>
      <c r="X143" s="2">
        <f t="shared" si="14"/>
        <v>5733</v>
      </c>
      <c r="Y143" s="2"/>
      <c r="Z143" s="19">
        <f t="shared" si="15"/>
        <v>0</v>
      </c>
    </row>
    <row r="144" spans="1:26" s="24" customFormat="1" hidden="1" outlineLevel="1" x14ac:dyDescent="0.25">
      <c r="A144" s="44"/>
      <c r="B144" s="11" t="str">
        <f>CONCATENATE("          ", "5013", " - ", "PURCHASES @ COST-TRADE BOOKS")</f>
        <v xml:space="preserve">          5013 - PURCHASES @ COST-TRADE BOOKS</v>
      </c>
      <c r="C144" s="11"/>
      <c r="D144" s="2">
        <v>2592.2600000000002</v>
      </c>
      <c r="E144" s="2"/>
      <c r="F144" s="19">
        <f t="shared" si="8"/>
        <v>7.4775807072314008E-4</v>
      </c>
      <c r="G144" s="2"/>
      <c r="H144" s="2"/>
      <c r="I144" s="2"/>
      <c r="J144" s="19">
        <f t="shared" si="9"/>
        <v>0</v>
      </c>
      <c r="K144" s="2"/>
      <c r="L144" s="2">
        <f t="shared" si="10"/>
        <v>2592.2600000000002</v>
      </c>
      <c r="M144" s="2"/>
      <c r="N144" s="19">
        <f t="shared" si="11"/>
        <v>0</v>
      </c>
      <c r="O144" s="11"/>
      <c r="P144" s="2">
        <v>3050.72</v>
      </c>
      <c r="Q144" s="2"/>
      <c r="R144" s="19">
        <f t="shared" si="12"/>
        <v>1.2106796732239554E-4</v>
      </c>
      <c r="S144" s="2"/>
      <c r="T144" s="2"/>
      <c r="U144" s="2"/>
      <c r="V144" s="19">
        <f t="shared" si="13"/>
        <v>0</v>
      </c>
      <c r="W144" s="2"/>
      <c r="X144" s="2">
        <f t="shared" si="14"/>
        <v>3050.72</v>
      </c>
      <c r="Y144" s="2"/>
      <c r="Z144" s="19">
        <f t="shared" si="15"/>
        <v>0</v>
      </c>
    </row>
    <row r="145" spans="1:26" s="24" customFormat="1" hidden="1" outlineLevel="1" x14ac:dyDescent="0.25">
      <c r="A145" s="44"/>
      <c r="B145" s="11" t="str">
        <f>CONCATENATE("          ", "5014", " - ", "PURCHASES @ COST-REMAINDERS")</f>
        <v xml:space="preserve">          5014 - PURCHASES @ COST-REMAINDERS</v>
      </c>
      <c r="C145" s="11"/>
      <c r="D145" s="2">
        <v>17.78</v>
      </c>
      <c r="E145" s="2"/>
      <c r="F145" s="19">
        <f t="shared" si="8"/>
        <v>5.1287827985840271E-6</v>
      </c>
      <c r="G145" s="2"/>
      <c r="H145" s="2"/>
      <c r="I145" s="2"/>
      <c r="J145" s="19">
        <f t="shared" si="9"/>
        <v>0</v>
      </c>
      <c r="K145" s="2"/>
      <c r="L145" s="2">
        <f t="shared" si="10"/>
        <v>17.78</v>
      </c>
      <c r="M145" s="2"/>
      <c r="N145" s="19">
        <f t="shared" si="11"/>
        <v>0</v>
      </c>
      <c r="O145" s="11"/>
      <c r="P145" s="2">
        <v>601.16999999999996</v>
      </c>
      <c r="Q145" s="2"/>
      <c r="R145" s="19">
        <f t="shared" si="12"/>
        <v>2.3857459850528572E-5</v>
      </c>
      <c r="S145" s="2"/>
      <c r="T145" s="2"/>
      <c r="U145" s="2"/>
      <c r="V145" s="19">
        <f t="shared" si="13"/>
        <v>0</v>
      </c>
      <c r="W145" s="2"/>
      <c r="X145" s="2">
        <f t="shared" si="14"/>
        <v>601.16999999999996</v>
      </c>
      <c r="Y145" s="2"/>
      <c r="Z145" s="19">
        <f t="shared" si="15"/>
        <v>0</v>
      </c>
    </row>
    <row r="146" spans="1:26" s="24" customFormat="1" hidden="1" outlineLevel="1" x14ac:dyDescent="0.25">
      <c r="A146" s="44"/>
      <c r="B146" s="11" t="str">
        <f>CONCATENATE("          ", "5017", " - ", "PURCHASES @ COST-DORM/HOUSEWAR")</f>
        <v xml:space="preserve">          5017 - PURCHASES @ COST-DORM/HOUSEWAR</v>
      </c>
      <c r="C146" s="11"/>
      <c r="D146" s="2"/>
      <c r="E146" s="2"/>
      <c r="F146" s="19">
        <f t="shared" si="8"/>
        <v>0</v>
      </c>
      <c r="G146" s="2"/>
      <c r="H146" s="2"/>
      <c r="I146" s="2"/>
      <c r="J146" s="19">
        <f t="shared" si="9"/>
        <v>0</v>
      </c>
      <c r="K146" s="2"/>
      <c r="L146" s="2">
        <f t="shared" si="10"/>
        <v>0</v>
      </c>
      <c r="M146" s="2"/>
      <c r="N146" s="19">
        <f t="shared" si="11"/>
        <v>0</v>
      </c>
      <c r="O146" s="11"/>
      <c r="P146" s="2">
        <v>0</v>
      </c>
      <c r="Q146" s="2"/>
      <c r="R146" s="19">
        <f t="shared" si="12"/>
        <v>0</v>
      </c>
      <c r="S146" s="2"/>
      <c r="T146" s="2"/>
      <c r="U146" s="2"/>
      <c r="V146" s="19">
        <f t="shared" si="13"/>
        <v>0</v>
      </c>
      <c r="W146" s="2"/>
      <c r="X146" s="2">
        <f t="shared" si="14"/>
        <v>0</v>
      </c>
      <c r="Y146" s="2"/>
      <c r="Z146" s="19">
        <f t="shared" si="15"/>
        <v>0</v>
      </c>
    </row>
    <row r="147" spans="1:26" s="24" customFormat="1" hidden="1" outlineLevel="1" x14ac:dyDescent="0.25">
      <c r="A147" s="44"/>
      <c r="B147" s="11" t="str">
        <f>CONCATENATE("          ", "5018", " - ", "PURCHASES @ COST-STUDY GUIDES")</f>
        <v xml:space="preserve">          5018 - PURCHASES @ COST-STUDY GUIDES</v>
      </c>
      <c r="C147" s="11"/>
      <c r="D147" s="2">
        <v>237.28</v>
      </c>
      <c r="E147" s="2"/>
      <c r="F147" s="19">
        <f t="shared" si="8"/>
        <v>6.8445308349157364E-5</v>
      </c>
      <c r="G147" s="2"/>
      <c r="H147" s="2"/>
      <c r="I147" s="2"/>
      <c r="J147" s="19">
        <f t="shared" si="9"/>
        <v>0</v>
      </c>
      <c r="K147" s="2"/>
      <c r="L147" s="2">
        <f t="shared" si="10"/>
        <v>237.28</v>
      </c>
      <c r="M147" s="2"/>
      <c r="N147" s="19">
        <f t="shared" si="11"/>
        <v>0</v>
      </c>
      <c r="O147" s="11"/>
      <c r="P147" s="2">
        <v>2268.4299999999998</v>
      </c>
      <c r="Q147" s="2"/>
      <c r="R147" s="19">
        <f t="shared" si="12"/>
        <v>9.002275171537922E-5</v>
      </c>
      <c r="S147" s="2"/>
      <c r="T147" s="2"/>
      <c r="U147" s="2"/>
      <c r="V147" s="19">
        <f t="shared" si="13"/>
        <v>0</v>
      </c>
      <c r="W147" s="2"/>
      <c r="X147" s="2">
        <f t="shared" si="14"/>
        <v>2268.4299999999998</v>
      </c>
      <c r="Y147" s="2"/>
      <c r="Z147" s="19">
        <f t="shared" si="15"/>
        <v>0</v>
      </c>
    </row>
    <row r="148" spans="1:26" s="24" customFormat="1" hidden="1" outlineLevel="1" x14ac:dyDescent="0.25">
      <c r="A148" s="44"/>
      <c r="B148" s="11" t="str">
        <f>CONCATENATE("          ", "5025", " - ", "PURCHASES @ COST-TEST FORMS")</f>
        <v xml:space="preserve">          5025 - PURCHASES @ COST-TEST FORMS</v>
      </c>
      <c r="C148" s="11"/>
      <c r="D148" s="2">
        <v>3423</v>
      </c>
      <c r="E148" s="2"/>
      <c r="F148" s="19">
        <f t="shared" si="8"/>
        <v>9.873916490187359E-4</v>
      </c>
      <c r="G148" s="2"/>
      <c r="H148" s="2"/>
      <c r="I148" s="2"/>
      <c r="J148" s="19">
        <f t="shared" si="9"/>
        <v>0</v>
      </c>
      <c r="K148" s="2"/>
      <c r="L148" s="2">
        <f t="shared" si="10"/>
        <v>3423</v>
      </c>
      <c r="M148" s="2"/>
      <c r="N148" s="19">
        <f t="shared" si="11"/>
        <v>0</v>
      </c>
      <c r="O148" s="11"/>
      <c r="P148" s="2">
        <v>26401.390000000003</v>
      </c>
      <c r="Q148" s="2"/>
      <c r="R148" s="19">
        <f t="shared" si="12"/>
        <v>1.0477404094069009E-3</v>
      </c>
      <c r="S148" s="2"/>
      <c r="T148" s="2"/>
      <c r="U148" s="2"/>
      <c r="V148" s="19">
        <f t="shared" si="13"/>
        <v>0</v>
      </c>
      <c r="W148" s="2"/>
      <c r="X148" s="2">
        <f t="shared" si="14"/>
        <v>26401.390000000003</v>
      </c>
      <c r="Y148" s="2"/>
      <c r="Z148" s="19">
        <f t="shared" si="15"/>
        <v>0</v>
      </c>
    </row>
    <row r="149" spans="1:26" s="24" customFormat="1" hidden="1" outlineLevel="1" x14ac:dyDescent="0.25">
      <c r="A149" s="44"/>
      <c r="B149" s="11" t="str">
        <f>CONCATENATE("          ", "5026", " - ", "PURCHASES @ COST-WRITING INSTR")</f>
        <v xml:space="preserve">          5026 - PURCHASES @ COST-WRITING INSTR</v>
      </c>
      <c r="C149" s="11"/>
      <c r="D149" s="2">
        <v>2265.86</v>
      </c>
      <c r="E149" s="2"/>
      <c r="F149" s="19">
        <f t="shared" si="8"/>
        <v>6.5360538762652433E-4</v>
      </c>
      <c r="G149" s="2"/>
      <c r="H149" s="2"/>
      <c r="I149" s="2"/>
      <c r="J149" s="19">
        <f t="shared" si="9"/>
        <v>0</v>
      </c>
      <c r="K149" s="2"/>
      <c r="L149" s="2">
        <f t="shared" si="10"/>
        <v>2265.86</v>
      </c>
      <c r="M149" s="2"/>
      <c r="N149" s="19">
        <f t="shared" si="11"/>
        <v>0</v>
      </c>
      <c r="O149" s="11"/>
      <c r="P149" s="2">
        <v>45762.009999999995</v>
      </c>
      <c r="Q149" s="2"/>
      <c r="R149" s="19">
        <f t="shared" si="12"/>
        <v>1.8160675287430957E-3</v>
      </c>
      <c r="S149" s="2"/>
      <c r="T149" s="2"/>
      <c r="U149" s="2"/>
      <c r="V149" s="19">
        <f t="shared" si="13"/>
        <v>0</v>
      </c>
      <c r="W149" s="2"/>
      <c r="X149" s="2">
        <f t="shared" si="14"/>
        <v>45762.009999999995</v>
      </c>
      <c r="Y149" s="2"/>
      <c r="Z149" s="19">
        <f t="shared" si="15"/>
        <v>0</v>
      </c>
    </row>
    <row r="150" spans="1:26" s="24" customFormat="1" hidden="1" outlineLevel="1" x14ac:dyDescent="0.25">
      <c r="A150" s="44"/>
      <c r="B150" s="11" t="str">
        <f>CONCATENATE("          ", "5027", " - ", "PURCHASES @ COST-SCHOOL SUPPLI")</f>
        <v xml:space="preserve">          5027 - PURCHASES @ COST-SCHOOL SUPPLI</v>
      </c>
      <c r="C150" s="11"/>
      <c r="D150" s="2">
        <v>-2462.8200000000002</v>
      </c>
      <c r="E150" s="2"/>
      <c r="F150" s="19">
        <f t="shared" si="8"/>
        <v>-7.1042007041668802E-4</v>
      </c>
      <c r="G150" s="2"/>
      <c r="H150" s="2"/>
      <c r="I150" s="2"/>
      <c r="J150" s="19">
        <f t="shared" si="9"/>
        <v>0</v>
      </c>
      <c r="K150" s="2"/>
      <c r="L150" s="2">
        <f t="shared" si="10"/>
        <v>-2462.8200000000002</v>
      </c>
      <c r="M150" s="2"/>
      <c r="N150" s="19">
        <f t="shared" si="11"/>
        <v>0</v>
      </c>
      <c r="O150" s="11"/>
      <c r="P150" s="2">
        <v>118351.2</v>
      </c>
      <c r="Q150" s="2"/>
      <c r="R150" s="19">
        <f t="shared" si="12"/>
        <v>4.6967729631583032E-3</v>
      </c>
      <c r="S150" s="2"/>
      <c r="T150" s="2"/>
      <c r="U150" s="2"/>
      <c r="V150" s="19">
        <f t="shared" si="13"/>
        <v>0</v>
      </c>
      <c r="W150" s="2"/>
      <c r="X150" s="2">
        <f t="shared" si="14"/>
        <v>118351.2</v>
      </c>
      <c r="Y150" s="2"/>
      <c r="Z150" s="19">
        <f t="shared" si="15"/>
        <v>0</v>
      </c>
    </row>
    <row r="151" spans="1:26" s="24" customFormat="1" hidden="1" outlineLevel="1" x14ac:dyDescent="0.25">
      <c r="A151" s="44"/>
      <c r="B151" s="11" t="str">
        <f>CONCATENATE("          ", "5028", " - ", "PURCHASES @ COST-ART/TECH")</f>
        <v xml:space="preserve">          5028 - PURCHASES @ COST-ART/TECH</v>
      </c>
      <c r="C151" s="11"/>
      <c r="D151" s="2">
        <v>11525.28</v>
      </c>
      <c r="E151" s="2"/>
      <c r="F151" s="19">
        <f t="shared" si="8"/>
        <v>3.3245589321071155E-3</v>
      </c>
      <c r="G151" s="2"/>
      <c r="H151" s="2"/>
      <c r="I151" s="2"/>
      <c r="J151" s="19">
        <f t="shared" si="9"/>
        <v>0</v>
      </c>
      <c r="K151" s="2"/>
      <c r="L151" s="2">
        <f t="shared" si="10"/>
        <v>11525.28</v>
      </c>
      <c r="M151" s="2"/>
      <c r="N151" s="19">
        <f t="shared" si="11"/>
        <v>0</v>
      </c>
      <c r="O151" s="11"/>
      <c r="P151" s="2">
        <v>146652.78</v>
      </c>
      <c r="Q151" s="2"/>
      <c r="R151" s="19">
        <f t="shared" si="12"/>
        <v>5.8199225024841549E-3</v>
      </c>
      <c r="S151" s="2"/>
      <c r="T151" s="2"/>
      <c r="U151" s="2"/>
      <c r="V151" s="19">
        <f t="shared" si="13"/>
        <v>0</v>
      </c>
      <c r="W151" s="2"/>
      <c r="X151" s="2">
        <f t="shared" si="14"/>
        <v>146652.78</v>
      </c>
      <c r="Y151" s="2"/>
      <c r="Z151" s="19">
        <f t="shared" si="15"/>
        <v>0</v>
      </c>
    </row>
    <row r="152" spans="1:26" s="24" customFormat="1" hidden="1" outlineLevel="1" x14ac:dyDescent="0.25">
      <c r="A152" s="44"/>
      <c r="B152" s="11" t="str">
        <f>CONCATENATE("          ", "5031", " - ", "PURCHASES @ COST-FOOD")</f>
        <v xml:space="preserve">          5031 - PURCHASES @ COST-FOOD</v>
      </c>
      <c r="C152" s="11"/>
      <c r="D152" s="2">
        <v>5225.67</v>
      </c>
      <c r="E152" s="2"/>
      <c r="F152" s="19">
        <f t="shared" si="8"/>
        <v>1.5073861871246676E-3</v>
      </c>
      <c r="G152" s="2"/>
      <c r="H152" s="2"/>
      <c r="I152" s="2"/>
      <c r="J152" s="19">
        <f t="shared" si="9"/>
        <v>0</v>
      </c>
      <c r="K152" s="2"/>
      <c r="L152" s="2">
        <f t="shared" si="10"/>
        <v>5225.67</v>
      </c>
      <c r="M152" s="2"/>
      <c r="N152" s="19">
        <f t="shared" si="11"/>
        <v>0</v>
      </c>
      <c r="O152" s="11"/>
      <c r="P152" s="2">
        <v>30126.060000000005</v>
      </c>
      <c r="Q152" s="2"/>
      <c r="R152" s="19">
        <f t="shared" si="12"/>
        <v>1.1955541143181046E-3</v>
      </c>
      <c r="S152" s="2"/>
      <c r="T152" s="2"/>
      <c r="U152" s="2"/>
      <c r="V152" s="19">
        <f t="shared" si="13"/>
        <v>0</v>
      </c>
      <c r="W152" s="2"/>
      <c r="X152" s="2">
        <f t="shared" si="14"/>
        <v>30126.060000000005</v>
      </c>
      <c r="Y152" s="2"/>
      <c r="Z152" s="19">
        <f t="shared" si="15"/>
        <v>0</v>
      </c>
    </row>
    <row r="153" spans="1:26" s="24" customFormat="1" hidden="1" outlineLevel="1" x14ac:dyDescent="0.25">
      <c r="A153" s="44"/>
      <c r="B153" s="11" t="str">
        <f>CONCATENATE("          ", "5032", " - ", "PURCHASES @ COST-JUICE")</f>
        <v xml:space="preserve">          5032 - PURCHASES @ COST-JUICE</v>
      </c>
      <c r="C153" s="11"/>
      <c r="D153" s="2">
        <v>1720.97</v>
      </c>
      <c r="E153" s="2"/>
      <c r="F153" s="19">
        <f t="shared" si="8"/>
        <v>4.9642752153426057E-4</v>
      </c>
      <c r="G153" s="2"/>
      <c r="H153" s="2"/>
      <c r="I153" s="2"/>
      <c r="J153" s="19">
        <f t="shared" si="9"/>
        <v>0</v>
      </c>
      <c r="K153" s="2"/>
      <c r="L153" s="2">
        <f t="shared" si="10"/>
        <v>1720.97</v>
      </c>
      <c r="M153" s="2"/>
      <c r="N153" s="19">
        <f t="shared" si="11"/>
        <v>0</v>
      </c>
      <c r="O153" s="11"/>
      <c r="P153" s="2">
        <v>7113.48</v>
      </c>
      <c r="Q153" s="2"/>
      <c r="R153" s="19">
        <f t="shared" si="12"/>
        <v>2.8229878985567804E-4</v>
      </c>
      <c r="S153" s="2"/>
      <c r="T153" s="2"/>
      <c r="U153" s="2"/>
      <c r="V153" s="19">
        <f t="shared" si="13"/>
        <v>0</v>
      </c>
      <c r="W153" s="2"/>
      <c r="X153" s="2">
        <f t="shared" si="14"/>
        <v>7113.48</v>
      </c>
      <c r="Y153" s="2"/>
      <c r="Z153" s="19">
        <f t="shared" si="15"/>
        <v>0</v>
      </c>
    </row>
    <row r="154" spans="1:26" s="24" customFormat="1" hidden="1" outlineLevel="1" x14ac:dyDescent="0.25">
      <c r="A154" s="44"/>
      <c r="B154" s="11" t="str">
        <f>CONCATENATE("          ", "5033", " - ", "PURCHASES @ COST-CANDY")</f>
        <v xml:space="preserve">          5033 - PURCHASES @ COST-CANDY</v>
      </c>
      <c r="C154" s="11"/>
      <c r="D154" s="2">
        <v>1821.44</v>
      </c>
      <c r="E154" s="2"/>
      <c r="F154" s="19">
        <f t="shared" si="8"/>
        <v>5.2540889429993759E-4</v>
      </c>
      <c r="G154" s="2"/>
      <c r="H154" s="2"/>
      <c r="I154" s="2"/>
      <c r="J154" s="19">
        <f t="shared" si="9"/>
        <v>0</v>
      </c>
      <c r="K154" s="2"/>
      <c r="L154" s="2">
        <f t="shared" si="10"/>
        <v>1821.44</v>
      </c>
      <c r="M154" s="2"/>
      <c r="N154" s="19">
        <f t="shared" si="11"/>
        <v>0</v>
      </c>
      <c r="O154" s="11"/>
      <c r="P154" s="2">
        <v>8825.06</v>
      </c>
      <c r="Q154" s="2"/>
      <c r="R154" s="19">
        <f t="shared" si="12"/>
        <v>3.5022292301429821E-4</v>
      </c>
      <c r="S154" s="2"/>
      <c r="T154" s="2"/>
      <c r="U154" s="2"/>
      <c r="V154" s="19">
        <f t="shared" si="13"/>
        <v>0</v>
      </c>
      <c r="W154" s="2"/>
      <c r="X154" s="2">
        <f t="shared" si="14"/>
        <v>8825.06</v>
      </c>
      <c r="Y154" s="2"/>
      <c r="Z154" s="19">
        <f t="shared" si="15"/>
        <v>0</v>
      </c>
    </row>
    <row r="155" spans="1:26" s="24" customFormat="1" hidden="1" outlineLevel="1" x14ac:dyDescent="0.25">
      <c r="A155" s="44"/>
      <c r="B155" s="11" t="str">
        <f>CONCATENATE("          ", "5034", " - ", "PURCHASES @ COST-SODA")</f>
        <v xml:space="preserve">          5034 - PURCHASES @ COST-SODA</v>
      </c>
      <c r="C155" s="11"/>
      <c r="D155" s="2">
        <v>1637.93</v>
      </c>
      <c r="E155" s="2"/>
      <c r="F155" s="19">
        <f t="shared" si="8"/>
        <v>4.7247397127585689E-4</v>
      </c>
      <c r="G155" s="2"/>
      <c r="H155" s="2"/>
      <c r="I155" s="2"/>
      <c r="J155" s="19">
        <f t="shared" si="9"/>
        <v>0</v>
      </c>
      <c r="K155" s="2"/>
      <c r="L155" s="2">
        <f t="shared" si="10"/>
        <v>1637.93</v>
      </c>
      <c r="M155" s="2"/>
      <c r="N155" s="19">
        <f t="shared" si="11"/>
        <v>0</v>
      </c>
      <c r="O155" s="11"/>
      <c r="P155" s="2">
        <v>3762.09</v>
      </c>
      <c r="Q155" s="2"/>
      <c r="R155" s="19">
        <f t="shared" si="12"/>
        <v>1.4929871937900268E-4</v>
      </c>
      <c r="S155" s="2"/>
      <c r="T155" s="2"/>
      <c r="U155" s="2"/>
      <c r="V155" s="19">
        <f t="shared" si="13"/>
        <v>0</v>
      </c>
      <c r="W155" s="2"/>
      <c r="X155" s="2">
        <f t="shared" si="14"/>
        <v>3762.09</v>
      </c>
      <c r="Y155" s="2"/>
      <c r="Z155" s="19">
        <f t="shared" si="15"/>
        <v>0</v>
      </c>
    </row>
    <row r="156" spans="1:26" s="24" customFormat="1" hidden="1" outlineLevel="1" x14ac:dyDescent="0.25">
      <c r="A156" s="44"/>
      <c r="B156" s="11" t="str">
        <f>CONCATENATE("          ", "5035", " - ", "PURCHASES @ COST-HEALTH &amp; BEAU")</f>
        <v xml:space="preserve">          5035 - PURCHASES @ COST-HEALTH &amp; BEAU</v>
      </c>
      <c r="C156" s="11"/>
      <c r="D156" s="2">
        <v>198.47</v>
      </c>
      <c r="E156" s="2"/>
      <c r="F156" s="19">
        <f t="shared" si="8"/>
        <v>5.7250254332675575E-5</v>
      </c>
      <c r="G156" s="2"/>
      <c r="H156" s="2"/>
      <c r="I156" s="2"/>
      <c r="J156" s="19">
        <f t="shared" si="9"/>
        <v>0</v>
      </c>
      <c r="K156" s="2"/>
      <c r="L156" s="2">
        <f t="shared" si="10"/>
        <v>198.47</v>
      </c>
      <c r="M156" s="2"/>
      <c r="N156" s="19">
        <f t="shared" si="11"/>
        <v>0</v>
      </c>
      <c r="O156" s="11"/>
      <c r="P156" s="2">
        <v>1055.67</v>
      </c>
      <c r="Q156" s="2"/>
      <c r="R156" s="19">
        <f t="shared" si="12"/>
        <v>4.189431382205948E-5</v>
      </c>
      <c r="S156" s="2"/>
      <c r="T156" s="2"/>
      <c r="U156" s="2"/>
      <c r="V156" s="19">
        <f t="shared" si="13"/>
        <v>0</v>
      </c>
      <c r="W156" s="2"/>
      <c r="X156" s="2">
        <f t="shared" si="14"/>
        <v>1055.67</v>
      </c>
      <c r="Y156" s="2"/>
      <c r="Z156" s="19">
        <f t="shared" si="15"/>
        <v>0</v>
      </c>
    </row>
    <row r="157" spans="1:26" s="24" customFormat="1" hidden="1" outlineLevel="1" x14ac:dyDescent="0.25">
      <c r="A157" s="44"/>
      <c r="B157" s="11" t="str">
        <f>CONCATENATE("          ", "5037", " - ", "PURCHASES @ COST-WATER")</f>
        <v xml:space="preserve">          5037 - PURCHASES @ COST-WATER</v>
      </c>
      <c r="C157" s="11"/>
      <c r="D157" s="2">
        <v>1540.46</v>
      </c>
      <c r="E157" s="2"/>
      <c r="F157" s="19">
        <f t="shared" si="8"/>
        <v>4.443579724357002E-4</v>
      </c>
      <c r="G157" s="2"/>
      <c r="H157" s="2"/>
      <c r="I157" s="2"/>
      <c r="J157" s="19">
        <f t="shared" si="9"/>
        <v>0</v>
      </c>
      <c r="K157" s="2"/>
      <c r="L157" s="2">
        <f t="shared" si="10"/>
        <v>1540.46</v>
      </c>
      <c r="M157" s="2"/>
      <c r="N157" s="19">
        <f t="shared" si="11"/>
        <v>0</v>
      </c>
      <c r="O157" s="11"/>
      <c r="P157" s="2">
        <v>5299.73</v>
      </c>
      <c r="Q157" s="2"/>
      <c r="R157" s="19">
        <f t="shared" si="12"/>
        <v>2.1032003542033331E-4</v>
      </c>
      <c r="S157" s="2"/>
      <c r="T157" s="2"/>
      <c r="U157" s="2"/>
      <c r="V157" s="19">
        <f t="shared" si="13"/>
        <v>0</v>
      </c>
      <c r="W157" s="2"/>
      <c r="X157" s="2">
        <f t="shared" si="14"/>
        <v>5299.73</v>
      </c>
      <c r="Y157" s="2"/>
      <c r="Z157" s="19">
        <f t="shared" si="15"/>
        <v>0</v>
      </c>
    </row>
    <row r="158" spans="1:26" s="24" customFormat="1" hidden="1" outlineLevel="1" x14ac:dyDescent="0.25">
      <c r="A158" s="44"/>
      <c r="B158" s="11" t="str">
        <f>CONCATENATE("          ", "5040", " - ", "PURCHASES @ COST-LOGO CLOTHING")</f>
        <v xml:space="preserve">          5040 - PURCHASES @ COST-LOGO CLOTHING</v>
      </c>
      <c r="C158" s="11"/>
      <c r="D158" s="2">
        <v>90806.55</v>
      </c>
      <c r="E158" s="2"/>
      <c r="F158" s="19">
        <f t="shared" si="8"/>
        <v>2.6193873545487086E-2</v>
      </c>
      <c r="G158" s="2"/>
      <c r="H158" s="2"/>
      <c r="I158" s="2"/>
      <c r="J158" s="19">
        <f t="shared" si="9"/>
        <v>0</v>
      </c>
      <c r="K158" s="2"/>
      <c r="L158" s="2">
        <f t="shared" si="10"/>
        <v>90806.55</v>
      </c>
      <c r="M158" s="2"/>
      <c r="N158" s="19">
        <f t="shared" si="11"/>
        <v>0</v>
      </c>
      <c r="O158" s="11"/>
      <c r="P158" s="2">
        <v>901545.55999999994</v>
      </c>
      <c r="Q158" s="2"/>
      <c r="R158" s="19">
        <f t="shared" si="12"/>
        <v>3.5777878139498474E-2</v>
      </c>
      <c r="S158" s="2"/>
      <c r="T158" s="2"/>
      <c r="U158" s="2"/>
      <c r="V158" s="19">
        <f t="shared" si="13"/>
        <v>0</v>
      </c>
      <c r="W158" s="2"/>
      <c r="X158" s="2">
        <f t="shared" si="14"/>
        <v>901545.55999999994</v>
      </c>
      <c r="Y158" s="2"/>
      <c r="Z158" s="19">
        <f t="shared" si="15"/>
        <v>0</v>
      </c>
    </row>
    <row r="159" spans="1:26" s="24" customFormat="1" hidden="1" outlineLevel="1" x14ac:dyDescent="0.25">
      <c r="A159" s="44"/>
      <c r="B159" s="11" t="str">
        <f>CONCATENATE("          ", "5041", " - ", "PURCHASES @ COST-LOGO GIFTS")</f>
        <v xml:space="preserve">          5041 - PURCHASES @ COST-LOGO GIFTS</v>
      </c>
      <c r="C159" s="11"/>
      <c r="D159" s="2">
        <v>10366.19</v>
      </c>
      <c r="E159" s="2"/>
      <c r="F159" s="19">
        <f t="shared" si="8"/>
        <v>2.9902101776633156E-3</v>
      </c>
      <c r="G159" s="2"/>
      <c r="H159" s="2"/>
      <c r="I159" s="2"/>
      <c r="J159" s="19">
        <f t="shared" si="9"/>
        <v>0</v>
      </c>
      <c r="K159" s="2"/>
      <c r="L159" s="2">
        <f t="shared" si="10"/>
        <v>10366.19</v>
      </c>
      <c r="M159" s="2"/>
      <c r="N159" s="19">
        <f t="shared" si="11"/>
        <v>0</v>
      </c>
      <c r="O159" s="11"/>
      <c r="P159" s="2">
        <v>134382.06</v>
      </c>
      <c r="Q159" s="2"/>
      <c r="R159" s="19">
        <f t="shared" si="12"/>
        <v>5.3329583995896691E-3</v>
      </c>
      <c r="S159" s="2"/>
      <c r="T159" s="2"/>
      <c r="U159" s="2"/>
      <c r="V159" s="19">
        <f t="shared" si="13"/>
        <v>0</v>
      </c>
      <c r="W159" s="2"/>
      <c r="X159" s="2">
        <f t="shared" si="14"/>
        <v>134382.06</v>
      </c>
      <c r="Y159" s="2"/>
      <c r="Z159" s="19">
        <f t="shared" si="15"/>
        <v>0</v>
      </c>
    </row>
    <row r="160" spans="1:26" s="24" customFormat="1" hidden="1" outlineLevel="1" x14ac:dyDescent="0.25">
      <c r="A160" s="44"/>
      <c r="B160" s="11" t="str">
        <f>CONCATENATE("          ", "5042", " - ", "PURCHASES @ COST-EVERYDAY GIFT")</f>
        <v xml:space="preserve">          5042 - PURCHASES @ COST-EVERYDAY GIFT</v>
      </c>
      <c r="C160" s="11"/>
      <c r="D160" s="2">
        <v>8647</v>
      </c>
      <c r="E160" s="2"/>
      <c r="F160" s="19">
        <f t="shared" si="8"/>
        <v>2.4942961113248638E-3</v>
      </c>
      <c r="G160" s="2"/>
      <c r="H160" s="2"/>
      <c r="I160" s="2"/>
      <c r="J160" s="19">
        <f t="shared" si="9"/>
        <v>0</v>
      </c>
      <c r="K160" s="2"/>
      <c r="L160" s="2">
        <f t="shared" si="10"/>
        <v>8647</v>
      </c>
      <c r="M160" s="2"/>
      <c r="N160" s="19">
        <f t="shared" si="11"/>
        <v>0</v>
      </c>
      <c r="O160" s="11"/>
      <c r="P160" s="2">
        <v>100007.97</v>
      </c>
      <c r="Q160" s="2"/>
      <c r="R160" s="19">
        <f t="shared" si="12"/>
        <v>3.9688210140357404E-3</v>
      </c>
      <c r="S160" s="2"/>
      <c r="T160" s="2"/>
      <c r="U160" s="2"/>
      <c r="V160" s="19">
        <f t="shared" si="13"/>
        <v>0</v>
      </c>
      <c r="W160" s="2"/>
      <c r="X160" s="2">
        <f t="shared" si="14"/>
        <v>100007.97</v>
      </c>
      <c r="Y160" s="2"/>
      <c r="Z160" s="19">
        <f t="shared" si="15"/>
        <v>0</v>
      </c>
    </row>
    <row r="161" spans="1:26" s="24" customFormat="1" hidden="1" outlineLevel="1" x14ac:dyDescent="0.25">
      <c r="A161" s="44"/>
      <c r="B161" s="11" t="str">
        <f>CONCATENATE("          ", "5043", " - ", "PURCHASES @ COST-CARDS")</f>
        <v xml:space="preserve">          5043 - PURCHASES @ COST-CARDS</v>
      </c>
      <c r="C161" s="11"/>
      <c r="D161" s="2">
        <v>18340.75</v>
      </c>
      <c r="E161" s="2"/>
      <c r="F161" s="19">
        <f t="shared" si="8"/>
        <v>5.290535608162541E-3</v>
      </c>
      <c r="G161" s="2"/>
      <c r="H161" s="2"/>
      <c r="I161" s="2"/>
      <c r="J161" s="19">
        <f t="shared" si="9"/>
        <v>0</v>
      </c>
      <c r="K161" s="2"/>
      <c r="L161" s="2">
        <f t="shared" si="10"/>
        <v>18340.75</v>
      </c>
      <c r="M161" s="2"/>
      <c r="N161" s="19">
        <f t="shared" si="11"/>
        <v>0</v>
      </c>
      <c r="O161" s="11"/>
      <c r="P161" s="2">
        <v>29035.16</v>
      </c>
      <c r="Q161" s="2"/>
      <c r="R161" s="19">
        <f t="shared" si="12"/>
        <v>1.152261696281706E-3</v>
      </c>
      <c r="S161" s="2"/>
      <c r="T161" s="2"/>
      <c r="U161" s="2"/>
      <c r="V161" s="19">
        <f t="shared" si="13"/>
        <v>0</v>
      </c>
      <c r="W161" s="2"/>
      <c r="X161" s="2">
        <f t="shared" si="14"/>
        <v>29035.16</v>
      </c>
      <c r="Y161" s="2"/>
      <c r="Z161" s="19">
        <f t="shared" si="15"/>
        <v>0</v>
      </c>
    </row>
    <row r="162" spans="1:26" s="24" customFormat="1" hidden="1" outlineLevel="1" x14ac:dyDescent="0.25">
      <c r="A162" s="44"/>
      <c r="B162" s="11" t="str">
        <f>CONCATENATE("          ", "5044", " - ", "PURCHASES @ COST-ACCESSORIES")</f>
        <v xml:space="preserve">          5044 - PURCHASES @ COST-ACCESSORIES</v>
      </c>
      <c r="C162" s="11"/>
      <c r="D162" s="2">
        <v>12532.23</v>
      </c>
      <c r="E162" s="2"/>
      <c r="F162" s="19">
        <f t="shared" si="8"/>
        <v>3.6150216902080257E-3</v>
      </c>
      <c r="G162" s="2"/>
      <c r="H162" s="2"/>
      <c r="I162" s="2"/>
      <c r="J162" s="19">
        <f t="shared" si="9"/>
        <v>0</v>
      </c>
      <c r="K162" s="2"/>
      <c r="L162" s="2">
        <f t="shared" si="10"/>
        <v>12532.23</v>
      </c>
      <c r="M162" s="2"/>
      <c r="N162" s="19">
        <f t="shared" si="11"/>
        <v>0</v>
      </c>
      <c r="O162" s="11"/>
      <c r="P162" s="2">
        <v>33399.440000000002</v>
      </c>
      <c r="Q162" s="2"/>
      <c r="R162" s="19">
        <f t="shared" si="12"/>
        <v>1.3254583542594242E-3</v>
      </c>
      <c r="S162" s="2"/>
      <c r="T162" s="2"/>
      <c r="U162" s="2"/>
      <c r="V162" s="19">
        <f t="shared" si="13"/>
        <v>0</v>
      </c>
      <c r="W162" s="2"/>
      <c r="X162" s="2">
        <f t="shared" si="14"/>
        <v>33399.440000000002</v>
      </c>
      <c r="Y162" s="2"/>
      <c r="Z162" s="19">
        <f t="shared" si="15"/>
        <v>0</v>
      </c>
    </row>
    <row r="163" spans="1:26" s="24" customFormat="1" hidden="1" outlineLevel="1" x14ac:dyDescent="0.25">
      <c r="A163" s="44"/>
      <c r="B163" s="11" t="str">
        <f>CONCATENATE("          ", "5045", " - ", "PURCHASES @ COST-SPECIAL ORDER")</f>
        <v xml:space="preserve">          5045 - PURCHASES @ COST-SPECIAL ORDER</v>
      </c>
      <c r="C163" s="11"/>
      <c r="D163" s="2">
        <v>2948.55</v>
      </c>
      <c r="E163" s="2"/>
      <c r="F163" s="19">
        <f t="shared" si="8"/>
        <v>8.5053276269769025E-4</v>
      </c>
      <c r="G163" s="2"/>
      <c r="H163" s="2"/>
      <c r="I163" s="2"/>
      <c r="J163" s="19">
        <f t="shared" si="9"/>
        <v>0</v>
      </c>
      <c r="K163" s="2"/>
      <c r="L163" s="2">
        <f t="shared" si="10"/>
        <v>2948.55</v>
      </c>
      <c r="M163" s="2"/>
      <c r="N163" s="19">
        <f t="shared" si="11"/>
        <v>0</v>
      </c>
      <c r="O163" s="11"/>
      <c r="P163" s="2">
        <v>50964.780000000006</v>
      </c>
      <c r="Q163" s="2"/>
      <c r="R163" s="19">
        <f t="shared" si="12"/>
        <v>2.0225397019828363E-3</v>
      </c>
      <c r="S163" s="2"/>
      <c r="T163" s="2"/>
      <c r="U163" s="2"/>
      <c r="V163" s="19">
        <f t="shared" si="13"/>
        <v>0</v>
      </c>
      <c r="W163" s="2"/>
      <c r="X163" s="2">
        <f t="shared" si="14"/>
        <v>50964.780000000006</v>
      </c>
      <c r="Y163" s="2"/>
      <c r="Z163" s="19">
        <f t="shared" si="15"/>
        <v>0</v>
      </c>
    </row>
    <row r="164" spans="1:26" s="24" customFormat="1" hidden="1" outlineLevel="1" x14ac:dyDescent="0.25">
      <c r="A164" s="44"/>
      <c r="B164" s="11" t="str">
        <f>CONCATENATE("          ", "5053", " - ", "PURCHASES @ COST-FOOD")</f>
        <v xml:space="preserve">          5053 - PURCHASES @ COST-FOOD</v>
      </c>
      <c r="C164" s="11"/>
      <c r="D164" s="2">
        <v>766817.62</v>
      </c>
      <c r="E164" s="2"/>
      <c r="F164" s="19">
        <f t="shared" si="8"/>
        <v>0.22119465799252772</v>
      </c>
      <c r="G164" s="2"/>
      <c r="H164" s="2"/>
      <c r="I164" s="2"/>
      <c r="J164" s="19">
        <f t="shared" si="9"/>
        <v>0</v>
      </c>
      <c r="K164" s="2"/>
      <c r="L164" s="2">
        <f t="shared" si="10"/>
        <v>766817.62</v>
      </c>
      <c r="M164" s="2"/>
      <c r="N164" s="19">
        <f t="shared" si="11"/>
        <v>0</v>
      </c>
      <c r="O164" s="11"/>
      <c r="P164" s="2">
        <v>4532386.66</v>
      </c>
      <c r="Q164" s="2"/>
      <c r="R164" s="19">
        <f t="shared" si="12"/>
        <v>0.17986797872152852</v>
      </c>
      <c r="S164" s="2"/>
      <c r="T164" s="2"/>
      <c r="U164" s="2"/>
      <c r="V164" s="19">
        <f t="shared" si="13"/>
        <v>0</v>
      </c>
      <c r="W164" s="2"/>
      <c r="X164" s="2">
        <f t="shared" si="14"/>
        <v>4532386.66</v>
      </c>
      <c r="Y164" s="2"/>
      <c r="Z164" s="19">
        <f t="shared" si="15"/>
        <v>0</v>
      </c>
    </row>
    <row r="165" spans="1:26" s="24" customFormat="1" hidden="1" outlineLevel="1" x14ac:dyDescent="0.25">
      <c r="A165" s="44"/>
      <c r="B165" s="11" t="str">
        <f>CONCATENATE("          ", "5059", " - ", "PURCHASES @ COST-FOOD")</f>
        <v xml:space="preserve">          5059 - PURCHASES @ COST-FOOD</v>
      </c>
      <c r="C165" s="11"/>
      <c r="D165" s="2">
        <v>8457.57</v>
      </c>
      <c r="E165" s="2"/>
      <c r="F165" s="19">
        <f t="shared" si="8"/>
        <v>2.4396535170877563E-3</v>
      </c>
      <c r="G165" s="2"/>
      <c r="H165" s="2"/>
      <c r="I165" s="2"/>
      <c r="J165" s="19">
        <f t="shared" si="9"/>
        <v>0</v>
      </c>
      <c r="K165" s="2"/>
      <c r="L165" s="2">
        <f t="shared" si="10"/>
        <v>8457.57</v>
      </c>
      <c r="M165" s="2"/>
      <c r="N165" s="19">
        <f t="shared" si="11"/>
        <v>0</v>
      </c>
      <c r="O165" s="11"/>
      <c r="P165" s="2">
        <v>-100029.2</v>
      </c>
      <c r="Q165" s="2"/>
      <c r="R165" s="19">
        <f t="shared" si="12"/>
        <v>-3.9696635275886898E-3</v>
      </c>
      <c r="S165" s="2"/>
      <c r="T165" s="2"/>
      <c r="U165" s="2"/>
      <c r="V165" s="19">
        <f t="shared" si="13"/>
        <v>0</v>
      </c>
      <c r="W165" s="2"/>
      <c r="X165" s="2">
        <f t="shared" si="14"/>
        <v>-100029.2</v>
      </c>
      <c r="Y165" s="2"/>
      <c r="Z165" s="19">
        <f t="shared" si="15"/>
        <v>0</v>
      </c>
    </row>
    <row r="166" spans="1:26" s="24" customFormat="1" hidden="1" outlineLevel="1" x14ac:dyDescent="0.25">
      <c r="A166" s="44"/>
      <c r="B166" s="11" t="str">
        <f>CONCATENATE("          ", "5081", " - ", "PURCHASES @ COST-ELECTRONICS")</f>
        <v xml:space="preserve">          5081 - PURCHASES @ COST-ELECTRONICS</v>
      </c>
      <c r="C166" s="11"/>
      <c r="D166" s="2">
        <v>7374.68</v>
      </c>
      <c r="E166" s="2"/>
      <c r="F166" s="19">
        <f t="shared" si="8"/>
        <v>2.1272852603521739E-3</v>
      </c>
      <c r="G166" s="2"/>
      <c r="H166" s="2"/>
      <c r="I166" s="2"/>
      <c r="J166" s="19">
        <f t="shared" si="9"/>
        <v>0</v>
      </c>
      <c r="K166" s="2"/>
      <c r="L166" s="2">
        <f t="shared" si="10"/>
        <v>7374.68</v>
      </c>
      <c r="M166" s="2"/>
      <c r="N166" s="19">
        <f t="shared" si="11"/>
        <v>0</v>
      </c>
      <c r="O166" s="11"/>
      <c r="P166" s="2">
        <v>229021.47999999998</v>
      </c>
      <c r="Q166" s="2"/>
      <c r="R166" s="19">
        <f t="shared" si="12"/>
        <v>9.0887282532538752E-3</v>
      </c>
      <c r="S166" s="2"/>
      <c r="T166" s="2"/>
      <c r="U166" s="2"/>
      <c r="V166" s="19">
        <f t="shared" si="13"/>
        <v>0</v>
      </c>
      <c r="W166" s="2"/>
      <c r="X166" s="2">
        <f t="shared" si="14"/>
        <v>229021.47999999998</v>
      </c>
      <c r="Y166" s="2"/>
      <c r="Z166" s="19">
        <f t="shared" si="15"/>
        <v>0</v>
      </c>
    </row>
    <row r="167" spans="1:26" s="24" customFormat="1" hidden="1" outlineLevel="1" x14ac:dyDescent="0.25">
      <c r="A167" s="44"/>
      <c r="B167" s="11" t="str">
        <f>CONCATENATE("          ", "5082", " - ", "PURCHASES @ COST-COMPUTER HARD")</f>
        <v xml:space="preserve">          5082 - PURCHASES @ COST-COMPUTER HARD</v>
      </c>
      <c r="C167" s="11"/>
      <c r="D167" s="2">
        <v>43635.82</v>
      </c>
      <c r="E167" s="2"/>
      <c r="F167" s="19">
        <f t="shared" si="8"/>
        <v>1.2587100282233343E-2</v>
      </c>
      <c r="G167" s="2"/>
      <c r="H167" s="2"/>
      <c r="I167" s="2"/>
      <c r="J167" s="19">
        <f t="shared" si="9"/>
        <v>0</v>
      </c>
      <c r="K167" s="2"/>
      <c r="L167" s="2">
        <f t="shared" si="10"/>
        <v>43635.82</v>
      </c>
      <c r="M167" s="2"/>
      <c r="N167" s="19">
        <f t="shared" si="11"/>
        <v>0</v>
      </c>
      <c r="O167" s="11"/>
      <c r="P167" s="2">
        <v>1211298.58</v>
      </c>
      <c r="Q167" s="2"/>
      <c r="R167" s="19">
        <f t="shared" si="12"/>
        <v>4.807044137157921E-2</v>
      </c>
      <c r="S167" s="2"/>
      <c r="T167" s="2"/>
      <c r="U167" s="2"/>
      <c r="V167" s="19">
        <f t="shared" si="13"/>
        <v>0</v>
      </c>
      <c r="W167" s="2"/>
      <c r="X167" s="2">
        <f t="shared" si="14"/>
        <v>1211298.58</v>
      </c>
      <c r="Y167" s="2"/>
      <c r="Z167" s="19">
        <f t="shared" si="15"/>
        <v>0</v>
      </c>
    </row>
    <row r="168" spans="1:26" s="24" customFormat="1" hidden="1" outlineLevel="1" x14ac:dyDescent="0.25">
      <c r="A168" s="44"/>
      <c r="B168" s="11" t="str">
        <f>CONCATENATE("          ", "5083", " - ", "PURCHASES @ COST-COMPUTER EQUI")</f>
        <v xml:space="preserve">          5083 - PURCHASES @ COST-COMPUTER EQUI</v>
      </c>
      <c r="C168" s="11"/>
      <c r="D168" s="2">
        <v>6151.02</v>
      </c>
      <c r="E168" s="2"/>
      <c r="F168" s="19">
        <f t="shared" si="8"/>
        <v>1.7743107744514241E-3</v>
      </c>
      <c r="G168" s="2"/>
      <c r="H168" s="2"/>
      <c r="I168" s="2"/>
      <c r="J168" s="19">
        <f t="shared" si="9"/>
        <v>0</v>
      </c>
      <c r="K168" s="2"/>
      <c r="L168" s="2">
        <f t="shared" si="10"/>
        <v>6151.02</v>
      </c>
      <c r="M168" s="2"/>
      <c r="N168" s="19">
        <f t="shared" si="11"/>
        <v>0</v>
      </c>
      <c r="O168" s="11"/>
      <c r="P168" s="2">
        <v>71511.8</v>
      </c>
      <c r="Q168" s="2"/>
      <c r="R168" s="19">
        <f t="shared" si="12"/>
        <v>2.8379491613670497E-3</v>
      </c>
      <c r="S168" s="2"/>
      <c r="T168" s="2"/>
      <c r="U168" s="2"/>
      <c r="V168" s="19">
        <f t="shared" si="13"/>
        <v>0</v>
      </c>
      <c r="W168" s="2"/>
      <c r="X168" s="2">
        <f t="shared" si="14"/>
        <v>71511.8</v>
      </c>
      <c r="Y168" s="2"/>
      <c r="Z168" s="19">
        <f t="shared" si="15"/>
        <v>0</v>
      </c>
    </row>
    <row r="169" spans="1:26" s="24" customFormat="1" hidden="1" outlineLevel="1" x14ac:dyDescent="0.25">
      <c r="A169" s="44"/>
      <c r="B169" s="11" t="str">
        <f>CONCATENATE("          ", "5084", " - ", "PURCHASES @ COST-SOFTWARE LICE")</f>
        <v xml:space="preserve">          5084 - PURCHASES @ COST-SOFTWARE LICE</v>
      </c>
      <c r="C169" s="11"/>
      <c r="D169" s="2"/>
      <c r="E169" s="2"/>
      <c r="F169" s="19">
        <f t="shared" si="8"/>
        <v>0</v>
      </c>
      <c r="G169" s="2"/>
      <c r="H169" s="2"/>
      <c r="I169" s="2"/>
      <c r="J169" s="19">
        <f t="shared" si="9"/>
        <v>0</v>
      </c>
      <c r="K169" s="2"/>
      <c r="L169" s="2">
        <f t="shared" si="10"/>
        <v>0</v>
      </c>
      <c r="M169" s="2"/>
      <c r="N169" s="19">
        <f t="shared" si="11"/>
        <v>0</v>
      </c>
      <c r="O169" s="11"/>
      <c r="P169" s="2">
        <v>2728</v>
      </c>
      <c r="Q169" s="2"/>
      <c r="R169" s="19">
        <f t="shared" si="12"/>
        <v>1.0826080887642755E-4</v>
      </c>
      <c r="S169" s="2"/>
      <c r="T169" s="2"/>
      <c r="U169" s="2"/>
      <c r="V169" s="19">
        <f t="shared" si="13"/>
        <v>0</v>
      </c>
      <c r="W169" s="2"/>
      <c r="X169" s="2">
        <f t="shared" si="14"/>
        <v>2728</v>
      </c>
      <c r="Y169" s="2"/>
      <c r="Z169" s="19">
        <f t="shared" si="15"/>
        <v>0</v>
      </c>
    </row>
    <row r="170" spans="1:26" s="24" customFormat="1" hidden="1" outlineLevel="1" x14ac:dyDescent="0.25">
      <c r="A170" s="44"/>
      <c r="B170" s="11" t="str">
        <f>CONCATENATE("          ", "5085", " - ", "PURCHASES @ COST-SOFTWARE")</f>
        <v xml:space="preserve">          5085 - PURCHASES @ COST-SOFTWARE</v>
      </c>
      <c r="C170" s="11"/>
      <c r="D170" s="2">
        <v>1301.73</v>
      </c>
      <c r="E170" s="2"/>
      <c r="F170" s="19">
        <f t="shared" si="8"/>
        <v>3.7549440002254133E-4</v>
      </c>
      <c r="G170" s="2"/>
      <c r="H170" s="2"/>
      <c r="I170" s="2"/>
      <c r="J170" s="19">
        <f t="shared" si="9"/>
        <v>0</v>
      </c>
      <c r="K170" s="2"/>
      <c r="L170" s="2">
        <f t="shared" si="10"/>
        <v>1301.73</v>
      </c>
      <c r="M170" s="2"/>
      <c r="N170" s="19">
        <f t="shared" si="11"/>
        <v>0</v>
      </c>
      <c r="O170" s="11"/>
      <c r="P170" s="2">
        <v>9162.39</v>
      </c>
      <c r="Q170" s="2"/>
      <c r="R170" s="19">
        <f t="shared" si="12"/>
        <v>3.6360988000047319E-4</v>
      </c>
      <c r="S170" s="2"/>
      <c r="T170" s="2"/>
      <c r="U170" s="2"/>
      <c r="V170" s="19">
        <f t="shared" si="13"/>
        <v>0</v>
      </c>
      <c r="W170" s="2"/>
      <c r="X170" s="2">
        <f t="shared" si="14"/>
        <v>9162.39</v>
      </c>
      <c r="Y170" s="2"/>
      <c r="Z170" s="19">
        <f t="shared" si="15"/>
        <v>0</v>
      </c>
    </row>
    <row r="171" spans="1:26" s="24" customFormat="1" hidden="1" outlineLevel="1" x14ac:dyDescent="0.25">
      <c r="A171" s="44"/>
      <c r="B171" s="11" t="str">
        <f>CONCATENATE("          ", "5086", " - ", "PURCHASES @ COST-COMPUTER SUPP")</f>
        <v xml:space="preserve">          5086 - PURCHASES @ COST-COMPUTER SUPP</v>
      </c>
      <c r="C171" s="11"/>
      <c r="D171" s="2">
        <v>4080.56</v>
      </c>
      <c r="E171" s="2"/>
      <c r="F171" s="19">
        <f t="shared" si="8"/>
        <v>1.1770700751737929E-3</v>
      </c>
      <c r="G171" s="2"/>
      <c r="H171" s="2"/>
      <c r="I171" s="2"/>
      <c r="J171" s="19">
        <f t="shared" si="9"/>
        <v>0</v>
      </c>
      <c r="K171" s="2"/>
      <c r="L171" s="2">
        <f t="shared" si="10"/>
        <v>4080.56</v>
      </c>
      <c r="M171" s="2"/>
      <c r="N171" s="19">
        <f t="shared" si="11"/>
        <v>0</v>
      </c>
      <c r="O171" s="11"/>
      <c r="P171" s="2">
        <v>29428.32</v>
      </c>
      <c r="Q171" s="2"/>
      <c r="R171" s="19">
        <f t="shared" si="12"/>
        <v>1.167864269455407E-3</v>
      </c>
      <c r="S171" s="2"/>
      <c r="T171" s="2"/>
      <c r="U171" s="2"/>
      <c r="V171" s="19">
        <f t="shared" si="13"/>
        <v>0</v>
      </c>
      <c r="W171" s="2"/>
      <c r="X171" s="2">
        <f t="shared" si="14"/>
        <v>29428.32</v>
      </c>
      <c r="Y171" s="2"/>
      <c r="Z171" s="19">
        <f t="shared" si="15"/>
        <v>0</v>
      </c>
    </row>
    <row r="172" spans="1:26" s="24" customFormat="1" hidden="1" outlineLevel="1" x14ac:dyDescent="0.25">
      <c r="A172" s="44"/>
      <c r="B172" s="11" t="str">
        <f>CONCATENATE("          ", "5088", " - ", "PURCHASES @ COST-MUSIC")</f>
        <v xml:space="preserve">          5088 - PURCHASES @ COST-MUSIC</v>
      </c>
      <c r="C172" s="11"/>
      <c r="D172" s="2">
        <v>6.9</v>
      </c>
      <c r="E172" s="2"/>
      <c r="F172" s="19">
        <f t="shared" si="8"/>
        <v>1.9903600286968382E-6</v>
      </c>
      <c r="G172" s="2"/>
      <c r="H172" s="2"/>
      <c r="I172" s="2"/>
      <c r="J172" s="19">
        <f t="shared" si="9"/>
        <v>0</v>
      </c>
      <c r="K172" s="2"/>
      <c r="L172" s="2">
        <f t="shared" si="10"/>
        <v>6.9</v>
      </c>
      <c r="M172" s="2"/>
      <c r="N172" s="19">
        <f t="shared" si="11"/>
        <v>0</v>
      </c>
      <c r="O172" s="11"/>
      <c r="P172" s="2">
        <v>95.65</v>
      </c>
      <c r="Q172" s="2"/>
      <c r="R172" s="19">
        <f t="shared" si="12"/>
        <v>3.79587476870612E-6</v>
      </c>
      <c r="S172" s="2"/>
      <c r="T172" s="2"/>
      <c r="U172" s="2"/>
      <c r="V172" s="19">
        <f t="shared" si="13"/>
        <v>0</v>
      </c>
      <c r="W172" s="2"/>
      <c r="X172" s="2">
        <f t="shared" si="14"/>
        <v>95.65</v>
      </c>
      <c r="Y172" s="2"/>
      <c r="Z172" s="19">
        <f t="shared" si="15"/>
        <v>0</v>
      </c>
    </row>
    <row r="173" spans="1:26" s="24" customFormat="1" hidden="1" outlineLevel="1" x14ac:dyDescent="0.25">
      <c r="A173" s="44"/>
      <c r="B173" s="11" t="str">
        <f>CONCATENATE("          ", "5092", " - ", "PURCHASES @ COST-GRAD MERCH")</f>
        <v xml:space="preserve">          5092 - PURCHASES @ COST-GRAD MERCH</v>
      </c>
      <c r="C173" s="11"/>
      <c r="D173" s="2">
        <v>-137.06</v>
      </c>
      <c r="E173" s="2"/>
      <c r="F173" s="19">
        <f t="shared" si="8"/>
        <v>-3.9536050077273717E-5</v>
      </c>
      <c r="G173" s="2"/>
      <c r="H173" s="2"/>
      <c r="I173" s="2"/>
      <c r="J173" s="19">
        <f t="shared" si="9"/>
        <v>0</v>
      </c>
      <c r="K173" s="2"/>
      <c r="L173" s="2">
        <f t="shared" si="10"/>
        <v>-137.06</v>
      </c>
      <c r="M173" s="2"/>
      <c r="N173" s="19">
        <f t="shared" si="11"/>
        <v>0</v>
      </c>
      <c r="O173" s="11"/>
      <c r="P173" s="2">
        <v>1909.8</v>
      </c>
      <c r="Q173" s="2"/>
      <c r="R173" s="19">
        <f t="shared" si="12"/>
        <v>7.5790503222947692E-5</v>
      </c>
      <c r="S173" s="2"/>
      <c r="T173" s="2"/>
      <c r="U173" s="2"/>
      <c r="V173" s="19">
        <f t="shared" si="13"/>
        <v>0</v>
      </c>
      <c r="W173" s="2"/>
      <c r="X173" s="2">
        <f t="shared" si="14"/>
        <v>1909.8</v>
      </c>
      <c r="Y173" s="2"/>
      <c r="Z173" s="19">
        <f t="shared" si="15"/>
        <v>0</v>
      </c>
    </row>
    <row r="174" spans="1:26" s="24" customFormat="1" hidden="1" outlineLevel="1" x14ac:dyDescent="0.25">
      <c r="A174" s="44"/>
      <c r="B174" s="11" t="str">
        <f>CONCATENATE("          ", "5095", " - ", "PURCHASES @ COST-CUSTOMER SERV")</f>
        <v xml:space="preserve">          5095 - PURCHASES @ COST-CUSTOMER SERV</v>
      </c>
      <c r="C174" s="11"/>
      <c r="D174" s="2"/>
      <c r="E174" s="2"/>
      <c r="F174" s="19">
        <f t="shared" si="8"/>
        <v>0</v>
      </c>
      <c r="G174" s="2"/>
      <c r="H174" s="2"/>
      <c r="I174" s="2"/>
      <c r="J174" s="19">
        <f t="shared" si="9"/>
        <v>0</v>
      </c>
      <c r="K174" s="2"/>
      <c r="L174" s="2">
        <f t="shared" si="10"/>
        <v>0</v>
      </c>
      <c r="M174" s="2"/>
      <c r="N174" s="19">
        <f t="shared" si="11"/>
        <v>0</v>
      </c>
      <c r="O174" s="11"/>
      <c r="P174" s="2">
        <v>0</v>
      </c>
      <c r="Q174" s="2"/>
      <c r="R174" s="19">
        <f t="shared" si="12"/>
        <v>0</v>
      </c>
      <c r="S174" s="2"/>
      <c r="T174" s="2"/>
      <c r="U174" s="2"/>
      <c r="V174" s="19">
        <f t="shared" si="13"/>
        <v>0</v>
      </c>
      <c r="W174" s="2"/>
      <c r="X174" s="2">
        <f t="shared" si="14"/>
        <v>0</v>
      </c>
      <c r="Y174" s="2"/>
      <c r="Z174" s="19">
        <f t="shared" si="15"/>
        <v>0</v>
      </c>
    </row>
    <row r="175" spans="1:26" s="24" customFormat="1" hidden="1" outlineLevel="1" x14ac:dyDescent="0.25">
      <c r="A175" s="44"/>
      <c r="B175" s="11" t="str">
        <f>CONCATENATE("          ", "5200", " - ", "PURCHASES OFFSET")</f>
        <v xml:space="preserve">          5200 - PURCHASES OFFSET</v>
      </c>
      <c r="C175" s="11"/>
      <c r="D175" s="2">
        <v>-211466</v>
      </c>
      <c r="E175" s="2"/>
      <c r="F175" s="19">
        <f t="shared" si="8"/>
        <v>-6.0999054178029796E-2</v>
      </c>
      <c r="G175" s="2"/>
      <c r="H175" s="2"/>
      <c r="I175" s="2"/>
      <c r="J175" s="19">
        <f t="shared" si="9"/>
        <v>0</v>
      </c>
      <c r="K175" s="2"/>
      <c r="L175" s="2">
        <f t="shared" si="10"/>
        <v>-211466</v>
      </c>
      <c r="M175" s="2"/>
      <c r="N175" s="19">
        <f t="shared" si="11"/>
        <v>0</v>
      </c>
      <c r="O175" s="11"/>
      <c r="P175" s="2">
        <v>-5724961</v>
      </c>
      <c r="Q175" s="2"/>
      <c r="R175" s="19">
        <f t="shared" si="12"/>
        <v>-0.22719534774413544</v>
      </c>
      <c r="S175" s="2"/>
      <c r="T175" s="2"/>
      <c r="U175" s="2"/>
      <c r="V175" s="19">
        <f t="shared" si="13"/>
        <v>0</v>
      </c>
      <c r="W175" s="2"/>
      <c r="X175" s="2">
        <f t="shared" si="14"/>
        <v>-5724961</v>
      </c>
      <c r="Y175" s="2"/>
      <c r="Z175" s="19">
        <f t="shared" si="15"/>
        <v>0</v>
      </c>
    </row>
    <row r="176" spans="1:26" s="24" customFormat="1" hidden="1" outlineLevel="1" x14ac:dyDescent="0.25">
      <c r="A176" s="44"/>
      <c r="B176" s="11" t="str">
        <f>CONCATENATE("          ", "5300", " - ", "COG$ OFFSET")</f>
        <v xml:space="preserve">          5300 - COG$ OFFSET</v>
      </c>
      <c r="C176" s="11"/>
      <c r="D176" s="2">
        <v>564760</v>
      </c>
      <c r="E176" s="2"/>
      <c r="F176" s="19">
        <f t="shared" si="8"/>
        <v>0.16290952605896034</v>
      </c>
      <c r="G176" s="2"/>
      <c r="H176" s="2"/>
      <c r="I176" s="2"/>
      <c r="J176" s="19">
        <f t="shared" si="9"/>
        <v>0</v>
      </c>
      <c r="K176" s="2"/>
      <c r="L176" s="2">
        <f t="shared" si="10"/>
        <v>564760</v>
      </c>
      <c r="M176" s="2"/>
      <c r="N176" s="19">
        <f t="shared" si="11"/>
        <v>0</v>
      </c>
      <c r="O176" s="11"/>
      <c r="P176" s="2">
        <v>5398957.4700000007</v>
      </c>
      <c r="Q176" s="2"/>
      <c r="R176" s="19">
        <f t="shared" si="12"/>
        <v>0.21425788225499665</v>
      </c>
      <c r="S176" s="2"/>
      <c r="T176" s="2"/>
      <c r="U176" s="2"/>
      <c r="V176" s="19">
        <f t="shared" si="13"/>
        <v>0</v>
      </c>
      <c r="W176" s="2"/>
      <c r="X176" s="2">
        <f t="shared" si="14"/>
        <v>5398957.4700000007</v>
      </c>
      <c r="Y176" s="2"/>
      <c r="Z176" s="19">
        <f t="shared" si="15"/>
        <v>0</v>
      </c>
    </row>
    <row r="177" spans="1:26" s="24" customFormat="1" hidden="1" outlineLevel="1" x14ac:dyDescent="0.25">
      <c r="A177" s="44"/>
      <c r="B177" s="11" t="str">
        <f>CONCATENATE("          ", "5500", " - ", "FREIGHT-IN")</f>
        <v xml:space="preserve">          5500 - FREIGHT-IN</v>
      </c>
      <c r="C177" s="11"/>
      <c r="D177" s="2">
        <v>33.950000000000003</v>
      </c>
      <c r="E177" s="2"/>
      <c r="F177" s="19">
        <f t="shared" si="8"/>
        <v>9.7931482571387918E-6</v>
      </c>
      <c r="G177" s="2"/>
      <c r="H177" s="2"/>
      <c r="I177" s="2"/>
      <c r="J177" s="19">
        <f t="shared" si="9"/>
        <v>0</v>
      </c>
      <c r="K177" s="2"/>
      <c r="L177" s="2">
        <f t="shared" si="10"/>
        <v>33.950000000000003</v>
      </c>
      <c r="M177" s="2"/>
      <c r="N177" s="19">
        <f t="shared" si="11"/>
        <v>0</v>
      </c>
      <c r="O177" s="11"/>
      <c r="P177" s="2">
        <v>156.47999999999999</v>
      </c>
      <c r="Q177" s="2"/>
      <c r="R177" s="19">
        <f t="shared" si="12"/>
        <v>6.2099161924425882E-6</v>
      </c>
      <c r="S177" s="2"/>
      <c r="T177" s="2"/>
      <c r="U177" s="2"/>
      <c r="V177" s="19">
        <f t="shared" si="13"/>
        <v>0</v>
      </c>
      <c r="W177" s="2"/>
      <c r="X177" s="2">
        <f t="shared" si="14"/>
        <v>156.47999999999999</v>
      </c>
      <c r="Y177" s="2"/>
      <c r="Z177" s="19">
        <f t="shared" si="15"/>
        <v>0</v>
      </c>
    </row>
    <row r="178" spans="1:26" s="24" customFormat="1" hidden="1" outlineLevel="1" x14ac:dyDescent="0.25">
      <c r="A178" s="44"/>
      <c r="B178" s="11" t="str">
        <f>CONCATENATE("          ", "5501", " - ", "FREIGHT-IN-NEW TEXT")</f>
        <v xml:space="preserve">          5501 - FREIGHT-IN-NEW TEXT</v>
      </c>
      <c r="C178" s="11"/>
      <c r="D178" s="2">
        <v>23947.37</v>
      </c>
      <c r="E178" s="2"/>
      <c r="F178" s="19">
        <f t="shared" si="8"/>
        <v>6.907809860929536E-3</v>
      </c>
      <c r="G178" s="2"/>
      <c r="H178" s="2"/>
      <c r="I178" s="2"/>
      <c r="J178" s="19">
        <f t="shared" si="9"/>
        <v>0</v>
      </c>
      <c r="K178" s="2"/>
      <c r="L178" s="2">
        <f t="shared" si="10"/>
        <v>23947.37</v>
      </c>
      <c r="M178" s="2"/>
      <c r="N178" s="19">
        <f t="shared" si="11"/>
        <v>0</v>
      </c>
      <c r="O178" s="11"/>
      <c r="P178" s="2">
        <v>66024.739999999991</v>
      </c>
      <c r="Q178" s="2"/>
      <c r="R178" s="19">
        <f t="shared" si="12"/>
        <v>2.6201949260468548E-3</v>
      </c>
      <c r="S178" s="2"/>
      <c r="T178" s="2"/>
      <c r="U178" s="2"/>
      <c r="V178" s="19">
        <f t="shared" si="13"/>
        <v>0</v>
      </c>
      <c r="W178" s="2"/>
      <c r="X178" s="2">
        <f t="shared" si="14"/>
        <v>66024.739999999991</v>
      </c>
      <c r="Y178" s="2"/>
      <c r="Z178" s="19">
        <f t="shared" si="15"/>
        <v>0</v>
      </c>
    </row>
    <row r="179" spans="1:26" s="24" customFormat="1" hidden="1" outlineLevel="1" x14ac:dyDescent="0.25">
      <c r="A179" s="44"/>
      <c r="B179" s="11" t="str">
        <f>CONCATENATE("          ", "5502", " - ", "FREIGHT-IN-USED TEXT")</f>
        <v xml:space="preserve">          5502 - FREIGHT-IN-USED TEXT</v>
      </c>
      <c r="C179" s="11"/>
      <c r="D179" s="2">
        <v>2979.86</v>
      </c>
      <c r="E179" s="2"/>
      <c r="F179" s="19">
        <f t="shared" si="8"/>
        <v>8.5956438190037108E-4</v>
      </c>
      <c r="G179" s="2"/>
      <c r="H179" s="2"/>
      <c r="I179" s="2"/>
      <c r="J179" s="19">
        <f t="shared" si="9"/>
        <v>0</v>
      </c>
      <c r="K179" s="2"/>
      <c r="L179" s="2">
        <f t="shared" si="10"/>
        <v>2979.86</v>
      </c>
      <c r="M179" s="2"/>
      <c r="N179" s="19">
        <f t="shared" si="11"/>
        <v>0</v>
      </c>
      <c r="O179" s="11"/>
      <c r="P179" s="2">
        <v>14758.089999999998</v>
      </c>
      <c r="Q179" s="2"/>
      <c r="R179" s="19">
        <f t="shared" si="12"/>
        <v>5.8567549885304852E-4</v>
      </c>
      <c r="S179" s="2"/>
      <c r="T179" s="2"/>
      <c r="U179" s="2"/>
      <c r="V179" s="19">
        <f t="shared" si="13"/>
        <v>0</v>
      </c>
      <c r="W179" s="2"/>
      <c r="X179" s="2">
        <f t="shared" si="14"/>
        <v>14758.089999999998</v>
      </c>
      <c r="Y179" s="2"/>
      <c r="Z179" s="19">
        <f t="shared" si="15"/>
        <v>0</v>
      </c>
    </row>
    <row r="180" spans="1:26" s="24" customFormat="1" hidden="1" outlineLevel="1" x14ac:dyDescent="0.25">
      <c r="A180" s="44"/>
      <c r="B180" s="11" t="str">
        <f>CONCATENATE("          ", "5504", " - ", "FREIGHT-IN-DIGITAL TEXT")</f>
        <v xml:space="preserve">          5504 - FREIGHT-IN-DIGITAL TEXT</v>
      </c>
      <c r="C180" s="11"/>
      <c r="D180" s="2"/>
      <c r="E180" s="2"/>
      <c r="F180" s="19">
        <f t="shared" si="8"/>
        <v>0</v>
      </c>
      <c r="G180" s="2"/>
      <c r="H180" s="2"/>
      <c r="I180" s="2"/>
      <c r="J180" s="19">
        <f t="shared" si="9"/>
        <v>0</v>
      </c>
      <c r="K180" s="2"/>
      <c r="L180" s="2">
        <f t="shared" si="10"/>
        <v>0</v>
      </c>
      <c r="M180" s="2"/>
      <c r="N180" s="19">
        <f t="shared" si="11"/>
        <v>0</v>
      </c>
      <c r="O180" s="11"/>
      <c r="P180" s="2">
        <v>105.97</v>
      </c>
      <c r="Q180" s="2"/>
      <c r="R180" s="19">
        <f t="shared" si="12"/>
        <v>4.2054244562445115E-6</v>
      </c>
      <c r="S180" s="2"/>
      <c r="T180" s="2"/>
      <c r="U180" s="2"/>
      <c r="V180" s="19">
        <f t="shared" si="13"/>
        <v>0</v>
      </c>
      <c r="W180" s="2"/>
      <c r="X180" s="2">
        <f t="shared" si="14"/>
        <v>105.97</v>
      </c>
      <c r="Y180" s="2"/>
      <c r="Z180" s="19">
        <f t="shared" si="15"/>
        <v>0</v>
      </c>
    </row>
    <row r="181" spans="1:26" s="24" customFormat="1" hidden="1" outlineLevel="1" x14ac:dyDescent="0.25">
      <c r="A181" s="44"/>
      <c r="B181" s="11" t="str">
        <f>CONCATENATE("          ", "5513", " - ", "FREIGHT-IN-TRADE BOOKS")</f>
        <v xml:space="preserve">          5513 - FREIGHT-IN-TRADE BOOKS</v>
      </c>
      <c r="C181" s="11"/>
      <c r="D181" s="2"/>
      <c r="E181" s="2"/>
      <c r="F181" s="19">
        <f t="shared" si="8"/>
        <v>0</v>
      </c>
      <c r="G181" s="2"/>
      <c r="H181" s="2"/>
      <c r="I181" s="2"/>
      <c r="J181" s="19">
        <f t="shared" si="9"/>
        <v>0</v>
      </c>
      <c r="K181" s="2"/>
      <c r="L181" s="2">
        <f t="shared" si="10"/>
        <v>0</v>
      </c>
      <c r="M181" s="2"/>
      <c r="N181" s="19">
        <f t="shared" si="11"/>
        <v>0</v>
      </c>
      <c r="O181" s="11"/>
      <c r="P181" s="2">
        <v>21.41</v>
      </c>
      <c r="Q181" s="2"/>
      <c r="R181" s="19">
        <f t="shared" si="12"/>
        <v>8.4965686145319417E-7</v>
      </c>
      <c r="S181" s="2"/>
      <c r="T181" s="2"/>
      <c r="U181" s="2"/>
      <c r="V181" s="19">
        <f t="shared" si="13"/>
        <v>0</v>
      </c>
      <c r="W181" s="2"/>
      <c r="X181" s="2">
        <f t="shared" si="14"/>
        <v>21.41</v>
      </c>
      <c r="Y181" s="2"/>
      <c r="Z181" s="19">
        <f t="shared" si="15"/>
        <v>0</v>
      </c>
    </row>
    <row r="182" spans="1:26" s="24" customFormat="1" hidden="1" outlineLevel="1" x14ac:dyDescent="0.25">
      <c r="A182" s="44"/>
      <c r="B182" s="11" t="str">
        <f>CONCATENATE("          ", "5518", " - ", "FREIGHT-IN-STUDY GUIDES")</f>
        <v xml:space="preserve">          5518 - FREIGHT-IN-STUDY GUIDES</v>
      </c>
      <c r="C182" s="11"/>
      <c r="D182" s="2"/>
      <c r="E182" s="2"/>
      <c r="F182" s="19">
        <f t="shared" si="8"/>
        <v>0</v>
      </c>
      <c r="G182" s="2"/>
      <c r="H182" s="2"/>
      <c r="I182" s="2"/>
      <c r="J182" s="19">
        <f t="shared" si="9"/>
        <v>0</v>
      </c>
      <c r="K182" s="2"/>
      <c r="L182" s="2">
        <f t="shared" si="10"/>
        <v>0</v>
      </c>
      <c r="M182" s="2"/>
      <c r="N182" s="19">
        <f t="shared" si="11"/>
        <v>0</v>
      </c>
      <c r="O182" s="11"/>
      <c r="P182" s="2">
        <v>21.13</v>
      </c>
      <c r="Q182" s="2"/>
      <c r="R182" s="19">
        <f t="shared" si="12"/>
        <v>8.3854504822540832E-7</v>
      </c>
      <c r="S182" s="2"/>
      <c r="T182" s="2"/>
      <c r="U182" s="2"/>
      <c r="V182" s="19">
        <f t="shared" si="13"/>
        <v>0</v>
      </c>
      <c r="W182" s="2"/>
      <c r="X182" s="2">
        <f t="shared" si="14"/>
        <v>21.13</v>
      </c>
      <c r="Y182" s="2"/>
      <c r="Z182" s="19">
        <f t="shared" si="15"/>
        <v>0</v>
      </c>
    </row>
    <row r="183" spans="1:26" s="24" customFormat="1" hidden="1" outlineLevel="1" x14ac:dyDescent="0.25">
      <c r="A183" s="44"/>
      <c r="B183" s="11" t="str">
        <f>CONCATENATE("          ", "5525", " - ", "FREIGHT-IN-TEST FORMS")</f>
        <v xml:space="preserve">          5525 - FREIGHT-IN-TEST FORMS</v>
      </c>
      <c r="C183" s="11"/>
      <c r="D183" s="2">
        <v>532.61</v>
      </c>
      <c r="E183" s="2"/>
      <c r="F183" s="19">
        <f t="shared" si="8"/>
        <v>1.5363560215713378E-4</v>
      </c>
      <c r="G183" s="2"/>
      <c r="H183" s="2"/>
      <c r="I183" s="2"/>
      <c r="J183" s="19">
        <f t="shared" si="9"/>
        <v>0</v>
      </c>
      <c r="K183" s="2"/>
      <c r="L183" s="2">
        <f t="shared" si="10"/>
        <v>532.61</v>
      </c>
      <c r="M183" s="2"/>
      <c r="N183" s="19">
        <f t="shared" si="11"/>
        <v>0</v>
      </c>
      <c r="O183" s="11"/>
      <c r="P183" s="2">
        <v>1155.02</v>
      </c>
      <c r="Q183" s="2"/>
      <c r="R183" s="19">
        <f t="shared" si="12"/>
        <v>4.5837023265561341E-5</v>
      </c>
      <c r="S183" s="2"/>
      <c r="T183" s="2"/>
      <c r="U183" s="2"/>
      <c r="V183" s="19">
        <f t="shared" si="13"/>
        <v>0</v>
      </c>
      <c r="W183" s="2"/>
      <c r="X183" s="2">
        <f t="shared" si="14"/>
        <v>1155.02</v>
      </c>
      <c r="Y183" s="2"/>
      <c r="Z183" s="19">
        <f t="shared" si="15"/>
        <v>0</v>
      </c>
    </row>
    <row r="184" spans="1:26" s="24" customFormat="1" hidden="1" outlineLevel="1" x14ac:dyDescent="0.25">
      <c r="A184" s="44"/>
      <c r="B184" s="11" t="str">
        <f>CONCATENATE("          ", "5526", " - ", "FREIGHT-IN-WRITING INSTRUMENTS")</f>
        <v xml:space="preserve">          5526 - FREIGHT-IN-WRITING INSTRUMENTS</v>
      </c>
      <c r="C184" s="11"/>
      <c r="D184" s="2"/>
      <c r="E184" s="2"/>
      <c r="F184" s="19">
        <f t="shared" si="8"/>
        <v>0</v>
      </c>
      <c r="G184" s="2"/>
      <c r="H184" s="2"/>
      <c r="I184" s="2"/>
      <c r="J184" s="19">
        <f t="shared" si="9"/>
        <v>0</v>
      </c>
      <c r="K184" s="2"/>
      <c r="L184" s="2">
        <f t="shared" si="10"/>
        <v>0</v>
      </c>
      <c r="M184" s="2"/>
      <c r="N184" s="19">
        <f t="shared" si="11"/>
        <v>0</v>
      </c>
      <c r="O184" s="11"/>
      <c r="P184" s="2">
        <v>260.35000000000002</v>
      </c>
      <c r="Q184" s="2"/>
      <c r="R184" s="19">
        <f t="shared" si="12"/>
        <v>1.0332002049478707E-5</v>
      </c>
      <c r="S184" s="2"/>
      <c r="T184" s="2"/>
      <c r="U184" s="2"/>
      <c r="V184" s="19">
        <f t="shared" si="13"/>
        <v>0</v>
      </c>
      <c r="W184" s="2"/>
      <c r="X184" s="2">
        <f t="shared" si="14"/>
        <v>260.35000000000002</v>
      </c>
      <c r="Y184" s="2"/>
      <c r="Z184" s="19">
        <f t="shared" si="15"/>
        <v>0</v>
      </c>
    </row>
    <row r="185" spans="1:26" s="24" customFormat="1" hidden="1" outlineLevel="1" x14ac:dyDescent="0.25">
      <c r="A185" s="44"/>
      <c r="B185" s="11" t="str">
        <f>CONCATENATE("          ", "5527", " - ", "FREIGHT-IN-SCHOOL SUPPLIES")</f>
        <v xml:space="preserve">          5527 - FREIGHT-IN-SCHOOL SUPPLIES</v>
      </c>
      <c r="C185" s="11"/>
      <c r="D185" s="2">
        <v>431.76</v>
      </c>
      <c r="E185" s="2"/>
      <c r="F185" s="19">
        <f t="shared" si="8"/>
        <v>1.2454461536089086E-4</v>
      </c>
      <c r="G185" s="2"/>
      <c r="H185" s="2"/>
      <c r="I185" s="2"/>
      <c r="J185" s="19">
        <f t="shared" si="9"/>
        <v>0</v>
      </c>
      <c r="K185" s="2"/>
      <c r="L185" s="2">
        <f t="shared" si="10"/>
        <v>431.76</v>
      </c>
      <c r="M185" s="2"/>
      <c r="N185" s="19">
        <f t="shared" si="11"/>
        <v>0</v>
      </c>
      <c r="O185" s="11"/>
      <c r="P185" s="2">
        <v>1651.6</v>
      </c>
      <c r="Q185" s="2"/>
      <c r="R185" s="19">
        <f t="shared" si="12"/>
        <v>6.554382402503948E-5</v>
      </c>
      <c r="S185" s="2"/>
      <c r="T185" s="2"/>
      <c r="U185" s="2"/>
      <c r="V185" s="19">
        <f t="shared" si="13"/>
        <v>0</v>
      </c>
      <c r="W185" s="2"/>
      <c r="X185" s="2">
        <f t="shared" si="14"/>
        <v>1651.6</v>
      </c>
      <c r="Y185" s="2"/>
      <c r="Z185" s="19">
        <f t="shared" si="15"/>
        <v>0</v>
      </c>
    </row>
    <row r="186" spans="1:26" s="24" customFormat="1" hidden="1" outlineLevel="1" x14ac:dyDescent="0.25">
      <c r="A186" s="44"/>
      <c r="B186" s="11" t="str">
        <f>CONCATENATE("          ", "5528", " - ", "FREIGHT-IN-ART/TECH")</f>
        <v xml:space="preserve">          5528 - FREIGHT-IN-ART/TECH</v>
      </c>
      <c r="C186" s="11"/>
      <c r="D186" s="2">
        <v>164.79</v>
      </c>
      <c r="E186" s="2"/>
      <c r="F186" s="19">
        <f t="shared" si="8"/>
        <v>4.7534989728833614E-5</v>
      </c>
      <c r="G186" s="2"/>
      <c r="H186" s="2"/>
      <c r="I186" s="2"/>
      <c r="J186" s="19">
        <f t="shared" si="9"/>
        <v>0</v>
      </c>
      <c r="K186" s="2"/>
      <c r="L186" s="2">
        <f t="shared" si="10"/>
        <v>164.79</v>
      </c>
      <c r="M186" s="2"/>
      <c r="N186" s="19">
        <f t="shared" si="11"/>
        <v>0</v>
      </c>
      <c r="O186" s="11"/>
      <c r="P186" s="2">
        <v>1496.25</v>
      </c>
      <c r="Q186" s="2"/>
      <c r="R186" s="19">
        <f t="shared" si="12"/>
        <v>5.9378751935980467E-5</v>
      </c>
      <c r="S186" s="2"/>
      <c r="T186" s="2"/>
      <c r="U186" s="2"/>
      <c r="V186" s="19">
        <f t="shared" si="13"/>
        <v>0</v>
      </c>
      <c r="W186" s="2"/>
      <c r="X186" s="2">
        <f t="shared" si="14"/>
        <v>1496.25</v>
      </c>
      <c r="Y186" s="2"/>
      <c r="Z186" s="19">
        <f t="shared" si="15"/>
        <v>0</v>
      </c>
    </row>
    <row r="187" spans="1:26" s="24" customFormat="1" hidden="1" outlineLevel="1" x14ac:dyDescent="0.25">
      <c r="A187" s="44"/>
      <c r="B187" s="11" t="str">
        <f>CONCATENATE("          ", "5540", " - ", "FREIGHT-IN-LOGO CLOTHING")</f>
        <v xml:space="preserve">          5540 - FREIGHT-IN-LOGO CLOTHING</v>
      </c>
      <c r="C187" s="11"/>
      <c r="D187" s="2">
        <v>2803.41</v>
      </c>
      <c r="E187" s="2"/>
      <c r="F187" s="19">
        <f t="shared" si="8"/>
        <v>8.0866597218101491E-4</v>
      </c>
      <c r="G187" s="2"/>
      <c r="H187" s="2"/>
      <c r="I187" s="2"/>
      <c r="J187" s="19">
        <f t="shared" si="9"/>
        <v>0</v>
      </c>
      <c r="K187" s="2"/>
      <c r="L187" s="2">
        <f t="shared" si="10"/>
        <v>2803.41</v>
      </c>
      <c r="M187" s="2"/>
      <c r="N187" s="19">
        <f t="shared" si="11"/>
        <v>0</v>
      </c>
      <c r="O187" s="11"/>
      <c r="P187" s="2">
        <v>28481.3</v>
      </c>
      <c r="Q187" s="2"/>
      <c r="R187" s="19">
        <f t="shared" si="12"/>
        <v>1.1302817360162008E-3</v>
      </c>
      <c r="S187" s="2"/>
      <c r="T187" s="2"/>
      <c r="U187" s="2"/>
      <c r="V187" s="19">
        <f t="shared" si="13"/>
        <v>0</v>
      </c>
      <c r="W187" s="2"/>
      <c r="X187" s="2">
        <f t="shared" si="14"/>
        <v>28481.3</v>
      </c>
      <c r="Y187" s="2"/>
      <c r="Z187" s="19">
        <f t="shared" si="15"/>
        <v>0</v>
      </c>
    </row>
    <row r="188" spans="1:26" s="24" customFormat="1" hidden="1" outlineLevel="1" x14ac:dyDescent="0.25">
      <c r="A188" s="44"/>
      <c r="B188" s="11" t="str">
        <f>CONCATENATE("          ", "5541", " - ", "FREIGHT-IN-LOGO GIFTS")</f>
        <v xml:space="preserve">          5541 - FREIGHT-IN-LOGO GIFTS</v>
      </c>
      <c r="C188" s="11"/>
      <c r="D188" s="2">
        <v>486.35</v>
      </c>
      <c r="E188" s="2"/>
      <c r="F188" s="19">
        <f t="shared" si="8"/>
        <v>1.4029153622560975E-4</v>
      </c>
      <c r="G188" s="2"/>
      <c r="H188" s="2"/>
      <c r="I188" s="2"/>
      <c r="J188" s="19">
        <f t="shared" si="9"/>
        <v>0</v>
      </c>
      <c r="K188" s="2"/>
      <c r="L188" s="2">
        <f t="shared" si="10"/>
        <v>486.35</v>
      </c>
      <c r="M188" s="2"/>
      <c r="N188" s="19">
        <f t="shared" si="11"/>
        <v>0</v>
      </c>
      <c r="O188" s="11"/>
      <c r="P188" s="2">
        <v>4073.92</v>
      </c>
      <c r="Q188" s="2"/>
      <c r="R188" s="19">
        <f t="shared" si="12"/>
        <v>1.6167370766050429E-4</v>
      </c>
      <c r="S188" s="2"/>
      <c r="T188" s="2"/>
      <c r="U188" s="2"/>
      <c r="V188" s="19">
        <f t="shared" si="13"/>
        <v>0</v>
      </c>
      <c r="W188" s="2"/>
      <c r="X188" s="2">
        <f t="shared" si="14"/>
        <v>4073.92</v>
      </c>
      <c r="Y188" s="2"/>
      <c r="Z188" s="19">
        <f t="shared" si="15"/>
        <v>0</v>
      </c>
    </row>
    <row r="189" spans="1:26" s="24" customFormat="1" hidden="1" outlineLevel="1" x14ac:dyDescent="0.25">
      <c r="A189" s="44"/>
      <c r="B189" s="11" t="str">
        <f>CONCATENATE("          ", "5542", " - ", "FREIGHT-IN-EVERYDAY GIFTS")</f>
        <v xml:space="preserve">          5542 - FREIGHT-IN-EVERYDAY GIFTS</v>
      </c>
      <c r="C189" s="11"/>
      <c r="D189" s="2">
        <v>43.37</v>
      </c>
      <c r="E189" s="2"/>
      <c r="F189" s="19">
        <f t="shared" si="8"/>
        <v>1.2510422383272735E-5</v>
      </c>
      <c r="G189" s="2"/>
      <c r="H189" s="2"/>
      <c r="I189" s="2"/>
      <c r="J189" s="19">
        <f t="shared" si="9"/>
        <v>0</v>
      </c>
      <c r="K189" s="2"/>
      <c r="L189" s="2">
        <f t="shared" si="10"/>
        <v>43.37</v>
      </c>
      <c r="M189" s="2"/>
      <c r="N189" s="19">
        <f t="shared" si="11"/>
        <v>0</v>
      </c>
      <c r="O189" s="11"/>
      <c r="P189" s="2">
        <v>1751.7</v>
      </c>
      <c r="Q189" s="2"/>
      <c r="R189" s="19">
        <f t="shared" si="12"/>
        <v>6.9516297253972918E-5</v>
      </c>
      <c r="S189" s="2"/>
      <c r="T189" s="2"/>
      <c r="U189" s="2"/>
      <c r="V189" s="19">
        <f t="shared" si="13"/>
        <v>0</v>
      </c>
      <c r="W189" s="2"/>
      <c r="X189" s="2">
        <f t="shared" si="14"/>
        <v>1751.7</v>
      </c>
      <c r="Y189" s="2"/>
      <c r="Z189" s="19">
        <f t="shared" si="15"/>
        <v>0</v>
      </c>
    </row>
    <row r="190" spans="1:26" s="24" customFormat="1" hidden="1" outlineLevel="1" x14ac:dyDescent="0.25">
      <c r="A190" s="44"/>
      <c r="B190" s="11" t="str">
        <f>CONCATENATE("          ", "5543", " - ", "FREIGHT-IN-CARDS")</f>
        <v xml:space="preserve">          5543 - FREIGHT-IN-CARDS</v>
      </c>
      <c r="C190" s="11"/>
      <c r="D190" s="2">
        <v>2779.77</v>
      </c>
      <c r="E190" s="2"/>
      <c r="F190" s="19">
        <f t="shared" si="8"/>
        <v>8.0184682564791445E-4</v>
      </c>
      <c r="G190" s="2"/>
      <c r="H190" s="2"/>
      <c r="I190" s="2"/>
      <c r="J190" s="19">
        <f t="shared" si="9"/>
        <v>0</v>
      </c>
      <c r="K190" s="2"/>
      <c r="L190" s="2">
        <f t="shared" si="10"/>
        <v>2779.77</v>
      </c>
      <c r="M190" s="2"/>
      <c r="N190" s="19">
        <f t="shared" si="11"/>
        <v>0</v>
      </c>
      <c r="O190" s="11"/>
      <c r="P190" s="2">
        <v>2901.12</v>
      </c>
      <c r="Q190" s="2"/>
      <c r="R190" s="19">
        <f t="shared" si="12"/>
        <v>1.1513108425497854E-4</v>
      </c>
      <c r="S190" s="2"/>
      <c r="T190" s="2"/>
      <c r="U190" s="2"/>
      <c r="V190" s="19">
        <f t="shared" si="13"/>
        <v>0</v>
      </c>
      <c r="W190" s="2"/>
      <c r="X190" s="2">
        <f t="shared" si="14"/>
        <v>2901.12</v>
      </c>
      <c r="Y190" s="2"/>
      <c r="Z190" s="19">
        <f t="shared" si="15"/>
        <v>0</v>
      </c>
    </row>
    <row r="191" spans="1:26" s="24" customFormat="1" hidden="1" outlineLevel="1" x14ac:dyDescent="0.25">
      <c r="A191" s="44"/>
      <c r="B191" s="11" t="str">
        <f>CONCATENATE("          ", "5544", " - ", "FREIGHT-IN-ACCESSORIES")</f>
        <v xml:space="preserve">          5544 - FREIGHT-IN-ACCESSORIES</v>
      </c>
      <c r="C191" s="11"/>
      <c r="D191" s="2">
        <v>41.13</v>
      </c>
      <c r="E191" s="2"/>
      <c r="F191" s="19">
        <f t="shared" si="8"/>
        <v>1.1864276518884198E-5</v>
      </c>
      <c r="G191" s="2"/>
      <c r="H191" s="2"/>
      <c r="I191" s="2"/>
      <c r="J191" s="19">
        <f t="shared" si="9"/>
        <v>0</v>
      </c>
      <c r="K191" s="2"/>
      <c r="L191" s="2">
        <f t="shared" si="10"/>
        <v>41.13</v>
      </c>
      <c r="M191" s="2"/>
      <c r="N191" s="19">
        <f t="shared" si="11"/>
        <v>0</v>
      </c>
      <c r="O191" s="11"/>
      <c r="P191" s="2">
        <v>483.44</v>
      </c>
      <c r="Q191" s="2"/>
      <c r="R191" s="19">
        <f t="shared" si="12"/>
        <v>1.9185339238717057E-5</v>
      </c>
      <c r="S191" s="2"/>
      <c r="T191" s="2"/>
      <c r="U191" s="2"/>
      <c r="V191" s="19">
        <f t="shared" si="13"/>
        <v>0</v>
      </c>
      <c r="W191" s="2"/>
      <c r="X191" s="2">
        <f t="shared" si="14"/>
        <v>483.44</v>
      </c>
      <c r="Y191" s="2"/>
      <c r="Z191" s="19">
        <f t="shared" si="15"/>
        <v>0</v>
      </c>
    </row>
    <row r="192" spans="1:26" s="24" customFormat="1" hidden="1" outlineLevel="1" x14ac:dyDescent="0.25">
      <c r="A192" s="44"/>
      <c r="B192" s="11" t="str">
        <f>CONCATENATE("          ", "5545", " - ", "FREIGHT-IN-SPECIAL ORDERS")</f>
        <v xml:space="preserve">          5545 - FREIGHT-IN-SPECIAL ORDERS</v>
      </c>
      <c r="C192" s="11"/>
      <c r="D192" s="2">
        <v>4.49</v>
      </c>
      <c r="E192" s="2"/>
      <c r="F192" s="19">
        <f t="shared" si="8"/>
        <v>1.2951763085288121E-6</v>
      </c>
      <c r="G192" s="2"/>
      <c r="H192" s="2"/>
      <c r="I192" s="2"/>
      <c r="J192" s="19">
        <f t="shared" si="9"/>
        <v>0</v>
      </c>
      <c r="K192" s="2"/>
      <c r="L192" s="2">
        <f t="shared" si="10"/>
        <v>4.49</v>
      </c>
      <c r="M192" s="2"/>
      <c r="N192" s="19">
        <f t="shared" si="11"/>
        <v>0</v>
      </c>
      <c r="O192" s="11"/>
      <c r="P192" s="2">
        <v>846.39</v>
      </c>
      <c r="Q192" s="2"/>
      <c r="R192" s="19">
        <f t="shared" si="12"/>
        <v>3.3589027135234421E-5</v>
      </c>
      <c r="S192" s="2"/>
      <c r="T192" s="2"/>
      <c r="U192" s="2"/>
      <c r="V192" s="19">
        <f t="shared" si="13"/>
        <v>0</v>
      </c>
      <c r="W192" s="2"/>
      <c r="X192" s="2">
        <f t="shared" si="14"/>
        <v>846.39</v>
      </c>
      <c r="Y192" s="2"/>
      <c r="Z192" s="19">
        <f t="shared" si="15"/>
        <v>0</v>
      </c>
    </row>
    <row r="193" spans="1:26" s="24" customFormat="1" hidden="1" outlineLevel="1" x14ac:dyDescent="0.25">
      <c r="A193" s="44"/>
      <c r="B193" s="11" t="str">
        <f>CONCATENATE("          ", "5581", " - ", "FREIGHT-IN-ELECTRONICS")</f>
        <v xml:space="preserve">          5581 - FREIGHT-IN-ELECTRONICS</v>
      </c>
      <c r="C193" s="11"/>
      <c r="D193" s="2"/>
      <c r="E193" s="2"/>
      <c r="F193" s="19">
        <f t="shared" si="8"/>
        <v>0</v>
      </c>
      <c r="G193" s="2"/>
      <c r="H193" s="2"/>
      <c r="I193" s="2"/>
      <c r="J193" s="19">
        <f t="shared" si="9"/>
        <v>0</v>
      </c>
      <c r="K193" s="2"/>
      <c r="L193" s="2">
        <f t="shared" si="10"/>
        <v>0</v>
      </c>
      <c r="M193" s="2"/>
      <c r="N193" s="19">
        <f t="shared" si="11"/>
        <v>0</v>
      </c>
      <c r="O193" s="11"/>
      <c r="P193" s="2">
        <v>105.75</v>
      </c>
      <c r="Q193" s="2"/>
      <c r="R193" s="19">
        <f t="shared" si="12"/>
        <v>4.1966937458512508E-6</v>
      </c>
      <c r="S193" s="2"/>
      <c r="T193" s="2"/>
      <c r="U193" s="2"/>
      <c r="V193" s="19">
        <f t="shared" si="13"/>
        <v>0</v>
      </c>
      <c r="W193" s="2"/>
      <c r="X193" s="2">
        <f t="shared" si="14"/>
        <v>105.75</v>
      </c>
      <c r="Y193" s="2"/>
      <c r="Z193" s="19">
        <f t="shared" si="15"/>
        <v>0</v>
      </c>
    </row>
    <row r="194" spans="1:26" s="24" customFormat="1" hidden="1" outlineLevel="1" x14ac:dyDescent="0.25">
      <c r="A194" s="44"/>
      <c r="B194" s="11" t="str">
        <f>CONCATENATE("          ", "5582", " - ", "FREIGHT-IN-COMPUTER HARDWARE")</f>
        <v xml:space="preserve">          5582 - FREIGHT-IN-COMPUTER HARDWARE</v>
      </c>
      <c r="C194" s="11"/>
      <c r="D194" s="2"/>
      <c r="E194" s="2"/>
      <c r="F194" s="19">
        <f t="shared" si="8"/>
        <v>0</v>
      </c>
      <c r="G194" s="2"/>
      <c r="H194" s="2"/>
      <c r="I194" s="2"/>
      <c r="J194" s="19">
        <f t="shared" si="9"/>
        <v>0</v>
      </c>
      <c r="K194" s="2"/>
      <c r="L194" s="2">
        <f t="shared" si="10"/>
        <v>0</v>
      </c>
      <c r="M194" s="2"/>
      <c r="N194" s="19">
        <f t="shared" si="11"/>
        <v>0</v>
      </c>
      <c r="O194" s="11"/>
      <c r="P194" s="2">
        <v>4.84</v>
      </c>
      <c r="Q194" s="2"/>
      <c r="R194" s="19">
        <f t="shared" si="12"/>
        <v>1.9207562865172627E-7</v>
      </c>
      <c r="S194" s="2"/>
      <c r="T194" s="2"/>
      <c r="U194" s="2"/>
      <c r="V194" s="19">
        <f t="shared" si="13"/>
        <v>0</v>
      </c>
      <c r="W194" s="2"/>
      <c r="X194" s="2">
        <f t="shared" si="14"/>
        <v>4.84</v>
      </c>
      <c r="Y194" s="2"/>
      <c r="Z194" s="19">
        <f t="shared" si="15"/>
        <v>0</v>
      </c>
    </row>
    <row r="195" spans="1:26" s="24" customFormat="1" hidden="1" outlineLevel="1" x14ac:dyDescent="0.25">
      <c r="A195" s="44"/>
      <c r="B195" s="11" t="str">
        <f>CONCATENATE("          ", "5583", " - ", "FREIGHT-IN-COMPUTER EQUIPMENT")</f>
        <v xml:space="preserve">          5583 - FREIGHT-IN-COMPUTER EQUIPMENT</v>
      </c>
      <c r="C195" s="11"/>
      <c r="D195" s="2">
        <v>8.3800000000000008</v>
      </c>
      <c r="E195" s="2"/>
      <c r="F195" s="19">
        <f t="shared" si="8"/>
        <v>2.4172778319535514E-6</v>
      </c>
      <c r="G195" s="2"/>
      <c r="H195" s="2"/>
      <c r="I195" s="2"/>
      <c r="J195" s="19">
        <f t="shared" si="9"/>
        <v>0</v>
      </c>
      <c r="K195" s="2"/>
      <c r="L195" s="2">
        <f t="shared" si="10"/>
        <v>8.3800000000000008</v>
      </c>
      <c r="M195" s="2"/>
      <c r="N195" s="19">
        <f t="shared" si="11"/>
        <v>0</v>
      </c>
      <c r="O195" s="11"/>
      <c r="P195" s="2">
        <v>57.5</v>
      </c>
      <c r="Q195" s="2"/>
      <c r="R195" s="19">
        <f t="shared" si="12"/>
        <v>2.2818902164203018E-6</v>
      </c>
      <c r="S195" s="2"/>
      <c r="T195" s="2"/>
      <c r="U195" s="2"/>
      <c r="V195" s="19">
        <f t="shared" si="13"/>
        <v>0</v>
      </c>
      <c r="W195" s="2"/>
      <c r="X195" s="2">
        <f t="shared" si="14"/>
        <v>57.5</v>
      </c>
      <c r="Y195" s="2"/>
      <c r="Z195" s="19">
        <f t="shared" si="15"/>
        <v>0</v>
      </c>
    </row>
    <row r="196" spans="1:26" s="24" customFormat="1" hidden="1" outlineLevel="1" x14ac:dyDescent="0.25">
      <c r="A196" s="44"/>
      <c r="B196" s="11" t="str">
        <f>CONCATENATE("          ", "5586", " - ", "FREIGHT-IN-COMPUTER SUPPLIES")</f>
        <v xml:space="preserve">          5586 - FREIGHT-IN-COMPUTER SUPPLIES</v>
      </c>
      <c r="C196" s="11"/>
      <c r="D196" s="2">
        <v>74.489999999999995</v>
      </c>
      <c r="E196" s="2"/>
      <c r="F196" s="19">
        <f t="shared" si="8"/>
        <v>2.1487234570670647E-5</v>
      </c>
      <c r="G196" s="2"/>
      <c r="H196" s="2"/>
      <c r="I196" s="2"/>
      <c r="J196" s="19">
        <f t="shared" si="9"/>
        <v>0</v>
      </c>
      <c r="K196" s="2"/>
      <c r="L196" s="2">
        <f t="shared" si="10"/>
        <v>74.489999999999995</v>
      </c>
      <c r="M196" s="2"/>
      <c r="N196" s="19">
        <f t="shared" si="11"/>
        <v>0</v>
      </c>
      <c r="O196" s="11"/>
      <c r="P196" s="2">
        <v>270.31</v>
      </c>
      <c r="Q196" s="2"/>
      <c r="R196" s="19">
        <f t="shared" si="12"/>
        <v>1.0727265120009944E-5</v>
      </c>
      <c r="S196" s="2"/>
      <c r="T196" s="2"/>
      <c r="U196" s="2"/>
      <c r="V196" s="19">
        <f t="shared" si="13"/>
        <v>0</v>
      </c>
      <c r="W196" s="2"/>
      <c r="X196" s="2">
        <f t="shared" si="14"/>
        <v>270.31</v>
      </c>
      <c r="Y196" s="2"/>
      <c r="Z196" s="19">
        <f t="shared" si="15"/>
        <v>0</v>
      </c>
    </row>
    <row r="197" spans="1:26" s="24" customFormat="1" hidden="1" outlineLevel="1" x14ac:dyDescent="0.25">
      <c r="A197" s="44"/>
      <c r="B197" s="11" t="str">
        <f>CONCATENATE("          ", "5592", " - ", "FREIGHT-IN-GRAD MERCH")</f>
        <v xml:space="preserve">          5592 - FREIGHT-IN-GRAD MERCH</v>
      </c>
      <c r="C197" s="11"/>
      <c r="D197" s="2"/>
      <c r="E197" s="2"/>
      <c r="F197" s="19">
        <f t="shared" si="8"/>
        <v>0</v>
      </c>
      <c r="G197" s="2"/>
      <c r="H197" s="2"/>
      <c r="I197" s="2"/>
      <c r="J197" s="19">
        <f t="shared" si="9"/>
        <v>0</v>
      </c>
      <c r="K197" s="2"/>
      <c r="L197" s="2">
        <f t="shared" si="10"/>
        <v>0</v>
      </c>
      <c r="M197" s="2"/>
      <c r="N197" s="19">
        <f t="shared" si="11"/>
        <v>0</v>
      </c>
      <c r="O197" s="11"/>
      <c r="P197" s="2">
        <v>105.78</v>
      </c>
      <c r="Q197" s="2"/>
      <c r="R197" s="19">
        <f t="shared" si="12"/>
        <v>4.1978842972685139E-6</v>
      </c>
      <c r="S197" s="2"/>
      <c r="T197" s="2"/>
      <c r="U197" s="2"/>
      <c r="V197" s="19">
        <f t="shared" si="13"/>
        <v>0</v>
      </c>
      <c r="W197" s="2"/>
      <c r="X197" s="2">
        <f t="shared" si="14"/>
        <v>105.78</v>
      </c>
      <c r="Y197" s="2"/>
      <c r="Z197" s="19">
        <f t="shared" si="15"/>
        <v>0</v>
      </c>
    </row>
    <row r="198" spans="1:26" x14ac:dyDescent="0.25">
      <c r="A198" s="9"/>
      <c r="B198" s="10"/>
      <c r="C198" s="10"/>
      <c r="D198" s="3"/>
      <c r="E198" s="3"/>
      <c r="F198" s="8"/>
      <c r="G198" s="3"/>
      <c r="H198" s="3"/>
      <c r="I198" s="3"/>
      <c r="J198" s="8"/>
      <c r="K198" s="3"/>
      <c r="L198" s="3"/>
      <c r="M198" s="3"/>
      <c r="N198" s="8"/>
      <c r="O198" s="10"/>
      <c r="P198" s="3"/>
      <c r="Q198" s="3"/>
      <c r="R198" s="8"/>
      <c r="S198" s="3"/>
      <c r="T198" s="3"/>
      <c r="U198" s="3"/>
      <c r="V198" s="8"/>
      <c r="W198" s="3"/>
      <c r="X198" s="3"/>
      <c r="Y198" s="3"/>
      <c r="Z198" s="8"/>
    </row>
    <row r="199" spans="1:26" s="23" customFormat="1" x14ac:dyDescent="0.25">
      <c r="A199" s="10"/>
      <c r="B199" s="28" t="s">
        <v>6</v>
      </c>
      <c r="C199" s="28"/>
      <c r="D199" s="21">
        <f>D12-D137</f>
        <v>2105235.3599999994</v>
      </c>
      <c r="E199" s="14"/>
      <c r="F199" s="22">
        <f>IF(D$12=0,0,D199/D$12)</f>
        <v>0.60727192920915907</v>
      </c>
      <c r="G199" s="14"/>
      <c r="H199" s="21">
        <f>H12-H137</f>
        <v>2174528.31213</v>
      </c>
      <c r="I199" s="14"/>
      <c r="J199" s="22">
        <f>IF(H$12=0,0,H199/H$12)</f>
        <v>0.63707809906447566</v>
      </c>
      <c r="K199" s="15"/>
      <c r="L199" s="21">
        <f>+D199-H199</f>
        <v>-69292.952130000573</v>
      </c>
      <c r="M199" s="15"/>
      <c r="N199" s="22">
        <f>IF(H199=0,0,L199/H199)</f>
        <v>-3.1865739224212056E-2</v>
      </c>
      <c r="O199" s="29"/>
      <c r="P199" s="21">
        <f>P12-P137</f>
        <v>14181592.629999993</v>
      </c>
      <c r="Q199" s="14"/>
      <c r="R199" s="22">
        <f>IF(P$12=0,0,P199/P$12)</f>
        <v>0.56279717348965641</v>
      </c>
      <c r="S199" s="14"/>
      <c r="T199" s="21">
        <f>T12-T137</f>
        <v>14861939.55291</v>
      </c>
      <c r="U199" s="14"/>
      <c r="V199" s="22">
        <f>IF(T$12=0,0,T199/T$12)</f>
        <v>0.56547417837089586</v>
      </c>
      <c r="W199" s="15"/>
      <c r="X199" s="21">
        <f>+P199-T199</f>
        <v>-680346.92291000672</v>
      </c>
      <c r="Y199" s="15"/>
      <c r="Z199" s="22">
        <f>IF(T199=0,0,X199/T199)</f>
        <v>-4.5777801779364212E-2</v>
      </c>
    </row>
    <row r="200" spans="1:26" x14ac:dyDescent="0.25">
      <c r="A200" s="9"/>
      <c r="B200" s="10"/>
      <c r="C200" s="9"/>
      <c r="D200" s="1"/>
      <c r="E200" s="1"/>
      <c r="F200" s="5"/>
      <c r="G200" s="1"/>
      <c r="H200" s="1"/>
      <c r="I200" s="1"/>
      <c r="J200" s="5"/>
      <c r="K200" s="1"/>
      <c r="L200" s="1"/>
      <c r="M200" s="1"/>
      <c r="N200" s="5"/>
      <c r="O200" s="36"/>
      <c r="P200" s="1"/>
      <c r="Q200" s="1"/>
      <c r="R200" s="5"/>
      <c r="S200" s="1"/>
      <c r="T200" s="1"/>
      <c r="U200" s="1"/>
      <c r="V200" s="5"/>
      <c r="W200" s="1"/>
      <c r="X200" s="1"/>
      <c r="Y200" s="1"/>
      <c r="Z200" s="5"/>
    </row>
    <row r="201" spans="1:26" s="23" customFormat="1" x14ac:dyDescent="0.25">
      <c r="A201" s="10"/>
      <c r="B201" s="29" t="s">
        <v>9</v>
      </c>
      <c r="C201" s="10"/>
      <c r="D201" s="20">
        <f>SUM(OSRRefD22x_0)</f>
        <v>1796508.5400000003</v>
      </c>
      <c r="E201" s="20"/>
      <c r="F201" s="34">
        <f t="shared" ref="F201:F212" si="16">IF(D$12=0,0,D201/D$12)</f>
        <v>0.51821721583021962</v>
      </c>
      <c r="G201" s="20"/>
      <c r="H201" s="20">
        <f>SUM(OSRRefH22x_0)</f>
        <v>1630408.4119075725</v>
      </c>
      <c r="I201" s="20"/>
      <c r="J201" s="34">
        <f t="shared" ref="J201:J212" si="17">IF(H$12=0,0,H201/H$12)</f>
        <v>0.47766565556434581</v>
      </c>
      <c r="K201" s="4"/>
      <c r="L201" s="20">
        <f t="shared" ref="L201:L212" si="18">+D201-H201</f>
        <v>166100.12809242774</v>
      </c>
      <c r="M201" s="4"/>
      <c r="N201" s="34">
        <f t="shared" ref="N201:N212" si="19">IF(H201=0,0,L201/H201)</f>
        <v>0.10187639298186099</v>
      </c>
      <c r="O201" s="10"/>
      <c r="P201" s="20">
        <f>SUM(OSRRefP22x_0)</f>
        <v>12302781.810000001</v>
      </c>
      <c r="Q201" s="20"/>
      <c r="R201" s="34">
        <f t="shared" ref="R201:R212" si="20">IF(P$12=0,0,P201/P$12)</f>
        <v>0.48823647733900272</v>
      </c>
      <c r="S201" s="20"/>
      <c r="T201" s="20">
        <f>SUM(OSRRefT22x_0)</f>
        <v>12210373.782793671</v>
      </c>
      <c r="U201" s="20"/>
      <c r="V201" s="34">
        <f t="shared" ref="V201:V212" si="21">IF(T$12=0,0,T201/T$12)</f>
        <v>0.46458613681246153</v>
      </c>
      <c r="W201" s="4"/>
      <c r="X201" s="20">
        <f t="shared" ref="X201:X212" si="22">+P201-T201</f>
        <v>92408.027206329629</v>
      </c>
      <c r="Y201" s="4"/>
      <c r="Z201" s="34">
        <f t="shared" ref="Z201:Z212" si="23">IF(T201=0,0,X201/T201)</f>
        <v>7.5679933186441036E-3</v>
      </c>
    </row>
    <row r="202" spans="1:26" s="27" customFormat="1" outlineLevel="1" collapsed="1" x14ac:dyDescent="0.25">
      <c r="A202" s="26"/>
      <c r="B202" s="13" t="str">
        <f>CONCATENATE("     ","*Benefits                                         ")</f>
        <v xml:space="preserve">     *Benefits                                         </v>
      </c>
      <c r="C202" s="13"/>
      <c r="D202" s="1">
        <f>SUM(OSRRefD22_0x_0)</f>
        <v>232733.82</v>
      </c>
      <c r="E202" s="1"/>
      <c r="F202" s="5">
        <f t="shared" si="16"/>
        <v>6.7133926471583311E-2</v>
      </c>
      <c r="G202" s="1"/>
      <c r="H202" s="1">
        <f>SUM(OSRRefH22_0x_0)</f>
        <v>211238.57951980905</v>
      </c>
      <c r="I202" s="1"/>
      <c r="J202" s="5">
        <f t="shared" si="17"/>
        <v>6.1887201899772128E-2</v>
      </c>
      <c r="K202" s="1"/>
      <c r="L202" s="1">
        <f t="shared" si="18"/>
        <v>21495.240480190958</v>
      </c>
      <c r="M202" s="1"/>
      <c r="N202" s="5">
        <f t="shared" si="19"/>
        <v>0.10175811884862267</v>
      </c>
      <c r="O202" s="13"/>
      <c r="P202" s="1">
        <f>SUM(OSRRefP22_0x_0)</f>
        <v>1870587.77</v>
      </c>
      <c r="Q202" s="1"/>
      <c r="R202" s="5">
        <f t="shared" si="20"/>
        <v>7.4234364022929919E-2</v>
      </c>
      <c r="S202" s="1"/>
      <c r="T202" s="1">
        <f>SUM(OSRRefT22_0x_0)</f>
        <v>1753420.9211665443</v>
      </c>
      <c r="U202" s="1"/>
      <c r="V202" s="5">
        <f t="shared" si="21"/>
        <v>6.6714997137829857E-2</v>
      </c>
      <c r="W202" s="1"/>
      <c r="X202" s="1">
        <f t="shared" si="22"/>
        <v>117166.8488334557</v>
      </c>
      <c r="Y202" s="1"/>
      <c r="Z202" s="5">
        <f t="shared" si="23"/>
        <v>6.6821860865846766E-2</v>
      </c>
    </row>
    <row r="203" spans="1:26" s="24" customFormat="1" hidden="1" outlineLevel="2" x14ac:dyDescent="0.25">
      <c r="A203" s="25"/>
      <c r="B203" s="11" t="str">
        <f>CONCATENATE("          ", "6111", " - ", "F.I.C.A.")</f>
        <v xml:space="preserve">          6111 - F.I.C.A.</v>
      </c>
      <c r="C203" s="11"/>
      <c r="D203" s="6">
        <v>37140.6</v>
      </c>
      <c r="E203" s="2"/>
      <c r="F203" s="7">
        <f t="shared" si="16"/>
        <v>1.0713502272727216E-2</v>
      </c>
      <c r="G203" s="2"/>
      <c r="H203" s="6">
        <v>31806.864657843016</v>
      </c>
      <c r="I203" s="2"/>
      <c r="J203" s="7">
        <f t="shared" si="17"/>
        <v>9.318552791603419E-3</v>
      </c>
      <c r="K203" s="2"/>
      <c r="L203" s="6">
        <f t="shared" si="18"/>
        <v>5333.7353421569824</v>
      </c>
      <c r="M203" s="2"/>
      <c r="N203" s="7">
        <f t="shared" si="19"/>
        <v>0.16769132699917899</v>
      </c>
      <c r="O203" s="11"/>
      <c r="P203" s="6">
        <v>320283.06</v>
      </c>
      <c r="Q203" s="2"/>
      <c r="R203" s="7">
        <f t="shared" si="20"/>
        <v>1.2710448366941853E-2</v>
      </c>
      <c r="S203" s="2"/>
      <c r="T203" s="6">
        <v>287591.51644116151</v>
      </c>
      <c r="U203" s="2"/>
      <c r="V203" s="7">
        <f t="shared" si="21"/>
        <v>1.0942419452524509E-2</v>
      </c>
      <c r="W203" s="2"/>
      <c r="X203" s="6">
        <f t="shared" si="22"/>
        <v>32691.543558838486</v>
      </c>
      <c r="Y203" s="2"/>
      <c r="Z203" s="7">
        <f t="shared" si="23"/>
        <v>0.11367353238852185</v>
      </c>
    </row>
    <row r="204" spans="1:26" s="24" customFormat="1" hidden="1" outlineLevel="2" x14ac:dyDescent="0.25">
      <c r="A204" s="25"/>
      <c r="B204" s="11" t="str">
        <f>CONCATENATE("          ", "6112", " - ", "COMPENSATION INSURANCE")</f>
        <v xml:space="preserve">          6112 - COMPENSATION INSURANCE</v>
      </c>
      <c r="C204" s="11"/>
      <c r="D204" s="6">
        <v>25905.52</v>
      </c>
      <c r="E204" s="2"/>
      <c r="F204" s="7">
        <f t="shared" si="16"/>
        <v>7.4726538450154371E-3</v>
      </c>
      <c r="G204" s="2"/>
      <c r="H204" s="6">
        <v>25247.530326292308</v>
      </c>
      <c r="I204" s="2"/>
      <c r="J204" s="7">
        <f t="shared" si="17"/>
        <v>7.3968448866005903E-3</v>
      </c>
      <c r="K204" s="2"/>
      <c r="L204" s="6">
        <f t="shared" si="18"/>
        <v>657.98967370769242</v>
      </c>
      <c r="M204" s="2"/>
      <c r="N204" s="7">
        <f t="shared" si="19"/>
        <v>2.6061546028621825E-2</v>
      </c>
      <c r="O204" s="11"/>
      <c r="P204" s="6">
        <v>149574.39999999999</v>
      </c>
      <c r="Q204" s="2"/>
      <c r="R204" s="7">
        <f t="shared" si="20"/>
        <v>5.9358671302075965E-3</v>
      </c>
      <c r="S204" s="2"/>
      <c r="T204" s="6">
        <v>187756.82146273268</v>
      </c>
      <c r="U204" s="2"/>
      <c r="V204" s="7">
        <f t="shared" si="21"/>
        <v>7.1438612687252595E-3</v>
      </c>
      <c r="W204" s="2"/>
      <c r="X204" s="6">
        <f t="shared" si="22"/>
        <v>-38182.421462732687</v>
      </c>
      <c r="Y204" s="2"/>
      <c r="Z204" s="7">
        <f t="shared" si="23"/>
        <v>-0.20336103458329693</v>
      </c>
    </row>
    <row r="205" spans="1:26" s="24" customFormat="1" hidden="1" outlineLevel="2" x14ac:dyDescent="0.25">
      <c r="A205" s="25"/>
      <c r="B205" s="11" t="str">
        <f>CONCATENATE("          ", "6113", " - ", "GROUP INSURANCE")</f>
        <v xml:space="preserve">          6113 - GROUP INSURANCE</v>
      </c>
      <c r="C205" s="11"/>
      <c r="D205" s="6">
        <v>101154.84000000001</v>
      </c>
      <c r="E205" s="2"/>
      <c r="F205" s="7">
        <f t="shared" si="16"/>
        <v>2.9178920325394798E-2</v>
      </c>
      <c r="G205" s="2"/>
      <c r="H205" s="6">
        <v>92305.080769230772</v>
      </c>
      <c r="I205" s="2"/>
      <c r="J205" s="7">
        <f t="shared" si="17"/>
        <v>2.7042897102063045E-2</v>
      </c>
      <c r="K205" s="2"/>
      <c r="L205" s="6">
        <f t="shared" si="18"/>
        <v>8849.7592307692394</v>
      </c>
      <c r="M205" s="2"/>
      <c r="N205" s="7">
        <f t="shared" si="19"/>
        <v>9.5875104133154518E-2</v>
      </c>
      <c r="O205" s="11"/>
      <c r="P205" s="6">
        <v>771541.30999999994</v>
      </c>
      <c r="Q205" s="2"/>
      <c r="R205" s="7">
        <f t="shared" si="20"/>
        <v>3.0618653336575707E-2</v>
      </c>
      <c r="S205" s="2"/>
      <c r="T205" s="6">
        <v>758064.43653846148</v>
      </c>
      <c r="U205" s="2"/>
      <c r="V205" s="7">
        <f t="shared" si="21"/>
        <v>2.8843197947191819E-2</v>
      </c>
      <c r="W205" s="2"/>
      <c r="X205" s="6">
        <f t="shared" si="22"/>
        <v>13476.87346153846</v>
      </c>
      <c r="Y205" s="2"/>
      <c r="Z205" s="7">
        <f t="shared" si="23"/>
        <v>1.7778005156234091E-2</v>
      </c>
    </row>
    <row r="206" spans="1:26" s="24" customFormat="1" hidden="1" outlineLevel="2" x14ac:dyDescent="0.25">
      <c r="A206" s="25"/>
      <c r="B206" s="11" t="str">
        <f>CONCATENATE("          ", "6114", " - ", "STATE UNEMPLOYMENT INSURANCE")</f>
        <v xml:space="preserve">          6114 - STATE UNEMPLOYMENT INSURANCE</v>
      </c>
      <c r="C206" s="11"/>
      <c r="D206" s="6">
        <v>2207.11</v>
      </c>
      <c r="E206" s="2"/>
      <c r="F206" s="7">
        <f t="shared" si="16"/>
        <v>6.3665848158508389E-4</v>
      </c>
      <c r="G206" s="2"/>
      <c r="H206" s="6">
        <v>2122.7423268787047</v>
      </c>
      <c r="I206" s="2"/>
      <c r="J206" s="7">
        <f t="shared" si="17"/>
        <v>6.2190620322939217E-4</v>
      </c>
      <c r="K206" s="2"/>
      <c r="L206" s="6">
        <f t="shared" si="18"/>
        <v>84.367673121295411</v>
      </c>
      <c r="M206" s="2"/>
      <c r="N206" s="7">
        <f t="shared" si="19"/>
        <v>3.9744660504956453E-2</v>
      </c>
      <c r="O206" s="11"/>
      <c r="P206" s="6">
        <v>16009.78</v>
      </c>
      <c r="Q206" s="2"/>
      <c r="R206" s="7">
        <f t="shared" si="20"/>
        <v>6.3534887563550301E-4</v>
      </c>
      <c r="S206" s="2"/>
      <c r="T206" s="6">
        <v>15927.449326344475</v>
      </c>
      <c r="U206" s="2"/>
      <c r="V206" s="7">
        <f t="shared" si="21"/>
        <v>6.0601520341907293E-4</v>
      </c>
      <c r="W206" s="2"/>
      <c r="X206" s="6">
        <f t="shared" si="22"/>
        <v>82.33067365552597</v>
      </c>
      <c r="Y206" s="2"/>
      <c r="Z206" s="7">
        <f t="shared" si="23"/>
        <v>5.1691059860632296E-3</v>
      </c>
    </row>
    <row r="207" spans="1:26" s="24" customFormat="1" hidden="1" outlineLevel="2" x14ac:dyDescent="0.25">
      <c r="A207" s="25"/>
      <c r="B207" s="11" t="str">
        <f>CONCATENATE("          ", "6115", " - ", "P.E.R.S.")</f>
        <v xml:space="preserve">          6115 - P.E.R.S.</v>
      </c>
      <c r="C207" s="11"/>
      <c r="D207" s="6">
        <v>18979.060000000001</v>
      </c>
      <c r="E207" s="2"/>
      <c r="F207" s="7">
        <f t="shared" si="16"/>
        <v>5.4746612182955097E-3</v>
      </c>
      <c r="G207" s="2"/>
      <c r="H207" s="6">
        <v>18385.742724600001</v>
      </c>
      <c r="I207" s="2"/>
      <c r="J207" s="7">
        <f t="shared" si="17"/>
        <v>5.3865263374765536E-3</v>
      </c>
      <c r="K207" s="2"/>
      <c r="L207" s="6">
        <f t="shared" si="18"/>
        <v>593.31727540000065</v>
      </c>
      <c r="M207" s="2"/>
      <c r="N207" s="7">
        <f t="shared" si="19"/>
        <v>3.2270508963782363E-2</v>
      </c>
      <c r="O207" s="11"/>
      <c r="P207" s="6">
        <v>172993.09</v>
      </c>
      <c r="Q207" s="2"/>
      <c r="R207" s="7">
        <f t="shared" si="20"/>
        <v>6.8652389492055085E-3</v>
      </c>
      <c r="S207" s="2"/>
      <c r="T207" s="6">
        <v>160261.13771825001</v>
      </c>
      <c r="U207" s="2"/>
      <c r="V207" s="7">
        <f t="shared" si="21"/>
        <v>6.0976923539073418E-3</v>
      </c>
      <c r="W207" s="2"/>
      <c r="X207" s="6">
        <f t="shared" si="22"/>
        <v>12731.952281749982</v>
      </c>
      <c r="Y207" s="2"/>
      <c r="Z207" s="7">
        <f t="shared" si="23"/>
        <v>7.9445038660174869E-2</v>
      </c>
    </row>
    <row r="208" spans="1:26" s="24" customFormat="1" hidden="1" outlineLevel="2" x14ac:dyDescent="0.25">
      <c r="A208" s="25"/>
      <c r="B208" s="11" t="str">
        <f>CONCATENATE("          ", "6116", " - ", "EDUCATIONAL BENEFITS")</f>
        <v xml:space="preserve">          6116 - EDUCATIONAL BENEFITS</v>
      </c>
      <c r="C208" s="11"/>
      <c r="D208" s="6"/>
      <c r="E208" s="2"/>
      <c r="F208" s="7">
        <f t="shared" si="16"/>
        <v>0</v>
      </c>
      <c r="G208" s="2"/>
      <c r="H208" s="6">
        <v>0</v>
      </c>
      <c r="I208" s="2"/>
      <c r="J208" s="7">
        <f t="shared" si="17"/>
        <v>0</v>
      </c>
      <c r="K208" s="2"/>
      <c r="L208" s="6">
        <f t="shared" si="18"/>
        <v>0</v>
      </c>
      <c r="M208" s="2"/>
      <c r="N208" s="7">
        <f t="shared" si="19"/>
        <v>0</v>
      </c>
      <c r="O208" s="11"/>
      <c r="P208" s="6"/>
      <c r="Q208" s="2"/>
      <c r="R208" s="7">
        <f t="shared" si="20"/>
        <v>0</v>
      </c>
      <c r="S208" s="2"/>
      <c r="T208" s="6">
        <v>16000</v>
      </c>
      <c r="U208" s="2"/>
      <c r="V208" s="7">
        <f t="shared" si="21"/>
        <v>6.0877564612102039E-4</v>
      </c>
      <c r="W208" s="2"/>
      <c r="X208" s="6">
        <f t="shared" si="22"/>
        <v>-16000</v>
      </c>
      <c r="Y208" s="2"/>
      <c r="Z208" s="7">
        <f t="shared" si="23"/>
        <v>-1</v>
      </c>
    </row>
    <row r="209" spans="1:26" s="24" customFormat="1" hidden="1" outlineLevel="2" x14ac:dyDescent="0.25">
      <c r="A209" s="25"/>
      <c r="B209" s="11" t="str">
        <f>CONCATENATE("          ", "6117", " - ", "RETIREMENT STAFF HOURLY")</f>
        <v xml:space="preserve">          6117 - RETIREMENT STAFF HOURLY</v>
      </c>
      <c r="C209" s="11"/>
      <c r="D209" s="6">
        <v>1246.9100000000001</v>
      </c>
      <c r="E209" s="2"/>
      <c r="F209" s="7">
        <f t="shared" si="16"/>
        <v>3.5968113382353259E-4</v>
      </c>
      <c r="G209" s="2"/>
      <c r="H209" s="6"/>
      <c r="I209" s="2"/>
      <c r="J209" s="7">
        <f t="shared" si="17"/>
        <v>0</v>
      </c>
      <c r="K209" s="2"/>
      <c r="L209" s="6">
        <f t="shared" si="18"/>
        <v>1246.9100000000001</v>
      </c>
      <c r="M209" s="2"/>
      <c r="N209" s="7">
        <f t="shared" si="19"/>
        <v>0</v>
      </c>
      <c r="O209" s="11"/>
      <c r="P209" s="6">
        <v>16684.79</v>
      </c>
      <c r="Q209" s="2"/>
      <c r="R209" s="7">
        <f t="shared" si="20"/>
        <v>6.6213667937438771E-4</v>
      </c>
      <c r="S209" s="2"/>
      <c r="T209" s="6"/>
      <c r="U209" s="2"/>
      <c r="V209" s="7">
        <f t="shared" si="21"/>
        <v>0</v>
      </c>
      <c r="W209" s="2"/>
      <c r="X209" s="6">
        <f t="shared" si="22"/>
        <v>16684.79</v>
      </c>
      <c r="Y209" s="2"/>
      <c r="Z209" s="7">
        <f t="shared" si="23"/>
        <v>0</v>
      </c>
    </row>
    <row r="210" spans="1:26" s="24" customFormat="1" hidden="1" outlineLevel="2" x14ac:dyDescent="0.25">
      <c r="A210" s="25"/>
      <c r="B210" s="11" t="str">
        <f>CONCATENATE("          ", "6118", " - ", "VACATION")</f>
        <v xml:space="preserve">          6118 - VACATION</v>
      </c>
      <c r="C210" s="11"/>
      <c r="D210" s="6">
        <v>19701.150000000001</v>
      </c>
      <c r="E210" s="2"/>
      <c r="F210" s="7">
        <f t="shared" si="16"/>
        <v>5.68295383758851E-3</v>
      </c>
      <c r="G210" s="2"/>
      <c r="H210" s="6">
        <v>14139.388159246149</v>
      </c>
      <c r="I210" s="2"/>
      <c r="J210" s="7">
        <f t="shared" si="17"/>
        <v>4.1424590704012745E-3</v>
      </c>
      <c r="K210" s="2"/>
      <c r="L210" s="6">
        <f t="shared" si="18"/>
        <v>5561.7618407538521</v>
      </c>
      <c r="M210" s="2"/>
      <c r="N210" s="7">
        <f t="shared" si="19"/>
        <v>0.39335236985603633</v>
      </c>
      <c r="O210" s="11"/>
      <c r="P210" s="6">
        <v>186240.15</v>
      </c>
      <c r="Q210" s="2"/>
      <c r="R210" s="7">
        <f t="shared" si="20"/>
        <v>7.3909491511243387E-3</v>
      </c>
      <c r="S210" s="2"/>
      <c r="T210" s="6">
        <v>122670.9058734038</v>
      </c>
      <c r="U210" s="2"/>
      <c r="V210" s="7">
        <f t="shared" si="21"/>
        <v>4.6674412489582668E-3</v>
      </c>
      <c r="W210" s="2"/>
      <c r="X210" s="6">
        <f t="shared" si="22"/>
        <v>63569.244126596197</v>
      </c>
      <c r="Y210" s="2"/>
      <c r="Z210" s="7">
        <f t="shared" si="23"/>
        <v>0.51820962496355549</v>
      </c>
    </row>
    <row r="211" spans="1:26" s="24" customFormat="1" hidden="1" outlineLevel="2" x14ac:dyDescent="0.25">
      <c r="A211" s="25"/>
      <c r="B211" s="11" t="str">
        <f>CONCATENATE("          ", "6119", " - ", "SICK LEAVE")</f>
        <v xml:space="preserve">          6119 - SICK LEAVE</v>
      </c>
      <c r="C211" s="11"/>
      <c r="D211" s="6">
        <v>14894.529999999999</v>
      </c>
      <c r="E211" s="2"/>
      <c r="F211" s="7">
        <f t="shared" si="16"/>
        <v>4.2964459649602778E-3</v>
      </c>
      <c r="G211" s="2"/>
      <c r="H211" s="6">
        <v>22306.230555718099</v>
      </c>
      <c r="I211" s="2"/>
      <c r="J211" s="7">
        <f t="shared" si="17"/>
        <v>6.5351234474436415E-3</v>
      </c>
      <c r="K211" s="2"/>
      <c r="L211" s="6">
        <f t="shared" si="18"/>
        <v>-7411.7005557181001</v>
      </c>
      <c r="M211" s="2"/>
      <c r="N211" s="7">
        <f t="shared" si="19"/>
        <v>-0.3322704182225959</v>
      </c>
      <c r="O211" s="11"/>
      <c r="P211" s="6">
        <v>159253.25</v>
      </c>
      <c r="Q211" s="2"/>
      <c r="R211" s="7">
        <f t="shared" si="20"/>
        <v>6.3199727497067204E-3</v>
      </c>
      <c r="S211" s="2"/>
      <c r="T211" s="6">
        <v>165623.65380619027</v>
      </c>
      <c r="U211" s="2"/>
      <c r="V211" s="7">
        <f t="shared" si="21"/>
        <v>6.3017279286742296E-3</v>
      </c>
      <c r="W211" s="2"/>
      <c r="X211" s="6">
        <f t="shared" si="22"/>
        <v>-6370.4038061902684</v>
      </c>
      <c r="Y211" s="2"/>
      <c r="Z211" s="7">
        <f t="shared" si="23"/>
        <v>-3.8463128060468928E-2</v>
      </c>
    </row>
    <row r="212" spans="1:26" s="24" customFormat="1" hidden="1" outlineLevel="2" x14ac:dyDescent="0.25">
      <c r="A212" s="25"/>
      <c r="B212" s="11" t="str">
        <f>CONCATENATE("          ", "6156", " - ", "EMPLOYEE MEALS")</f>
        <v xml:space="preserve">          6156 - EMPLOYEE MEALS</v>
      </c>
      <c r="C212" s="11"/>
      <c r="D212" s="6">
        <v>11504.1</v>
      </c>
      <c r="E212" s="2"/>
      <c r="F212" s="7">
        <f t="shared" si="16"/>
        <v>3.3184493921929415E-3</v>
      </c>
      <c r="G212" s="2"/>
      <c r="H212" s="6">
        <v>4925</v>
      </c>
      <c r="I212" s="2"/>
      <c r="J212" s="7">
        <f t="shared" si="17"/>
        <v>1.4428920609542133E-3</v>
      </c>
      <c r="K212" s="2"/>
      <c r="L212" s="6">
        <f t="shared" si="18"/>
        <v>6579.1</v>
      </c>
      <c r="M212" s="2"/>
      <c r="N212" s="7">
        <f t="shared" si="19"/>
        <v>1.3358578680203046</v>
      </c>
      <c r="O212" s="11"/>
      <c r="P212" s="6">
        <v>78007.94</v>
      </c>
      <c r="Q212" s="2"/>
      <c r="R212" s="7">
        <f t="shared" si="20"/>
        <v>3.0957487841582945E-3</v>
      </c>
      <c r="S212" s="2"/>
      <c r="T212" s="6">
        <v>39525</v>
      </c>
      <c r="U212" s="2"/>
      <c r="V212" s="7">
        <f t="shared" si="21"/>
        <v>1.5038660883083331E-3</v>
      </c>
      <c r="W212" s="2"/>
      <c r="X212" s="6">
        <f t="shared" si="22"/>
        <v>38482.94</v>
      </c>
      <c r="Y212" s="2"/>
      <c r="Z212" s="7">
        <f t="shared" si="23"/>
        <v>0.97363542061986086</v>
      </c>
    </row>
    <row r="213" spans="1:26" s="27" customFormat="1" outlineLevel="1" collapsed="1" x14ac:dyDescent="0.25">
      <c r="A213" s="26"/>
      <c r="B213" s="13" t="str">
        <f>CONCATENATE("     ","*Payroll                                          ")</f>
        <v xml:space="preserve">     *Payroll                                          </v>
      </c>
      <c r="C213" s="13"/>
      <c r="D213" s="1">
        <f>SUM(OSRRefD22_1x_0)</f>
        <v>796900.99000000011</v>
      </c>
      <c r="E213" s="1"/>
      <c r="F213" s="5">
        <f t="shared" ref="F213:F223" si="24">IF(D$12=0,0,D213/D$12)</f>
        <v>0.2298724459891216</v>
      </c>
      <c r="G213" s="1"/>
      <c r="H213" s="1">
        <f>SUM(OSRRefH22_1x_0)</f>
        <v>781375.03238776349</v>
      </c>
      <c r="I213" s="1"/>
      <c r="J213" s="5">
        <f t="shared" ref="J213:J223" si="25">IF(H$12=0,0,H213/H$12)</f>
        <v>0.2289217930680498</v>
      </c>
      <c r="K213" s="1"/>
      <c r="L213" s="1">
        <f t="shared" ref="L213:L223" si="26">+D213-H213</f>
        <v>15525.957612236612</v>
      </c>
      <c r="M213" s="1"/>
      <c r="N213" s="5">
        <f t="shared" ref="N213:N223" si="27">IF(H213=0,0,L213/H213)</f>
        <v>1.987004571260953E-2</v>
      </c>
      <c r="O213" s="13"/>
      <c r="P213" s="1">
        <f>SUM(OSRRefP22_1x_0)</f>
        <v>5917453.4799999986</v>
      </c>
      <c r="Q213" s="1"/>
      <c r="R213" s="5">
        <f t="shared" ref="R213:R223" si="28">IF(P$12=0,0,P213/P$12)</f>
        <v>0.23483442090668288</v>
      </c>
      <c r="S213" s="1"/>
      <c r="T213" s="1">
        <f>SUM(OSRRefT22_1x_0)</f>
        <v>5843257.0616271254</v>
      </c>
      <c r="U213" s="1"/>
      <c r="V213" s="5">
        <f t="shared" ref="V213:V223" si="29">IF(T$12=0,0,T213/T$12)</f>
        <v>0.22232703707145424</v>
      </c>
      <c r="W213" s="1"/>
      <c r="X213" s="1">
        <f t="shared" ref="X213:X223" si="30">+P213-T213</f>
        <v>74196.418372873217</v>
      </c>
      <c r="Y213" s="1"/>
      <c r="Z213" s="5">
        <f t="shared" ref="Z213:Z223" si="31">IF(T213=0,0,X213/T213)</f>
        <v>1.2697784401806264E-2</v>
      </c>
    </row>
    <row r="214" spans="1:26" s="24" customFormat="1" hidden="1" outlineLevel="2" x14ac:dyDescent="0.25">
      <c r="A214" s="25"/>
      <c r="B214" s="11" t="str">
        <f>CONCATENATE("          ", "6001", " - ", "ADMINISTRATIVE SALARIES")</f>
        <v xml:space="preserve">          6001 - ADMINISTRATIVE SALARIES</v>
      </c>
      <c r="C214" s="11"/>
      <c r="D214" s="6">
        <v>35705.08</v>
      </c>
      <c r="E214" s="2"/>
      <c r="F214" s="7">
        <f t="shared" si="24"/>
        <v>1.0299415080206219E-2</v>
      </c>
      <c r="G214" s="2"/>
      <c r="H214" s="6">
        <v>61054.71516184615</v>
      </c>
      <c r="I214" s="2"/>
      <c r="J214" s="7">
        <f t="shared" si="25"/>
        <v>1.7887383510832213E-2</v>
      </c>
      <c r="K214" s="2"/>
      <c r="L214" s="6">
        <f t="shared" si="26"/>
        <v>-25349.635161846149</v>
      </c>
      <c r="M214" s="2"/>
      <c r="N214" s="7">
        <f t="shared" si="27"/>
        <v>-0.41519537180131583</v>
      </c>
      <c r="O214" s="11"/>
      <c r="P214" s="6">
        <v>294174.64</v>
      </c>
      <c r="Q214" s="2"/>
      <c r="R214" s="7">
        <f t="shared" si="28"/>
        <v>1.1674334485825468E-2</v>
      </c>
      <c r="S214" s="2"/>
      <c r="T214" s="6">
        <v>531713.13201615389</v>
      </c>
      <c r="U214" s="2"/>
      <c r="V214" s="7">
        <f t="shared" si="29"/>
        <v>2.0230875343385343E-2</v>
      </c>
      <c r="W214" s="2"/>
      <c r="X214" s="6">
        <f t="shared" si="30"/>
        <v>-237538.49201615388</v>
      </c>
      <c r="Y214" s="2"/>
      <c r="Z214" s="7">
        <f t="shared" si="31"/>
        <v>-0.44674181943833813</v>
      </c>
    </row>
    <row r="215" spans="1:26" s="24" customFormat="1" hidden="1" outlineLevel="2" x14ac:dyDescent="0.25">
      <c r="A215" s="25"/>
      <c r="B215" s="11" t="str">
        <f>CONCATENATE("          ", "6002", " - ", "STAFF SALARIES")</f>
        <v xml:space="preserve">          6002 - STAFF SALARIES</v>
      </c>
      <c r="C215" s="11"/>
      <c r="D215" s="6">
        <v>168798.88</v>
      </c>
      <c r="E215" s="2"/>
      <c r="F215" s="7">
        <f t="shared" si="24"/>
        <v>4.869138313634698E-2</v>
      </c>
      <c r="G215" s="2"/>
      <c r="H215" s="6">
        <v>134951.77562810775</v>
      </c>
      <c r="I215" s="2"/>
      <c r="J215" s="7">
        <f t="shared" si="25"/>
        <v>3.9537227546288516E-2</v>
      </c>
      <c r="K215" s="2"/>
      <c r="L215" s="6">
        <f t="shared" si="26"/>
        <v>33847.104371892259</v>
      </c>
      <c r="M215" s="2"/>
      <c r="N215" s="7">
        <f t="shared" si="27"/>
        <v>0.25080888498396747</v>
      </c>
      <c r="O215" s="11"/>
      <c r="P215" s="6">
        <v>1484263.43</v>
      </c>
      <c r="Q215" s="2"/>
      <c r="R215" s="7">
        <f t="shared" si="28"/>
        <v>5.890306433925982E-2</v>
      </c>
      <c r="S215" s="2"/>
      <c r="T215" s="6">
        <v>1176814.4687459422</v>
      </c>
      <c r="U215" s="2"/>
      <c r="V215" s="7">
        <f t="shared" si="29"/>
        <v>4.4775999285961016E-2</v>
      </c>
      <c r="W215" s="2"/>
      <c r="X215" s="6">
        <f t="shared" si="30"/>
        <v>307448.96125405771</v>
      </c>
      <c r="Y215" s="2"/>
      <c r="Z215" s="7">
        <f t="shared" si="31"/>
        <v>0.26125525256473681</v>
      </c>
    </row>
    <row r="216" spans="1:26" s="24" customFormat="1" hidden="1" outlineLevel="2" x14ac:dyDescent="0.25">
      <c r="A216" s="25"/>
      <c r="B216" s="11" t="str">
        <f>CONCATENATE("          ", "6003", " - ", "STAFF HOURLY-9 MONTH")</f>
        <v xml:space="preserve">          6003 - STAFF HOURLY-9 MONTH</v>
      </c>
      <c r="C216" s="11"/>
      <c r="D216" s="6"/>
      <c r="E216" s="2"/>
      <c r="F216" s="7">
        <f t="shared" si="24"/>
        <v>0</v>
      </c>
      <c r="G216" s="2"/>
      <c r="H216" s="6">
        <v>0</v>
      </c>
      <c r="I216" s="2"/>
      <c r="J216" s="7">
        <f t="shared" si="25"/>
        <v>0</v>
      </c>
      <c r="K216" s="2"/>
      <c r="L216" s="6">
        <f t="shared" si="26"/>
        <v>0</v>
      </c>
      <c r="M216" s="2"/>
      <c r="N216" s="7">
        <f t="shared" si="27"/>
        <v>0</v>
      </c>
      <c r="O216" s="11"/>
      <c r="P216" s="6"/>
      <c r="Q216" s="2"/>
      <c r="R216" s="7">
        <f t="shared" si="28"/>
        <v>0</v>
      </c>
      <c r="S216" s="2"/>
      <c r="T216" s="6">
        <v>0</v>
      </c>
      <c r="U216" s="2"/>
      <c r="V216" s="7">
        <f t="shared" si="29"/>
        <v>0</v>
      </c>
      <c r="W216" s="2"/>
      <c r="X216" s="6">
        <f t="shared" si="30"/>
        <v>0</v>
      </c>
      <c r="Y216" s="2"/>
      <c r="Z216" s="7">
        <f t="shared" si="31"/>
        <v>0</v>
      </c>
    </row>
    <row r="217" spans="1:26" s="24" customFormat="1" hidden="1" outlineLevel="2" x14ac:dyDescent="0.25">
      <c r="A217" s="25"/>
      <c r="B217" s="11" t="str">
        <f>CONCATENATE("          ", "6004", " - ", "STAFF HOURLY")</f>
        <v xml:space="preserve">          6004 - STAFF HOURLY</v>
      </c>
      <c r="C217" s="11"/>
      <c r="D217" s="6">
        <v>100370.66</v>
      </c>
      <c r="E217" s="2"/>
      <c r="F217" s="7">
        <f t="shared" si="24"/>
        <v>2.8952717350423277E-2</v>
      </c>
      <c r="G217" s="2"/>
      <c r="H217" s="6">
        <v>151066.244022</v>
      </c>
      <c r="I217" s="2"/>
      <c r="J217" s="7">
        <f t="shared" si="25"/>
        <v>4.4258331812693535E-2</v>
      </c>
      <c r="K217" s="2"/>
      <c r="L217" s="6">
        <f t="shared" si="26"/>
        <v>-50695.584021999995</v>
      </c>
      <c r="M217" s="2"/>
      <c r="N217" s="7">
        <f t="shared" si="27"/>
        <v>-0.33558512260764967</v>
      </c>
      <c r="O217" s="11"/>
      <c r="P217" s="6">
        <v>679390.2300000001</v>
      </c>
      <c r="Q217" s="2"/>
      <c r="R217" s="7">
        <f t="shared" si="28"/>
        <v>2.6961633373365892E-2</v>
      </c>
      <c r="S217" s="2"/>
      <c r="T217" s="6">
        <v>1262115.0591000002</v>
      </c>
      <c r="U217" s="2"/>
      <c r="V217" s="7">
        <f t="shared" si="29"/>
        <v>4.8021556911417025E-2</v>
      </c>
      <c r="W217" s="2"/>
      <c r="X217" s="6">
        <f t="shared" si="30"/>
        <v>-582724.82910000009</v>
      </c>
      <c r="Y217" s="2"/>
      <c r="Z217" s="7">
        <f t="shared" si="31"/>
        <v>-0.4617049966233146</v>
      </c>
    </row>
    <row r="218" spans="1:26" s="24" customFormat="1" hidden="1" outlineLevel="2" x14ac:dyDescent="0.25">
      <c r="A218" s="25"/>
      <c r="B218" s="11" t="str">
        <f>CONCATENATE("          ", "6005", " - ", "TEMPORARY WAGES-HOURLY")</f>
        <v xml:space="preserve">          6005 - TEMPORARY WAGES-HOURLY</v>
      </c>
      <c r="C218" s="11"/>
      <c r="D218" s="6">
        <v>146071.62</v>
      </c>
      <c r="E218" s="2"/>
      <c r="F218" s="7">
        <f t="shared" si="24"/>
        <v>4.2135523735506324E-2</v>
      </c>
      <c r="G218" s="2"/>
      <c r="H218" s="6">
        <v>65413.712615999997</v>
      </c>
      <c r="I218" s="2"/>
      <c r="J218" s="7">
        <f t="shared" si="25"/>
        <v>1.9164452103790225E-2</v>
      </c>
      <c r="K218" s="2"/>
      <c r="L218" s="6">
        <f t="shared" si="26"/>
        <v>80657.907383999991</v>
      </c>
      <c r="M218" s="2"/>
      <c r="N218" s="7">
        <f t="shared" si="27"/>
        <v>1.2330428003297784</v>
      </c>
      <c r="O218" s="11"/>
      <c r="P218" s="6">
        <v>993037.97</v>
      </c>
      <c r="Q218" s="2"/>
      <c r="R218" s="7">
        <f t="shared" si="28"/>
        <v>3.940875875264134E-2</v>
      </c>
      <c r="S218" s="2"/>
      <c r="T218" s="6">
        <v>455064.980514</v>
      </c>
      <c r="U218" s="2"/>
      <c r="V218" s="7">
        <f t="shared" si="29"/>
        <v>1.7314529846216242E-2</v>
      </c>
      <c r="W218" s="2"/>
      <c r="X218" s="6">
        <f t="shared" si="30"/>
        <v>537972.98948600003</v>
      </c>
      <c r="Y218" s="2"/>
      <c r="Z218" s="7">
        <f t="shared" si="31"/>
        <v>1.182189385081565</v>
      </c>
    </row>
    <row r="219" spans="1:26" s="24" customFormat="1" hidden="1" outlineLevel="2" x14ac:dyDescent="0.25">
      <c r="A219" s="25"/>
      <c r="B219" s="11" t="str">
        <f>CONCATENATE("          ", "6006", " - ", "TEMPORARY PART TIME")</f>
        <v xml:space="preserve">          6006 - TEMPORARY PART TIME</v>
      </c>
      <c r="C219" s="11"/>
      <c r="D219" s="6">
        <v>10217.09</v>
      </c>
      <c r="E219" s="2"/>
      <c r="F219" s="7">
        <f t="shared" si="24"/>
        <v>2.9472010935649535E-3</v>
      </c>
      <c r="G219" s="2"/>
      <c r="H219" s="6">
        <v>0</v>
      </c>
      <c r="I219" s="2"/>
      <c r="J219" s="7">
        <f t="shared" si="25"/>
        <v>0</v>
      </c>
      <c r="K219" s="2"/>
      <c r="L219" s="6">
        <f t="shared" si="26"/>
        <v>10217.09</v>
      </c>
      <c r="M219" s="2"/>
      <c r="N219" s="7">
        <f t="shared" si="27"/>
        <v>0</v>
      </c>
      <c r="O219" s="11"/>
      <c r="P219" s="6">
        <v>91495.67</v>
      </c>
      <c r="Q219" s="2"/>
      <c r="R219" s="7">
        <f t="shared" si="28"/>
        <v>3.6310099863968784E-3</v>
      </c>
      <c r="S219" s="2"/>
      <c r="T219" s="6">
        <v>0</v>
      </c>
      <c r="U219" s="2"/>
      <c r="V219" s="7">
        <f t="shared" si="29"/>
        <v>0</v>
      </c>
      <c r="W219" s="2"/>
      <c r="X219" s="6">
        <f t="shared" si="30"/>
        <v>91495.67</v>
      </c>
      <c r="Y219" s="2"/>
      <c r="Z219" s="7">
        <f t="shared" si="31"/>
        <v>0</v>
      </c>
    </row>
    <row r="220" spans="1:26" s="24" customFormat="1" hidden="1" outlineLevel="2" x14ac:dyDescent="0.25">
      <c r="A220" s="25"/>
      <c r="B220" s="11" t="str">
        <f>CONCATENATE("          ", "6007", " - ", "STUDENT HOURLY")</f>
        <v xml:space="preserve">          6007 - STUDENT HOURLY</v>
      </c>
      <c r="C220" s="11"/>
      <c r="D220" s="6">
        <v>301343.74</v>
      </c>
      <c r="E220" s="2"/>
      <c r="F220" s="7">
        <f t="shared" si="24"/>
        <v>8.692500507159602E-2</v>
      </c>
      <c r="G220" s="2"/>
      <c r="H220" s="6">
        <v>44195.339807999997</v>
      </c>
      <c r="I220" s="2"/>
      <c r="J220" s="7">
        <f t="shared" si="25"/>
        <v>1.2948041612210538E-2</v>
      </c>
      <c r="K220" s="2"/>
      <c r="L220" s="6">
        <f t="shared" si="26"/>
        <v>257148.400192</v>
      </c>
      <c r="M220" s="2"/>
      <c r="N220" s="7">
        <f t="shared" si="27"/>
        <v>5.8184505721449939</v>
      </c>
      <c r="O220" s="11"/>
      <c r="P220" s="6">
        <v>2174265.19</v>
      </c>
      <c r="Q220" s="2"/>
      <c r="R220" s="7">
        <f t="shared" si="28"/>
        <v>8.6285816781986588E-2</v>
      </c>
      <c r="S220" s="2"/>
      <c r="T220" s="6">
        <v>568850.53333520005</v>
      </c>
      <c r="U220" s="2"/>
      <c r="V220" s="7">
        <f t="shared" si="29"/>
        <v>2.1643896936088963E-2</v>
      </c>
      <c r="W220" s="2"/>
      <c r="X220" s="6">
        <f t="shared" si="30"/>
        <v>1605414.6566647999</v>
      </c>
      <c r="Y220" s="2"/>
      <c r="Z220" s="7">
        <f t="shared" si="31"/>
        <v>2.8222082297298217</v>
      </c>
    </row>
    <row r="221" spans="1:26" s="24" customFormat="1" hidden="1" outlineLevel="2" x14ac:dyDescent="0.25">
      <c r="A221" s="25"/>
      <c r="B221" s="11" t="str">
        <f>CONCATENATE("          ", "6008", " - ", "STUDENT HOURLY-FICA EXEMPT")</f>
        <v xml:space="preserve">          6008 - STUDENT HOURLY-FICA EXEMPT</v>
      </c>
      <c r="C221" s="11"/>
      <c r="D221" s="6">
        <v>34393.919999999998</v>
      </c>
      <c r="E221" s="2"/>
      <c r="F221" s="7">
        <f t="shared" si="24"/>
        <v>9.9212005214777913E-3</v>
      </c>
      <c r="G221" s="2"/>
      <c r="H221" s="6">
        <v>324693.24515180959</v>
      </c>
      <c r="I221" s="2"/>
      <c r="J221" s="7">
        <f t="shared" si="25"/>
        <v>9.5126356482234747E-2</v>
      </c>
      <c r="K221" s="2"/>
      <c r="L221" s="6">
        <f t="shared" si="26"/>
        <v>-290299.32515180961</v>
      </c>
      <c r="M221" s="2"/>
      <c r="N221" s="7">
        <f t="shared" si="27"/>
        <v>-0.89407257307148724</v>
      </c>
      <c r="O221" s="11"/>
      <c r="P221" s="6">
        <v>200826.35</v>
      </c>
      <c r="Q221" s="2"/>
      <c r="R221" s="7">
        <f t="shared" si="28"/>
        <v>7.9698031872069437E-3</v>
      </c>
      <c r="S221" s="2"/>
      <c r="T221" s="6">
        <v>1848698.8879158287</v>
      </c>
      <c r="U221" s="2"/>
      <c r="V221" s="7">
        <f t="shared" si="29"/>
        <v>7.0340178748385648E-2</v>
      </c>
      <c r="W221" s="2"/>
      <c r="X221" s="6">
        <f t="shared" si="30"/>
        <v>-1647872.5379158286</v>
      </c>
      <c r="Y221" s="2"/>
      <c r="Z221" s="7">
        <f t="shared" si="31"/>
        <v>-0.8913688154881696</v>
      </c>
    </row>
    <row r="222" spans="1:26" s="24" customFormat="1" hidden="1" outlineLevel="2" x14ac:dyDescent="0.25">
      <c r="A222" s="25"/>
      <c r="B222" s="11" t="str">
        <f>CONCATENATE("          ", "6009", " - ", "TEMPORARY-SEASONAL")</f>
        <v xml:space="preserve">          6009 - TEMPORARY-SEASONAL</v>
      </c>
      <c r="C222" s="11"/>
      <c r="D222" s="6"/>
      <c r="E222" s="2"/>
      <c r="F222" s="7">
        <f t="shared" si="24"/>
        <v>0</v>
      </c>
      <c r="G222" s="2"/>
      <c r="H222" s="6">
        <v>0</v>
      </c>
      <c r="I222" s="2"/>
      <c r="J222" s="7">
        <f t="shared" si="25"/>
        <v>0</v>
      </c>
      <c r="K222" s="2"/>
      <c r="L222" s="6">
        <f t="shared" si="26"/>
        <v>0</v>
      </c>
      <c r="M222" s="2"/>
      <c r="N222" s="7">
        <f t="shared" si="27"/>
        <v>0</v>
      </c>
      <c r="O222" s="11"/>
      <c r="P222" s="6"/>
      <c r="Q222" s="2"/>
      <c r="R222" s="7">
        <f t="shared" si="28"/>
        <v>0</v>
      </c>
      <c r="S222" s="2"/>
      <c r="T222" s="6">
        <v>0</v>
      </c>
      <c r="U222" s="2"/>
      <c r="V222" s="7">
        <f t="shared" si="29"/>
        <v>0</v>
      </c>
      <c r="W222" s="2"/>
      <c r="X222" s="6">
        <f t="shared" si="30"/>
        <v>0</v>
      </c>
      <c r="Y222" s="2"/>
      <c r="Z222" s="7">
        <f t="shared" si="31"/>
        <v>0</v>
      </c>
    </row>
    <row r="223" spans="1:26" s="24" customFormat="1" hidden="1" outlineLevel="2" x14ac:dyDescent="0.25">
      <c r="A223" s="25"/>
      <c r="B223" s="11" t="str">
        <f>CONCATENATE("          ", "6010", " - ", "GRATUITY")</f>
        <v xml:space="preserve">          6010 - GRATUITY</v>
      </c>
      <c r="C223" s="11"/>
      <c r="D223" s="6"/>
      <c r="E223" s="2"/>
      <c r="F223" s="7">
        <f t="shared" si="24"/>
        <v>0</v>
      </c>
      <c r="G223" s="2"/>
      <c r="H223" s="6">
        <v>0</v>
      </c>
      <c r="I223" s="2"/>
      <c r="J223" s="7">
        <f t="shared" si="25"/>
        <v>0</v>
      </c>
      <c r="K223" s="2"/>
      <c r="L223" s="6">
        <f t="shared" si="26"/>
        <v>0</v>
      </c>
      <c r="M223" s="2"/>
      <c r="N223" s="7">
        <f t="shared" si="27"/>
        <v>0</v>
      </c>
      <c r="O223" s="11"/>
      <c r="P223" s="6"/>
      <c r="Q223" s="2"/>
      <c r="R223" s="7">
        <f t="shared" si="28"/>
        <v>0</v>
      </c>
      <c r="S223" s="2"/>
      <c r="T223" s="6">
        <v>0</v>
      </c>
      <c r="U223" s="2"/>
      <c r="V223" s="7">
        <f t="shared" si="29"/>
        <v>0</v>
      </c>
      <c r="W223" s="2"/>
      <c r="X223" s="6">
        <f t="shared" si="30"/>
        <v>0</v>
      </c>
      <c r="Y223" s="2"/>
      <c r="Z223" s="7">
        <f t="shared" si="31"/>
        <v>0</v>
      </c>
    </row>
    <row r="224" spans="1:26" s="27" customFormat="1" outlineLevel="1" collapsed="1" x14ac:dyDescent="0.25">
      <c r="A224" s="26"/>
      <c r="B224" s="13" t="str">
        <f>CONCATENATE("     ","Advertising/Promo                                 ")</f>
        <v xml:space="preserve">     Advertising/Promo                                 </v>
      </c>
      <c r="C224" s="13"/>
      <c r="D224" s="1">
        <f>SUM(OSRRefD22_2x_0)</f>
        <v>5937.37</v>
      </c>
      <c r="E224" s="1"/>
      <c r="F224" s="5">
        <f t="shared" ref="F224:F228" si="32">IF(D$12=0,0,D224/D$12)</f>
        <v>1.7126817280556153E-3</v>
      </c>
      <c r="G224" s="1"/>
      <c r="H224" s="1">
        <f>SUM(OSRRefH22_2x_0)</f>
        <v>9060</v>
      </c>
      <c r="I224" s="1"/>
      <c r="J224" s="5">
        <f t="shared" ref="J224:J228" si="33">IF(H$12=0,0,H224/H$12)</f>
        <v>2.6543354461411517E-3</v>
      </c>
      <c r="K224" s="1"/>
      <c r="L224" s="1">
        <f t="shared" ref="L224:L228" si="34">+D224-H224</f>
        <v>-3122.63</v>
      </c>
      <c r="M224" s="1"/>
      <c r="N224" s="5">
        <f t="shared" ref="N224:N228" si="35">IF(H224=0,0,L224/H224)</f>
        <v>-0.34466114790286978</v>
      </c>
      <c r="O224" s="13"/>
      <c r="P224" s="1">
        <f>SUM(OSRRefP22_2x_0)</f>
        <v>83091.289999999994</v>
      </c>
      <c r="Q224" s="1"/>
      <c r="R224" s="5">
        <f t="shared" ref="R224:R228" si="36">IF(P$12=0,0,P224/P$12)</f>
        <v>3.2974817690563834E-3</v>
      </c>
      <c r="S224" s="1"/>
      <c r="T224" s="1">
        <f>SUM(OSRRefT22_2x_0)</f>
        <v>89755</v>
      </c>
      <c r="U224" s="1"/>
      <c r="V224" s="5">
        <f t="shared" ref="V224:V228" si="37">IF(T$12=0,0,T224/T$12)</f>
        <v>3.4150411323495113E-3</v>
      </c>
      <c r="W224" s="1"/>
      <c r="X224" s="1">
        <f t="shared" ref="X224:X228" si="38">+P224-T224</f>
        <v>-6663.7100000000064</v>
      </c>
      <c r="Y224" s="1"/>
      <c r="Z224" s="5">
        <f t="shared" ref="Z224:Z228" si="39">IF(T224=0,0,X224/T224)</f>
        <v>-7.4243329062447849E-2</v>
      </c>
    </row>
    <row r="225" spans="1:26" s="24" customFormat="1" hidden="1" outlineLevel="2" x14ac:dyDescent="0.25">
      <c r="A225" s="25"/>
      <c r="B225" s="11" t="str">
        <f>CONCATENATE("          ", "6362", " - ", "ADVERTISING EXPENSE")</f>
        <v xml:space="preserve">          6362 - ADVERTISING EXPENSE</v>
      </c>
      <c r="C225" s="11"/>
      <c r="D225" s="6">
        <v>5937.37</v>
      </c>
      <c r="E225" s="2"/>
      <c r="F225" s="7">
        <f t="shared" si="32"/>
        <v>1.7126817280556153E-3</v>
      </c>
      <c r="G225" s="2"/>
      <c r="H225" s="6">
        <v>9060</v>
      </c>
      <c r="I225" s="2"/>
      <c r="J225" s="7">
        <f t="shared" si="33"/>
        <v>2.6543354461411517E-3</v>
      </c>
      <c r="K225" s="2"/>
      <c r="L225" s="6">
        <f t="shared" si="34"/>
        <v>-3122.63</v>
      </c>
      <c r="M225" s="2"/>
      <c r="N225" s="7">
        <f t="shared" si="35"/>
        <v>-0.34466114790286978</v>
      </c>
      <c r="O225" s="11"/>
      <c r="P225" s="6">
        <v>83091.289999999994</v>
      </c>
      <c r="Q225" s="2"/>
      <c r="R225" s="7">
        <f t="shared" si="36"/>
        <v>3.2974817690563834E-3</v>
      </c>
      <c r="S225" s="2"/>
      <c r="T225" s="6">
        <v>89755</v>
      </c>
      <c r="U225" s="2"/>
      <c r="V225" s="7">
        <f t="shared" si="37"/>
        <v>3.4150411323495113E-3</v>
      </c>
      <c r="W225" s="2"/>
      <c r="X225" s="6">
        <f t="shared" si="38"/>
        <v>-6663.7100000000064</v>
      </c>
      <c r="Y225" s="2"/>
      <c r="Z225" s="7">
        <f t="shared" si="39"/>
        <v>-7.4243329062447849E-2</v>
      </c>
    </row>
    <row r="226" spans="1:26" s="27" customFormat="1" outlineLevel="1" collapsed="1" x14ac:dyDescent="0.25">
      <c r="A226" s="26"/>
      <c r="B226" s="13" t="str">
        <f>CONCATENATE("     ","Bad Debts/Over/Short                              ")</f>
        <v xml:space="preserve">     Bad Debts/Over/Short                              </v>
      </c>
      <c r="C226" s="13"/>
      <c r="D226" s="1">
        <f>SUM(OSRRefD22_3x_0)</f>
        <v>131.12</v>
      </c>
      <c r="E226" s="1"/>
      <c r="F226" s="5">
        <f t="shared" si="32"/>
        <v>3.7822609704743397E-5</v>
      </c>
      <c r="G226" s="1"/>
      <c r="H226" s="1">
        <f>SUM(OSRRefH22_3x_0)</f>
        <v>427</v>
      </c>
      <c r="I226" s="1"/>
      <c r="J226" s="5">
        <f t="shared" si="33"/>
        <v>1.2509947411724854E-4</v>
      </c>
      <c r="K226" s="1"/>
      <c r="L226" s="1">
        <f t="shared" si="34"/>
        <v>-295.88</v>
      </c>
      <c r="M226" s="1"/>
      <c r="N226" s="5">
        <f t="shared" si="35"/>
        <v>-0.69292740046838408</v>
      </c>
      <c r="O226" s="13"/>
      <c r="P226" s="1">
        <f>SUM(OSRRefP22_3x_0)</f>
        <v>-607.6</v>
      </c>
      <c r="Q226" s="1"/>
      <c r="R226" s="5">
        <f t="shared" si="36"/>
        <v>-2.4112634704295227E-5</v>
      </c>
      <c r="S226" s="1"/>
      <c r="T226" s="1">
        <f>SUM(OSRRefT22_3x_0)</f>
        <v>3153</v>
      </c>
      <c r="U226" s="1"/>
      <c r="V226" s="5">
        <f t="shared" si="37"/>
        <v>1.1996685076372357E-4</v>
      </c>
      <c r="W226" s="1"/>
      <c r="X226" s="1">
        <f t="shared" si="38"/>
        <v>-3760.6</v>
      </c>
      <c r="Y226" s="1"/>
      <c r="Z226" s="5">
        <f t="shared" si="39"/>
        <v>-1.1927053599746273</v>
      </c>
    </row>
    <row r="227" spans="1:26" s="24" customFormat="1" hidden="1" outlineLevel="2" x14ac:dyDescent="0.25">
      <c r="A227" s="25"/>
      <c r="B227" s="11" t="str">
        <f>CONCATENATE("          ", "6272", " - ", "CASH (OVER/SHORT)")</f>
        <v xml:space="preserve">          6272 - CASH (OVER/SHORT)</v>
      </c>
      <c r="C227" s="11"/>
      <c r="D227" s="6">
        <v>131.12</v>
      </c>
      <c r="E227" s="2"/>
      <c r="F227" s="7">
        <f t="shared" si="32"/>
        <v>3.7822609704743397E-5</v>
      </c>
      <c r="G227" s="2"/>
      <c r="H227" s="6">
        <v>367</v>
      </c>
      <c r="I227" s="2"/>
      <c r="J227" s="7">
        <f t="shared" si="33"/>
        <v>1.0752109367922767E-4</v>
      </c>
      <c r="K227" s="2"/>
      <c r="L227" s="6">
        <f t="shared" si="34"/>
        <v>-235.88</v>
      </c>
      <c r="M227" s="2"/>
      <c r="N227" s="7">
        <f t="shared" si="35"/>
        <v>-0.64272479564032692</v>
      </c>
      <c r="O227" s="11"/>
      <c r="P227" s="6">
        <v>-652.4</v>
      </c>
      <c r="Q227" s="2"/>
      <c r="R227" s="7">
        <f t="shared" si="36"/>
        <v>-2.5890524820740954E-5</v>
      </c>
      <c r="S227" s="2"/>
      <c r="T227" s="6">
        <v>2723</v>
      </c>
      <c r="U227" s="2"/>
      <c r="V227" s="7">
        <f t="shared" si="37"/>
        <v>1.0360600527422115E-4</v>
      </c>
      <c r="W227" s="2"/>
      <c r="X227" s="6">
        <f t="shared" si="38"/>
        <v>-3375.4</v>
      </c>
      <c r="Y227" s="2"/>
      <c r="Z227" s="7">
        <f t="shared" si="39"/>
        <v>-1.2395886889460155</v>
      </c>
    </row>
    <row r="228" spans="1:26" s="24" customFormat="1" hidden="1" outlineLevel="2" x14ac:dyDescent="0.25">
      <c r="A228" s="25"/>
      <c r="B228" s="11" t="str">
        <f>CONCATENATE("          ", "6342", " - ", "BAD DEBT")</f>
        <v xml:space="preserve">          6342 - BAD DEBT</v>
      </c>
      <c r="C228" s="11"/>
      <c r="D228" s="6"/>
      <c r="E228" s="2"/>
      <c r="F228" s="7">
        <f t="shared" si="32"/>
        <v>0</v>
      </c>
      <c r="G228" s="2"/>
      <c r="H228" s="6">
        <v>60</v>
      </c>
      <c r="I228" s="2"/>
      <c r="J228" s="7">
        <f t="shared" si="33"/>
        <v>1.7578380438020872E-5</v>
      </c>
      <c r="K228" s="2"/>
      <c r="L228" s="6">
        <f t="shared" si="34"/>
        <v>-60</v>
      </c>
      <c r="M228" s="2"/>
      <c r="N228" s="7">
        <f t="shared" si="35"/>
        <v>-1</v>
      </c>
      <c r="O228" s="11"/>
      <c r="P228" s="6">
        <v>44.8</v>
      </c>
      <c r="Q228" s="2"/>
      <c r="R228" s="7">
        <f t="shared" si="36"/>
        <v>1.7778901164457309E-6</v>
      </c>
      <c r="S228" s="2"/>
      <c r="T228" s="6">
        <v>430</v>
      </c>
      <c r="U228" s="2"/>
      <c r="V228" s="7">
        <f t="shared" si="37"/>
        <v>1.6360845489502421E-5</v>
      </c>
      <c r="W228" s="2"/>
      <c r="X228" s="6">
        <f t="shared" si="38"/>
        <v>-385.2</v>
      </c>
      <c r="Y228" s="2"/>
      <c r="Z228" s="7">
        <f t="shared" si="39"/>
        <v>-0.89581395348837212</v>
      </c>
    </row>
    <row r="229" spans="1:26" s="27" customFormat="1" outlineLevel="1" collapsed="1" x14ac:dyDescent="0.25">
      <c r="A229" s="26"/>
      <c r="B229" s="13" t="str">
        <f>CONCATENATE("     ","Bank/card Fees                                    ")</f>
        <v xml:space="preserve">     Bank/card Fees                                    </v>
      </c>
      <c r="C229" s="13"/>
      <c r="D229" s="1">
        <f>SUM(OSRRefD22_4x_0)</f>
        <v>51319.07</v>
      </c>
      <c r="E229" s="1"/>
      <c r="F229" s="5">
        <f t="shared" ref="F229:F235" si="40">IF(D$12=0,0,D229/D$12)</f>
        <v>1.480339501998479E-2</v>
      </c>
      <c r="G229" s="1"/>
      <c r="H229" s="1">
        <f>SUM(OSRRefH22_4x_0)</f>
        <v>40790</v>
      </c>
      <c r="I229" s="1"/>
      <c r="J229" s="5">
        <f t="shared" ref="J229:J235" si="41">IF(H$12=0,0,H229/H$12)</f>
        <v>1.195036896778119E-2</v>
      </c>
      <c r="K229" s="1"/>
      <c r="L229" s="1">
        <f t="shared" ref="L229:L235" si="42">+D229-H229</f>
        <v>10529.07</v>
      </c>
      <c r="M229" s="1"/>
      <c r="N229" s="5">
        <f t="shared" ref="N229:N235" si="43">IF(H229=0,0,L229/H229)</f>
        <v>0.25812870801667076</v>
      </c>
      <c r="O229" s="13"/>
      <c r="P229" s="1">
        <f>SUM(OSRRefP22_4x_0)</f>
        <v>364179.92</v>
      </c>
      <c r="Q229" s="1"/>
      <c r="R229" s="5">
        <f t="shared" ref="R229:R235" si="44">IF(P$12=0,0,P229/P$12)</f>
        <v>1.4452497329821359E-2</v>
      </c>
      <c r="S229" s="1"/>
      <c r="T229" s="1">
        <f>SUM(OSRRefT22_4x_0)</f>
        <v>308435</v>
      </c>
      <c r="U229" s="1"/>
      <c r="V229" s="5">
        <f t="shared" ref="V229:V235" si="45">IF(T$12=0,0,T229/T$12)</f>
        <v>1.1735482275708557E-2</v>
      </c>
      <c r="W229" s="1"/>
      <c r="X229" s="1">
        <f t="shared" ref="X229:X235" si="46">+P229-T229</f>
        <v>55744.919999999984</v>
      </c>
      <c r="Y229" s="1"/>
      <c r="Z229" s="5">
        <f t="shared" ref="Z229:Z235" si="47">IF(T229=0,0,X229/T229)</f>
        <v>0.1807347415176617</v>
      </c>
    </row>
    <row r="230" spans="1:26" s="24" customFormat="1" hidden="1" outlineLevel="2" x14ac:dyDescent="0.25">
      <c r="A230" s="25"/>
      <c r="B230" s="11" t="str">
        <f>CONCATENATE("          ", "6381", " - ", "BANK/CREDIT CARD FEES")</f>
        <v xml:space="preserve">          6381 - BANK/CREDIT CARD FEES</v>
      </c>
      <c r="C230" s="11"/>
      <c r="D230" s="6">
        <v>51319.07</v>
      </c>
      <c r="E230" s="2"/>
      <c r="F230" s="7">
        <f t="shared" si="40"/>
        <v>1.480339501998479E-2</v>
      </c>
      <c r="G230" s="2"/>
      <c r="H230" s="6">
        <v>40790</v>
      </c>
      <c r="I230" s="2"/>
      <c r="J230" s="7">
        <f t="shared" si="41"/>
        <v>1.195036896778119E-2</v>
      </c>
      <c r="K230" s="2"/>
      <c r="L230" s="6">
        <f t="shared" si="42"/>
        <v>10529.07</v>
      </c>
      <c r="M230" s="2"/>
      <c r="N230" s="7">
        <f t="shared" si="43"/>
        <v>0.25812870801667076</v>
      </c>
      <c r="O230" s="11"/>
      <c r="P230" s="6">
        <v>364179.92</v>
      </c>
      <c r="Q230" s="2"/>
      <c r="R230" s="7">
        <f t="shared" si="44"/>
        <v>1.4452497329821359E-2</v>
      </c>
      <c r="S230" s="2"/>
      <c r="T230" s="6">
        <v>308435</v>
      </c>
      <c r="U230" s="2"/>
      <c r="V230" s="7">
        <f t="shared" si="45"/>
        <v>1.1735482275708557E-2</v>
      </c>
      <c r="W230" s="2"/>
      <c r="X230" s="6">
        <f t="shared" si="46"/>
        <v>55744.919999999984</v>
      </c>
      <c r="Y230" s="2"/>
      <c r="Z230" s="7">
        <f t="shared" si="47"/>
        <v>0.1807347415176617</v>
      </c>
    </row>
    <row r="231" spans="1:26" s="27" customFormat="1" outlineLevel="1" collapsed="1" x14ac:dyDescent="0.25">
      <c r="A231" s="26"/>
      <c r="B231" s="13" t="str">
        <f>CONCATENATE("     ","Depreciation                                      ")</f>
        <v xml:space="preserve">     Depreciation                                      </v>
      </c>
      <c r="C231" s="13"/>
      <c r="D231" s="1">
        <f>SUM(OSRRefD22_5x_0)</f>
        <v>80109.070000000007</v>
      </c>
      <c r="E231" s="1"/>
      <c r="F231" s="5">
        <f t="shared" si="40"/>
        <v>2.3108100125228556E-2</v>
      </c>
      <c r="G231" s="1"/>
      <c r="H231" s="1">
        <f>SUM(OSRRefH22_5x_0)</f>
        <v>85493</v>
      </c>
      <c r="I231" s="1"/>
      <c r="J231" s="5">
        <f t="shared" si="41"/>
        <v>2.504714131312864E-2</v>
      </c>
      <c r="K231" s="1"/>
      <c r="L231" s="1">
        <f t="shared" si="42"/>
        <v>-5383.929999999993</v>
      </c>
      <c r="M231" s="1"/>
      <c r="N231" s="5">
        <f t="shared" si="43"/>
        <v>-6.2975097376393313E-2</v>
      </c>
      <c r="O231" s="13"/>
      <c r="P231" s="1">
        <f>SUM(OSRRefP22_5x_0)</f>
        <v>628121.61</v>
      </c>
      <c r="Q231" s="1"/>
      <c r="R231" s="5">
        <f t="shared" si="44"/>
        <v>2.4927035766629017E-2</v>
      </c>
      <c r="S231" s="1"/>
      <c r="T231" s="1">
        <f>SUM(OSRRefT22_5x_0)</f>
        <v>657405</v>
      </c>
      <c r="U231" s="1"/>
      <c r="V231" s="5">
        <f t="shared" si="45"/>
        <v>2.5013259602386834E-2</v>
      </c>
      <c r="W231" s="1"/>
      <c r="X231" s="1">
        <f t="shared" si="46"/>
        <v>-29283.390000000014</v>
      </c>
      <c r="Y231" s="1"/>
      <c r="Z231" s="5">
        <f t="shared" si="47"/>
        <v>-4.4543911287562479E-2</v>
      </c>
    </row>
    <row r="232" spans="1:26" s="24" customFormat="1" hidden="1" outlineLevel="2" x14ac:dyDescent="0.25">
      <c r="A232" s="25"/>
      <c r="B232" s="11" t="str">
        <f>CONCATENATE("          ", "6321", " - ", "BUILDING DEPRECIATION")</f>
        <v xml:space="preserve">          6321 - BUILDING DEPRECIATION</v>
      </c>
      <c r="C232" s="11"/>
      <c r="D232" s="6">
        <v>45519.990000000005</v>
      </c>
      <c r="E232" s="2"/>
      <c r="F232" s="7">
        <f t="shared" si="40"/>
        <v>1.3130604145315913E-2</v>
      </c>
      <c r="G232" s="2"/>
      <c r="H232" s="6">
        <v>44515</v>
      </c>
      <c r="I232" s="2"/>
      <c r="J232" s="7">
        <f t="shared" si="41"/>
        <v>1.3041693419974985E-2</v>
      </c>
      <c r="K232" s="2"/>
      <c r="L232" s="6">
        <f t="shared" si="42"/>
        <v>1004.9900000000052</v>
      </c>
      <c r="M232" s="2"/>
      <c r="N232" s="7">
        <f t="shared" si="43"/>
        <v>2.2576434909581156E-2</v>
      </c>
      <c r="O232" s="11"/>
      <c r="P232" s="6">
        <v>364159.92000000004</v>
      </c>
      <c r="Q232" s="2"/>
      <c r="R232" s="7">
        <f t="shared" si="44"/>
        <v>1.445170362887652E-2</v>
      </c>
      <c r="S232" s="2"/>
      <c r="T232" s="6">
        <v>356534</v>
      </c>
      <c r="U232" s="2"/>
      <c r="V232" s="7">
        <f t="shared" si="45"/>
        <v>1.3565576013381991E-2</v>
      </c>
      <c r="W232" s="2"/>
      <c r="X232" s="6">
        <f t="shared" si="46"/>
        <v>7625.9200000000419</v>
      </c>
      <c r="Y232" s="2"/>
      <c r="Z232" s="7">
        <f t="shared" si="47"/>
        <v>2.1389040035452556E-2</v>
      </c>
    </row>
    <row r="233" spans="1:26" s="24" customFormat="1" hidden="1" outlineLevel="2" x14ac:dyDescent="0.25">
      <c r="A233" s="25"/>
      <c r="B233" s="11" t="str">
        <f>CONCATENATE("          ", "6322", " - ", "EQUIPMENT DEPRECIATION EXPENSE")</f>
        <v xml:space="preserve">          6322 - EQUIPMENT DEPRECIATION EXPENSE</v>
      </c>
      <c r="C233" s="11"/>
      <c r="D233" s="6">
        <v>34164.83</v>
      </c>
      <c r="E233" s="2"/>
      <c r="F233" s="7">
        <f t="shared" si="40"/>
        <v>9.8551176839453049E-3</v>
      </c>
      <c r="G233" s="2"/>
      <c r="H233" s="6">
        <v>31525</v>
      </c>
      <c r="I233" s="2"/>
      <c r="J233" s="7">
        <f t="shared" si="41"/>
        <v>9.2359740551434671E-3</v>
      </c>
      <c r="K233" s="2"/>
      <c r="L233" s="6">
        <f t="shared" si="42"/>
        <v>2639.8300000000017</v>
      </c>
      <c r="M233" s="2"/>
      <c r="N233" s="7">
        <f t="shared" si="43"/>
        <v>8.3737668517050015E-2</v>
      </c>
      <c r="O233" s="11"/>
      <c r="P233" s="6">
        <v>260567.68999999997</v>
      </c>
      <c r="Q233" s="2"/>
      <c r="R233" s="7">
        <f t="shared" si="44"/>
        <v>1.0340641087412837E-2</v>
      </c>
      <c r="S233" s="2"/>
      <c r="T233" s="6">
        <v>252200</v>
      </c>
      <c r="U233" s="2"/>
      <c r="V233" s="7">
        <f t="shared" si="45"/>
        <v>9.5958261219825838E-3</v>
      </c>
      <c r="W233" s="2"/>
      <c r="X233" s="6">
        <f t="shared" si="46"/>
        <v>8367.6899999999732</v>
      </c>
      <c r="Y233" s="2"/>
      <c r="Z233" s="7">
        <f t="shared" si="47"/>
        <v>3.3178786677240182E-2</v>
      </c>
    </row>
    <row r="234" spans="1:26" s="24" customFormat="1" hidden="1" outlineLevel="2" x14ac:dyDescent="0.25">
      <c r="A234" s="25"/>
      <c r="B234" s="11" t="str">
        <f>CONCATENATE("          ", "6324", " - ", "FURNITURE + FIXT DEPRECIATION")</f>
        <v xml:space="preserve">          6324 - FURNITURE + FIXT DEPRECIATION</v>
      </c>
      <c r="C234" s="11"/>
      <c r="D234" s="6"/>
      <c r="E234" s="2"/>
      <c r="F234" s="7">
        <f t="shared" si="40"/>
        <v>0</v>
      </c>
      <c r="G234" s="2"/>
      <c r="H234" s="6">
        <v>6946</v>
      </c>
      <c r="I234" s="2"/>
      <c r="J234" s="7">
        <f t="shared" si="41"/>
        <v>2.0349905087082162E-3</v>
      </c>
      <c r="K234" s="2"/>
      <c r="L234" s="6">
        <f t="shared" si="42"/>
        <v>-6946</v>
      </c>
      <c r="M234" s="2"/>
      <c r="N234" s="7">
        <f t="shared" si="43"/>
        <v>-1</v>
      </c>
      <c r="O234" s="11"/>
      <c r="P234" s="6"/>
      <c r="Q234" s="2"/>
      <c r="R234" s="7">
        <f t="shared" si="44"/>
        <v>0</v>
      </c>
      <c r="S234" s="2"/>
      <c r="T234" s="6">
        <v>34864</v>
      </c>
      <c r="U234" s="2"/>
      <c r="V234" s="7">
        <f t="shared" si="45"/>
        <v>1.3265221328977034E-3</v>
      </c>
      <c r="W234" s="2"/>
      <c r="X234" s="6">
        <f t="shared" si="46"/>
        <v>-34864</v>
      </c>
      <c r="Y234" s="2"/>
      <c r="Z234" s="7">
        <f t="shared" si="47"/>
        <v>-1</v>
      </c>
    </row>
    <row r="235" spans="1:26" s="24" customFormat="1" hidden="1" outlineLevel="2" x14ac:dyDescent="0.25">
      <c r="A235" s="25"/>
      <c r="B235" s="11" t="str">
        <f>CONCATENATE("          ", "6326", " - ", "VEHICLES DEPRECIATION EXPENSE")</f>
        <v xml:space="preserve">          6326 - VEHICLES DEPRECIATION EXPENSE</v>
      </c>
      <c r="C235" s="11"/>
      <c r="D235" s="6">
        <v>424.25</v>
      </c>
      <c r="E235" s="2"/>
      <c r="F235" s="7">
        <f t="shared" si="40"/>
        <v>1.223782959673382E-4</v>
      </c>
      <c r="G235" s="2"/>
      <c r="H235" s="6">
        <v>2507</v>
      </c>
      <c r="I235" s="2"/>
      <c r="J235" s="7">
        <f t="shared" si="41"/>
        <v>7.3448332930197216E-4</v>
      </c>
      <c r="K235" s="2"/>
      <c r="L235" s="6">
        <f t="shared" si="42"/>
        <v>-2082.75</v>
      </c>
      <c r="M235" s="2"/>
      <c r="N235" s="7">
        <f t="shared" si="43"/>
        <v>-0.83077383326685283</v>
      </c>
      <c r="O235" s="11"/>
      <c r="P235" s="6">
        <v>3394</v>
      </c>
      <c r="Q235" s="2"/>
      <c r="R235" s="7">
        <f t="shared" si="44"/>
        <v>1.3469105033966095E-4</v>
      </c>
      <c r="S235" s="2"/>
      <c r="T235" s="6">
        <v>13807</v>
      </c>
      <c r="U235" s="2"/>
      <c r="V235" s="7">
        <f t="shared" si="45"/>
        <v>5.2533533412455803E-4</v>
      </c>
      <c r="W235" s="2"/>
      <c r="X235" s="6">
        <f t="shared" si="46"/>
        <v>-10413</v>
      </c>
      <c r="Y235" s="2"/>
      <c r="Z235" s="7">
        <f t="shared" si="47"/>
        <v>-0.7541826609690736</v>
      </c>
    </row>
    <row r="236" spans="1:26" s="27" customFormat="1" outlineLevel="1" collapsed="1" x14ac:dyDescent="0.25">
      <c r="A236" s="26"/>
      <c r="B236" s="13" t="str">
        <f>CONCATENATE("     ","Discounts and Markdowns                           ")</f>
        <v xml:space="preserve">     Discounts and Markdowns                           </v>
      </c>
      <c r="C236" s="13"/>
      <c r="D236" s="1">
        <f>SUM(OSRRefD22_6x_0)</f>
        <v>33293.860000000008</v>
      </c>
      <c r="E236" s="1"/>
      <c r="F236" s="5">
        <f t="shared" ref="F236:F238" si="48">IF(D$12=0,0,D236/D$12)</f>
        <v>9.603879441308482E-3</v>
      </c>
      <c r="G236" s="1"/>
      <c r="H236" s="1">
        <f>SUM(OSRRefH22_6x_0)</f>
        <v>29725</v>
      </c>
      <c r="I236" s="1"/>
      <c r="J236" s="5">
        <f t="shared" ref="J236:J238" si="49">IF(H$12=0,0,H236/H$12)</f>
        <v>8.7086226420028407E-3</v>
      </c>
      <c r="K236" s="1"/>
      <c r="L236" s="1">
        <f t="shared" ref="L236:L238" si="50">+D236-H236</f>
        <v>3568.8600000000079</v>
      </c>
      <c r="M236" s="1"/>
      <c r="N236" s="5">
        <f t="shared" ref="N236:N238" si="51">IF(H236=0,0,L236/H236)</f>
        <v>0.12006257359125341</v>
      </c>
      <c r="O236" s="13"/>
      <c r="P236" s="1">
        <f>SUM(OSRRefP22_6x_0)</f>
        <v>308773.95999999996</v>
      </c>
      <c r="Q236" s="1"/>
      <c r="R236" s="5">
        <f t="shared" ref="R236:R238" si="52">IF(P$12=0,0,P236/P$12)</f>
        <v>1.2253709189727888E-2</v>
      </c>
      <c r="S236" s="1"/>
      <c r="T236" s="1">
        <f>SUM(OSRRefT22_6x_0)</f>
        <v>276700</v>
      </c>
      <c r="U236" s="1"/>
      <c r="V236" s="5">
        <f t="shared" ref="V236:V238" si="53">IF(T$12=0,0,T236/T$12)</f>
        <v>1.0528013830105395E-2</v>
      </c>
      <c r="W236" s="1"/>
      <c r="X236" s="1">
        <f t="shared" ref="X236:X238" si="54">+P236-T236</f>
        <v>32073.959999999963</v>
      </c>
      <c r="Y236" s="1"/>
      <c r="Z236" s="5">
        <f t="shared" ref="Z236:Z238" si="55">IF(T236=0,0,X236/T236)</f>
        <v>0.1159160101192626</v>
      </c>
    </row>
    <row r="237" spans="1:26" s="24" customFormat="1" hidden="1" outlineLevel="2" x14ac:dyDescent="0.25">
      <c r="A237" s="25"/>
      <c r="B237" s="11" t="str">
        <f>CONCATENATE("          ", "6382", " - ", "DISCOUNTS/MARK DOWNS")</f>
        <v xml:space="preserve">          6382 - DISCOUNTS/MARK DOWNS</v>
      </c>
      <c r="C237" s="11"/>
      <c r="D237" s="6">
        <v>33482.630000000005</v>
      </c>
      <c r="E237" s="2"/>
      <c r="F237" s="7">
        <f t="shared" si="48"/>
        <v>9.6583316532819746E-3</v>
      </c>
      <c r="G237" s="2"/>
      <c r="H237" s="6">
        <v>29725</v>
      </c>
      <c r="I237" s="2"/>
      <c r="J237" s="7">
        <f t="shared" si="49"/>
        <v>8.7086226420028407E-3</v>
      </c>
      <c r="K237" s="2"/>
      <c r="L237" s="6">
        <f t="shared" si="50"/>
        <v>3757.6300000000047</v>
      </c>
      <c r="M237" s="2"/>
      <c r="N237" s="7">
        <f t="shared" si="51"/>
        <v>0.12641312026913387</v>
      </c>
      <c r="O237" s="11"/>
      <c r="P237" s="6">
        <v>311869.73</v>
      </c>
      <c r="Q237" s="2"/>
      <c r="R237" s="7">
        <f t="shared" si="52"/>
        <v>1.237656496842854E-2</v>
      </c>
      <c r="S237" s="2"/>
      <c r="T237" s="6">
        <v>276700</v>
      </c>
      <c r="U237" s="2"/>
      <c r="V237" s="7">
        <f t="shared" si="53"/>
        <v>1.0528013830105395E-2</v>
      </c>
      <c r="W237" s="2"/>
      <c r="X237" s="6">
        <f t="shared" si="54"/>
        <v>35169.729999999981</v>
      </c>
      <c r="Y237" s="2"/>
      <c r="Z237" s="7">
        <f t="shared" si="55"/>
        <v>0.12710419226599198</v>
      </c>
    </row>
    <row r="238" spans="1:26" s="24" customFormat="1" hidden="1" outlineLevel="2" x14ac:dyDescent="0.25">
      <c r="A238" s="25"/>
      <c r="B238" s="11" t="str">
        <f>CONCATENATE("          ", "9175", " - ", "EARNED DISCOUNTS")</f>
        <v xml:space="preserve">          9175 - EARNED DISCOUNTS</v>
      </c>
      <c r="C238" s="11"/>
      <c r="D238" s="6">
        <v>-188.77</v>
      </c>
      <c r="E238" s="2"/>
      <c r="F238" s="7">
        <f t="shared" si="48"/>
        <v>-5.4452211973493066E-5</v>
      </c>
      <c r="G238" s="2"/>
      <c r="H238" s="6"/>
      <c r="I238" s="2"/>
      <c r="J238" s="7">
        <f t="shared" si="49"/>
        <v>0</v>
      </c>
      <c r="K238" s="2"/>
      <c r="L238" s="6">
        <f t="shared" si="50"/>
        <v>-188.77</v>
      </c>
      <c r="M238" s="2"/>
      <c r="N238" s="7">
        <f t="shared" si="51"/>
        <v>0</v>
      </c>
      <c r="O238" s="11"/>
      <c r="P238" s="6">
        <v>-3095.77</v>
      </c>
      <c r="Q238" s="2"/>
      <c r="R238" s="7">
        <f t="shared" si="52"/>
        <v>-1.2285577870065179E-4</v>
      </c>
      <c r="S238" s="2"/>
      <c r="T238" s="6"/>
      <c r="U238" s="2"/>
      <c r="V238" s="7">
        <f t="shared" si="53"/>
        <v>0</v>
      </c>
      <c r="W238" s="2"/>
      <c r="X238" s="6">
        <f t="shared" si="54"/>
        <v>-3095.77</v>
      </c>
      <c r="Y238" s="2"/>
      <c r="Z238" s="7">
        <f t="shared" si="55"/>
        <v>0</v>
      </c>
    </row>
    <row r="239" spans="1:26" s="27" customFormat="1" outlineLevel="1" collapsed="1" x14ac:dyDescent="0.25">
      <c r="A239" s="26"/>
      <c r="B239" s="13" t="str">
        <f>CONCATENATE("     ","Donations                                         ")</f>
        <v xml:space="preserve">     Donations                                         </v>
      </c>
      <c r="C239" s="13"/>
      <c r="D239" s="1">
        <f>SUM(OSRRefD22_7x_0)</f>
        <v>20791.060000000001</v>
      </c>
      <c r="E239" s="1"/>
      <c r="F239" s="5">
        <f t="shared" ref="F239:F242" si="56">IF(D$12=0,0,D239/D$12)</f>
        <v>5.9973470693098097E-3</v>
      </c>
      <c r="G239" s="1"/>
      <c r="H239" s="1">
        <f>SUM(OSRRefH22_7x_0)</f>
        <v>16055</v>
      </c>
      <c r="I239" s="1"/>
      <c r="J239" s="5">
        <f t="shared" ref="J239:J242" si="57">IF(H$12=0,0,H239/H$12)</f>
        <v>4.7036816322070848E-3</v>
      </c>
      <c r="K239" s="1"/>
      <c r="L239" s="1">
        <f t="shared" ref="L239:L242" si="58">+D239-H239</f>
        <v>4736.0600000000013</v>
      </c>
      <c r="M239" s="1"/>
      <c r="N239" s="5">
        <f t="shared" ref="N239:N242" si="59">IF(H239=0,0,L239/H239)</f>
        <v>0.29498972282777958</v>
      </c>
      <c r="O239" s="13"/>
      <c r="P239" s="1">
        <f>SUM(OSRRefP22_7x_0)</f>
        <v>117745.17</v>
      </c>
      <c r="Q239" s="1"/>
      <c r="R239" s="5">
        <f t="shared" ref="R239:R242" si="60">IF(P$12=0,0,P239/P$12)</f>
        <v>4.6727226339781779E-3</v>
      </c>
      <c r="S239" s="1"/>
      <c r="T239" s="1">
        <f>SUM(OSRRefT22_7x_0)</f>
        <v>106909</v>
      </c>
      <c r="U239" s="1"/>
      <c r="V239" s="5">
        <f t="shared" ref="V239:V242" si="61">IF(T$12=0,0,T239/T$12)</f>
        <v>4.06772472194701E-3</v>
      </c>
      <c r="W239" s="1"/>
      <c r="X239" s="1">
        <f t="shared" ref="X239:X242" si="62">+P239-T239</f>
        <v>10836.169999999998</v>
      </c>
      <c r="Y239" s="1"/>
      <c r="Z239" s="5">
        <f t="shared" ref="Z239:Z242" si="63">IF(T239=0,0,X239/T239)</f>
        <v>0.10135881918266935</v>
      </c>
    </row>
    <row r="240" spans="1:26" s="24" customFormat="1" hidden="1" outlineLevel="2" x14ac:dyDescent="0.25">
      <c r="A240" s="25"/>
      <c r="B240" s="11" t="str">
        <f>CONCATENATE("          ", "6395", " - ", "DONATION-OFF CAMPUS")</f>
        <v xml:space="preserve">          6395 - DONATION-OFF CAMPUS</v>
      </c>
      <c r="C240" s="11"/>
      <c r="D240" s="6"/>
      <c r="E240" s="2"/>
      <c r="F240" s="7">
        <f t="shared" si="56"/>
        <v>0</v>
      </c>
      <c r="G240" s="2"/>
      <c r="H240" s="6">
        <v>1025</v>
      </c>
      <c r="I240" s="2"/>
      <c r="J240" s="7">
        <f t="shared" si="57"/>
        <v>3.0029733248285656E-4</v>
      </c>
      <c r="K240" s="2"/>
      <c r="L240" s="6">
        <f t="shared" si="58"/>
        <v>-1025</v>
      </c>
      <c r="M240" s="2"/>
      <c r="N240" s="7">
        <f t="shared" si="59"/>
        <v>-1</v>
      </c>
      <c r="O240" s="11"/>
      <c r="P240" s="6"/>
      <c r="Q240" s="2"/>
      <c r="R240" s="7">
        <f t="shared" si="60"/>
        <v>0</v>
      </c>
      <c r="S240" s="2"/>
      <c r="T240" s="6">
        <v>8275</v>
      </c>
      <c r="U240" s="2"/>
      <c r="V240" s="7">
        <f t="shared" si="61"/>
        <v>3.1485115447821521E-4</v>
      </c>
      <c r="W240" s="2"/>
      <c r="X240" s="6">
        <f t="shared" si="62"/>
        <v>-8275</v>
      </c>
      <c r="Y240" s="2"/>
      <c r="Z240" s="7">
        <f t="shared" si="63"/>
        <v>-1</v>
      </c>
    </row>
    <row r="241" spans="1:26" s="24" customFormat="1" hidden="1" outlineLevel="2" x14ac:dyDescent="0.25">
      <c r="A241" s="25"/>
      <c r="B241" s="11" t="str">
        <f>CONCATENATE("          ", "6396", " - ", "COUPONS-CHARTROOM")</f>
        <v xml:space="preserve">          6396 - COUPONS-CHARTROOM</v>
      </c>
      <c r="C241" s="11"/>
      <c r="D241" s="6"/>
      <c r="E241" s="2"/>
      <c r="F241" s="7">
        <f t="shared" si="56"/>
        <v>0</v>
      </c>
      <c r="G241" s="2"/>
      <c r="H241" s="6">
        <v>100</v>
      </c>
      <c r="I241" s="2"/>
      <c r="J241" s="7">
        <f t="shared" si="57"/>
        <v>2.9297300730034788E-5</v>
      </c>
      <c r="K241" s="2"/>
      <c r="L241" s="6">
        <f t="shared" si="58"/>
        <v>-100</v>
      </c>
      <c r="M241" s="2"/>
      <c r="N241" s="7">
        <f t="shared" si="59"/>
        <v>-1</v>
      </c>
      <c r="O241" s="11"/>
      <c r="P241" s="6"/>
      <c r="Q241" s="2"/>
      <c r="R241" s="7">
        <f t="shared" si="60"/>
        <v>0</v>
      </c>
      <c r="S241" s="2"/>
      <c r="T241" s="6">
        <v>800</v>
      </c>
      <c r="U241" s="2"/>
      <c r="V241" s="7">
        <f t="shared" si="61"/>
        <v>3.0438782306051017E-5</v>
      </c>
      <c r="W241" s="2"/>
      <c r="X241" s="6">
        <f t="shared" si="62"/>
        <v>-800</v>
      </c>
      <c r="Y241" s="2"/>
      <c r="Z241" s="7">
        <f t="shared" si="63"/>
        <v>-1</v>
      </c>
    </row>
    <row r="242" spans="1:26" s="24" customFormat="1" hidden="1" outlineLevel="2" x14ac:dyDescent="0.25">
      <c r="A242" s="25"/>
      <c r="B242" s="11" t="str">
        <f>CONCATENATE("          ", "6399", " - ", "DONATION-ON CAMPUS")</f>
        <v xml:space="preserve">          6399 - DONATION-ON CAMPUS</v>
      </c>
      <c r="C242" s="11"/>
      <c r="D242" s="6">
        <v>20791.060000000001</v>
      </c>
      <c r="E242" s="2"/>
      <c r="F242" s="7">
        <f t="shared" si="56"/>
        <v>5.9973470693098097E-3</v>
      </c>
      <c r="G242" s="2"/>
      <c r="H242" s="6">
        <v>14930</v>
      </c>
      <c r="I242" s="2"/>
      <c r="J242" s="7">
        <f t="shared" si="57"/>
        <v>4.3740869989941939E-3</v>
      </c>
      <c r="K242" s="2"/>
      <c r="L242" s="6">
        <f t="shared" si="58"/>
        <v>5861.0600000000013</v>
      </c>
      <c r="M242" s="2"/>
      <c r="N242" s="7">
        <f t="shared" si="59"/>
        <v>0.39256932350971208</v>
      </c>
      <c r="O242" s="11"/>
      <c r="P242" s="6">
        <v>117745.17</v>
      </c>
      <c r="Q242" s="2"/>
      <c r="R242" s="7">
        <f t="shared" si="60"/>
        <v>4.6727226339781779E-3</v>
      </c>
      <c r="S242" s="2"/>
      <c r="T242" s="6">
        <v>97834</v>
      </c>
      <c r="U242" s="2"/>
      <c r="V242" s="7">
        <f t="shared" si="61"/>
        <v>3.722434785162744E-3</v>
      </c>
      <c r="W242" s="2"/>
      <c r="X242" s="6">
        <f t="shared" si="62"/>
        <v>19911.169999999998</v>
      </c>
      <c r="Y242" s="2"/>
      <c r="Z242" s="7">
        <f t="shared" si="63"/>
        <v>0.20351994194247397</v>
      </c>
    </row>
    <row r="243" spans="1:26" s="27" customFormat="1" outlineLevel="1" collapsed="1" x14ac:dyDescent="0.25">
      <c r="A243" s="26"/>
      <c r="B243" s="13" t="str">
        <f>CONCATENATE("     ","Employees' Appreciation                           ")</f>
        <v xml:space="preserve">     Employees' Appreciation                           </v>
      </c>
      <c r="C243" s="13"/>
      <c r="D243" s="1">
        <f>SUM(OSRRefD22_8x_0)</f>
        <v>204.47</v>
      </c>
      <c r="E243" s="1"/>
      <c r="F243" s="5">
        <f t="shared" ref="F243:F249" si="64">IF(D$12=0,0,D243/D$12)</f>
        <v>5.8981002183716305E-5</v>
      </c>
      <c r="G243" s="1"/>
      <c r="H243" s="1">
        <f>SUM(OSRRefH22_8x_0)</f>
        <v>1670</v>
      </c>
      <c r="I243" s="1"/>
      <c r="J243" s="5">
        <f t="shared" ref="J243:J249" si="65">IF(H$12=0,0,H243/H$12)</f>
        <v>4.8926492219158091E-4</v>
      </c>
      <c r="K243" s="1"/>
      <c r="L243" s="1">
        <f t="shared" ref="L243:L249" si="66">+D243-H243</f>
        <v>-1465.53</v>
      </c>
      <c r="M243" s="1"/>
      <c r="N243" s="5">
        <f t="shared" ref="N243:N249" si="67">IF(H243=0,0,L243/H243)</f>
        <v>-0.87756287425149704</v>
      </c>
      <c r="O243" s="13"/>
      <c r="P243" s="1">
        <f>SUM(OSRRefP22_8x_0)</f>
        <v>4770.66</v>
      </c>
      <c r="Q243" s="1"/>
      <c r="R243" s="5">
        <f t="shared" ref="R243:R249" si="68">IF(P$12=0,0,P243/P$12)</f>
        <v>1.8932386747595961E-4</v>
      </c>
      <c r="S243" s="1"/>
      <c r="T243" s="1">
        <f>SUM(OSRRefT22_8x_0)</f>
        <v>16385</v>
      </c>
      <c r="U243" s="1"/>
      <c r="V243" s="5">
        <f t="shared" ref="V243:V249" si="69">IF(T$12=0,0,T243/T$12)</f>
        <v>6.2342431010580738E-4</v>
      </c>
      <c r="W243" s="1"/>
      <c r="X243" s="1">
        <f t="shared" ref="X243:X249" si="70">+P243-T243</f>
        <v>-11614.34</v>
      </c>
      <c r="Y243" s="1"/>
      <c r="Z243" s="5">
        <f t="shared" ref="Z243:Z249" si="71">IF(T243=0,0,X243/T243)</f>
        <v>-0.708839792493134</v>
      </c>
    </row>
    <row r="244" spans="1:26" s="24" customFormat="1" hidden="1" outlineLevel="2" x14ac:dyDescent="0.25">
      <c r="A244" s="25"/>
      <c r="B244" s="11" t="str">
        <f>CONCATENATE("          ", "6277", " - ", "EMPLOYEE APPRECIATION")</f>
        <v xml:space="preserve">          6277 - EMPLOYEE APPRECIATION</v>
      </c>
      <c r="C244" s="11"/>
      <c r="D244" s="6">
        <v>204.47</v>
      </c>
      <c r="E244" s="2"/>
      <c r="F244" s="7">
        <f t="shared" si="64"/>
        <v>5.8981002183716305E-5</v>
      </c>
      <c r="G244" s="2"/>
      <c r="H244" s="6">
        <v>1670</v>
      </c>
      <c r="I244" s="2"/>
      <c r="J244" s="7">
        <f t="shared" si="65"/>
        <v>4.8926492219158091E-4</v>
      </c>
      <c r="K244" s="2"/>
      <c r="L244" s="6">
        <f t="shared" si="66"/>
        <v>-1465.53</v>
      </c>
      <c r="M244" s="2"/>
      <c r="N244" s="7">
        <f t="shared" si="67"/>
        <v>-0.87756287425149704</v>
      </c>
      <c r="O244" s="11"/>
      <c r="P244" s="6">
        <v>4770.66</v>
      </c>
      <c r="Q244" s="2"/>
      <c r="R244" s="7">
        <f t="shared" si="68"/>
        <v>1.8932386747595961E-4</v>
      </c>
      <c r="S244" s="2"/>
      <c r="T244" s="6">
        <v>16385</v>
      </c>
      <c r="U244" s="2"/>
      <c r="V244" s="7">
        <f t="shared" si="69"/>
        <v>6.2342431010580738E-4</v>
      </c>
      <c r="W244" s="2"/>
      <c r="X244" s="6">
        <f t="shared" si="70"/>
        <v>-11614.34</v>
      </c>
      <c r="Y244" s="2"/>
      <c r="Z244" s="7">
        <f t="shared" si="71"/>
        <v>-0.708839792493134</v>
      </c>
    </row>
    <row r="245" spans="1:26" s="27" customFormat="1" outlineLevel="1" collapsed="1" x14ac:dyDescent="0.25">
      <c r="A245" s="26"/>
      <c r="B245" s="13" t="str">
        <f>CONCATENATE("     ","Equipment Rental                                  ")</f>
        <v xml:space="preserve">     Equipment Rental                                  </v>
      </c>
      <c r="C245" s="13"/>
      <c r="D245" s="1">
        <f>SUM(OSRRefD22_9x_0)</f>
        <v>4018.93</v>
      </c>
      <c r="E245" s="1"/>
      <c r="F245" s="5">
        <f t="shared" si="64"/>
        <v>1.1592924101638527E-3</v>
      </c>
      <c r="G245" s="1"/>
      <c r="H245" s="1">
        <f>SUM(OSRRefH22_9x_0)</f>
        <v>5485</v>
      </c>
      <c r="I245" s="1"/>
      <c r="J245" s="5">
        <f t="shared" si="65"/>
        <v>1.6069569450424081E-3</v>
      </c>
      <c r="K245" s="1"/>
      <c r="L245" s="1">
        <f t="shared" si="66"/>
        <v>-1466.0700000000002</v>
      </c>
      <c r="M245" s="1"/>
      <c r="N245" s="5">
        <f t="shared" si="67"/>
        <v>-0.26728714676390158</v>
      </c>
      <c r="O245" s="13"/>
      <c r="P245" s="1">
        <f>SUM(OSRRefP22_9x_0)</f>
        <v>40728.39</v>
      </c>
      <c r="Q245" s="1"/>
      <c r="R245" s="5">
        <f t="shared" si="68"/>
        <v>1.6163080812443558E-3</v>
      </c>
      <c r="S245" s="1"/>
      <c r="T245" s="1">
        <f>SUM(OSRRefT22_9x_0)</f>
        <v>43951</v>
      </c>
      <c r="U245" s="1"/>
      <c r="V245" s="5">
        <f t="shared" si="69"/>
        <v>1.6722686514165602E-3</v>
      </c>
      <c r="W245" s="1"/>
      <c r="X245" s="1">
        <f t="shared" si="70"/>
        <v>-3222.6100000000006</v>
      </c>
      <c r="Y245" s="1"/>
      <c r="Z245" s="5">
        <f t="shared" si="71"/>
        <v>-7.3322791290300574E-2</v>
      </c>
    </row>
    <row r="246" spans="1:26" s="24" customFormat="1" hidden="1" outlineLevel="2" x14ac:dyDescent="0.25">
      <c r="A246" s="25"/>
      <c r="B246" s="11" t="str">
        <f>CONCATENATE("          ", "6351", " - ", "EQUIPMENT RENTAL")</f>
        <v xml:space="preserve">          6351 - EQUIPMENT RENTAL</v>
      </c>
      <c r="C246" s="11"/>
      <c r="D246" s="6">
        <v>4018.93</v>
      </c>
      <c r="E246" s="2"/>
      <c r="F246" s="7">
        <f t="shared" si="64"/>
        <v>1.1592924101638527E-3</v>
      </c>
      <c r="G246" s="2"/>
      <c r="H246" s="6">
        <v>5485</v>
      </c>
      <c r="I246" s="2"/>
      <c r="J246" s="7">
        <f t="shared" si="65"/>
        <v>1.6069569450424081E-3</v>
      </c>
      <c r="K246" s="2"/>
      <c r="L246" s="6">
        <f t="shared" si="66"/>
        <v>-1466.0700000000002</v>
      </c>
      <c r="M246" s="2"/>
      <c r="N246" s="7">
        <f t="shared" si="67"/>
        <v>-0.26728714676390158</v>
      </c>
      <c r="O246" s="11"/>
      <c r="P246" s="6">
        <v>40728.39</v>
      </c>
      <c r="Q246" s="2"/>
      <c r="R246" s="7">
        <f t="shared" si="68"/>
        <v>1.6163080812443558E-3</v>
      </c>
      <c r="S246" s="2"/>
      <c r="T246" s="6">
        <v>43951</v>
      </c>
      <c r="U246" s="2"/>
      <c r="V246" s="7">
        <f t="shared" si="69"/>
        <v>1.6722686514165602E-3</v>
      </c>
      <c r="W246" s="2"/>
      <c r="X246" s="6">
        <f t="shared" si="70"/>
        <v>-3222.6100000000006</v>
      </c>
      <c r="Y246" s="2"/>
      <c r="Z246" s="7">
        <f t="shared" si="71"/>
        <v>-7.3322791290300574E-2</v>
      </c>
    </row>
    <row r="247" spans="1:26" s="27" customFormat="1" outlineLevel="1" collapsed="1" x14ac:dyDescent="0.25">
      <c r="A247" s="26"/>
      <c r="B247" s="13" t="str">
        <f>CONCATENATE("     ","Freight out/Postage                               ")</f>
        <v xml:space="preserve">     Freight out/Postage                               </v>
      </c>
      <c r="C247" s="13"/>
      <c r="D247" s="1">
        <f>SUM(OSRRefD22_10x_0)</f>
        <v>5448.8099999999995</v>
      </c>
      <c r="E247" s="1"/>
      <c r="F247" s="5">
        <f t="shared" si="64"/>
        <v>1.5717526997048722E-3</v>
      </c>
      <c r="G247" s="1"/>
      <c r="H247" s="1">
        <f>SUM(OSRRefH22_10x_0)</f>
        <v>-1174</v>
      </c>
      <c r="I247" s="1"/>
      <c r="J247" s="5">
        <f t="shared" si="65"/>
        <v>-3.4395031057060839E-4</v>
      </c>
      <c r="K247" s="1"/>
      <c r="L247" s="1">
        <f t="shared" si="66"/>
        <v>6622.8099999999995</v>
      </c>
      <c r="M247" s="1"/>
      <c r="N247" s="5">
        <f t="shared" si="67"/>
        <v>-5.6412350936967623</v>
      </c>
      <c r="O247" s="13"/>
      <c r="P247" s="1">
        <f>SUM(OSRRefP22_10x_0)</f>
        <v>-933.65000000000873</v>
      </c>
      <c r="Q247" s="1"/>
      <c r="R247" s="5">
        <f t="shared" si="68"/>
        <v>-3.7051944357579733E-5</v>
      </c>
      <c r="S247" s="1"/>
      <c r="T247" s="1">
        <f>SUM(OSRRefT22_10x_0)</f>
        <v>-54092</v>
      </c>
      <c r="U247" s="1"/>
      <c r="V247" s="5">
        <f t="shared" si="69"/>
        <v>-2.0581182656236397E-3</v>
      </c>
      <c r="W247" s="1"/>
      <c r="X247" s="1">
        <f t="shared" si="70"/>
        <v>53158.349999999991</v>
      </c>
      <c r="Y247" s="1"/>
      <c r="Z247" s="5">
        <f t="shared" si="71"/>
        <v>-0.98273959180655168</v>
      </c>
    </row>
    <row r="248" spans="1:26" s="24" customFormat="1" hidden="1" outlineLevel="2" x14ac:dyDescent="0.25">
      <c r="A248" s="25"/>
      <c r="B248" s="11" t="str">
        <f>CONCATENATE("          ", "6305", " - ", "FREIGHT OUT")</f>
        <v xml:space="preserve">          6305 - FREIGHT OUT</v>
      </c>
      <c r="C248" s="11"/>
      <c r="D248" s="6">
        <v>8993.6299999999992</v>
      </c>
      <c r="E248" s="2"/>
      <c r="F248" s="7">
        <f t="shared" si="64"/>
        <v>2.5942842992592381E-3</v>
      </c>
      <c r="G248" s="2"/>
      <c r="H248" s="6">
        <v>-1225</v>
      </c>
      <c r="I248" s="2"/>
      <c r="J248" s="7">
        <f t="shared" si="65"/>
        <v>-3.5889193394292616E-4</v>
      </c>
      <c r="K248" s="2"/>
      <c r="L248" s="6">
        <f t="shared" si="66"/>
        <v>10218.629999999999</v>
      </c>
      <c r="M248" s="2"/>
      <c r="N248" s="7">
        <f t="shared" si="67"/>
        <v>-8.341738775510203</v>
      </c>
      <c r="O248" s="11"/>
      <c r="P248" s="6">
        <v>46288.979999999996</v>
      </c>
      <c r="Q248" s="2"/>
      <c r="R248" s="7">
        <f t="shared" si="68"/>
        <v>1.8369803580882611E-3</v>
      </c>
      <c r="S248" s="2"/>
      <c r="T248" s="6">
        <v>-54500</v>
      </c>
      <c r="U248" s="2"/>
      <c r="V248" s="7">
        <f t="shared" si="69"/>
        <v>-2.0736420445997255E-3</v>
      </c>
      <c r="W248" s="2"/>
      <c r="X248" s="6">
        <f t="shared" si="70"/>
        <v>100788.98</v>
      </c>
      <c r="Y248" s="2"/>
      <c r="Z248" s="7">
        <f t="shared" si="71"/>
        <v>-1.8493390825688072</v>
      </c>
    </row>
    <row r="249" spans="1:26" s="24" customFormat="1" hidden="1" outlineLevel="2" x14ac:dyDescent="0.25">
      <c r="A249" s="25"/>
      <c r="B249" s="11" t="str">
        <f>CONCATENATE("          ", "6307", " - ", "POSTAGE")</f>
        <v xml:space="preserve">          6307 - POSTAGE</v>
      </c>
      <c r="C249" s="11"/>
      <c r="D249" s="6">
        <v>-3544.82</v>
      </c>
      <c r="E249" s="2"/>
      <c r="F249" s="7">
        <f t="shared" si="64"/>
        <v>-1.0225315995543661E-3</v>
      </c>
      <c r="G249" s="2"/>
      <c r="H249" s="6">
        <v>51</v>
      </c>
      <c r="I249" s="2"/>
      <c r="J249" s="7">
        <f t="shared" si="65"/>
        <v>1.4941623372317741E-5</v>
      </c>
      <c r="K249" s="2"/>
      <c r="L249" s="6">
        <f t="shared" si="66"/>
        <v>-3595.82</v>
      </c>
      <c r="M249" s="2"/>
      <c r="N249" s="7">
        <f t="shared" si="67"/>
        <v>-70.50627450980393</v>
      </c>
      <c r="O249" s="11"/>
      <c r="P249" s="6">
        <v>-47222.630000000005</v>
      </c>
      <c r="Q249" s="2"/>
      <c r="R249" s="7">
        <f t="shared" si="68"/>
        <v>-1.8740323024458408E-3</v>
      </c>
      <c r="S249" s="2"/>
      <c r="T249" s="6">
        <v>408</v>
      </c>
      <c r="U249" s="2"/>
      <c r="V249" s="7">
        <f t="shared" si="69"/>
        <v>1.5523778976086018E-5</v>
      </c>
      <c r="W249" s="2"/>
      <c r="X249" s="6">
        <f t="shared" si="70"/>
        <v>-47630.630000000005</v>
      </c>
      <c r="Y249" s="2"/>
      <c r="Z249" s="7">
        <f t="shared" si="71"/>
        <v>-116.74174019607844</v>
      </c>
    </row>
    <row r="250" spans="1:26" s="27" customFormat="1" outlineLevel="1" collapsed="1" x14ac:dyDescent="0.25">
      <c r="A250" s="26"/>
      <c r="B250" s="13" t="str">
        <f>CONCATENATE("     ","General                                           ")</f>
        <v xml:space="preserve">     General                                           </v>
      </c>
      <c r="C250" s="13"/>
      <c r="D250" s="1">
        <f>SUM(OSRRefD22_11x_0)</f>
        <v>7673.39</v>
      </c>
      <c r="E250" s="1"/>
      <c r="F250" s="5">
        <f t="shared" ref="F250:F252" si="72">IF(D$12=0,0,D250/D$12)</f>
        <v>2.2134505421162365E-3</v>
      </c>
      <c r="G250" s="1"/>
      <c r="H250" s="1">
        <f>SUM(OSRRefH22_11x_0)</f>
        <v>7072</v>
      </c>
      <c r="I250" s="1"/>
      <c r="J250" s="5">
        <f t="shared" ref="J250:J252" si="73">IF(H$12=0,0,H250/H$12)</f>
        <v>2.0719051076280603E-3</v>
      </c>
      <c r="K250" s="1"/>
      <c r="L250" s="1">
        <f t="shared" ref="L250:L252" si="74">+D250-H250</f>
        <v>601.39000000000033</v>
      </c>
      <c r="M250" s="1"/>
      <c r="N250" s="5">
        <f t="shared" ref="N250:N252" si="75">IF(H250=0,0,L250/H250)</f>
        <v>8.5038178733031725E-2</v>
      </c>
      <c r="O250" s="13"/>
      <c r="P250" s="1">
        <f>SUM(OSRRefP22_11x_0)</f>
        <v>100520.09999999999</v>
      </c>
      <c r="Q250" s="1"/>
      <c r="R250" s="5">
        <f t="shared" ref="R250:R252" si="76">IF(P$12=0,0,P250/P$12)</f>
        <v>3.9891449172798328E-3</v>
      </c>
      <c r="S250" s="1"/>
      <c r="T250" s="1">
        <f>SUM(OSRRefT22_11x_0)</f>
        <v>75911</v>
      </c>
      <c r="U250" s="1"/>
      <c r="V250" s="5">
        <f t="shared" ref="V250:V252" si="77">IF(T$12=0,0,T250/T$12)</f>
        <v>2.8882980045432985E-3</v>
      </c>
      <c r="W250" s="1"/>
      <c r="X250" s="1">
        <f t="shared" ref="X250:X252" si="78">+P250-T250</f>
        <v>24609.099999999991</v>
      </c>
      <c r="Y250" s="1"/>
      <c r="Z250" s="5">
        <f t="shared" ref="Z250:Z252" si="79">IF(T250=0,0,X250/T250)</f>
        <v>0.32418358340688425</v>
      </c>
    </row>
    <row r="251" spans="1:26" s="24" customFormat="1" hidden="1" outlineLevel="2" x14ac:dyDescent="0.25">
      <c r="A251" s="25"/>
      <c r="B251" s="11" t="str">
        <f>CONCATENATE("          ", "6269", " - ", "ENTERTAINMENT")</f>
        <v xml:space="preserve">          6269 - ENTERTAINMENT</v>
      </c>
      <c r="C251" s="11"/>
      <c r="D251" s="6">
        <v>2700</v>
      </c>
      <c r="E251" s="2"/>
      <c r="F251" s="7">
        <f t="shared" si="72"/>
        <v>7.7883653296832798E-4</v>
      </c>
      <c r="G251" s="2"/>
      <c r="H251" s="6">
        <v>900</v>
      </c>
      <c r="I251" s="2"/>
      <c r="J251" s="7">
        <f t="shared" si="73"/>
        <v>2.6367570657031311E-4</v>
      </c>
      <c r="K251" s="2"/>
      <c r="L251" s="6">
        <f t="shared" si="74"/>
        <v>1800</v>
      </c>
      <c r="M251" s="2"/>
      <c r="N251" s="7">
        <f t="shared" si="75"/>
        <v>2</v>
      </c>
      <c r="O251" s="11"/>
      <c r="P251" s="6">
        <v>10050</v>
      </c>
      <c r="Q251" s="2"/>
      <c r="R251" s="7">
        <f t="shared" si="76"/>
        <v>3.9883472478302666E-4</v>
      </c>
      <c r="S251" s="2"/>
      <c r="T251" s="6">
        <v>5600</v>
      </c>
      <c r="U251" s="2"/>
      <c r="V251" s="7">
        <f t="shared" si="77"/>
        <v>2.1307147614235713E-4</v>
      </c>
      <c r="W251" s="2"/>
      <c r="X251" s="6">
        <f t="shared" si="78"/>
        <v>4450</v>
      </c>
      <c r="Y251" s="2"/>
      <c r="Z251" s="7">
        <f t="shared" si="79"/>
        <v>0.7946428571428571</v>
      </c>
    </row>
    <row r="252" spans="1:26" s="24" customFormat="1" hidden="1" outlineLevel="2" x14ac:dyDescent="0.25">
      <c r="A252" s="25"/>
      <c r="B252" s="11" t="str">
        <f>CONCATENATE("          ", "6279", " - ", "GENERAL EXPENSE")</f>
        <v xml:space="preserve">          6279 - GENERAL EXPENSE</v>
      </c>
      <c r="C252" s="11"/>
      <c r="D252" s="6">
        <v>4973.3900000000003</v>
      </c>
      <c r="E252" s="2"/>
      <c r="F252" s="7">
        <f t="shared" si="72"/>
        <v>1.4346140091479086E-3</v>
      </c>
      <c r="G252" s="2"/>
      <c r="H252" s="6">
        <v>6172</v>
      </c>
      <c r="I252" s="2"/>
      <c r="J252" s="7">
        <f t="shared" si="73"/>
        <v>1.8082294010577471E-3</v>
      </c>
      <c r="K252" s="2"/>
      <c r="L252" s="6">
        <f t="shared" si="74"/>
        <v>-1198.6099999999997</v>
      </c>
      <c r="M252" s="2"/>
      <c r="N252" s="7">
        <f t="shared" si="75"/>
        <v>-0.19420123136746592</v>
      </c>
      <c r="O252" s="11"/>
      <c r="P252" s="6">
        <v>90470.099999999991</v>
      </c>
      <c r="Q252" s="2"/>
      <c r="R252" s="7">
        <f t="shared" si="76"/>
        <v>3.590310192496806E-3</v>
      </c>
      <c r="S252" s="2"/>
      <c r="T252" s="6">
        <v>70311</v>
      </c>
      <c r="U252" s="2"/>
      <c r="V252" s="7">
        <f t="shared" si="77"/>
        <v>2.6752265284009412E-3</v>
      </c>
      <c r="W252" s="2"/>
      <c r="X252" s="6">
        <f t="shared" si="78"/>
        <v>20159.099999999991</v>
      </c>
      <c r="Y252" s="2"/>
      <c r="Z252" s="7">
        <f t="shared" si="79"/>
        <v>0.28671331655075294</v>
      </c>
    </row>
    <row r="253" spans="1:26" s="27" customFormat="1" outlineLevel="1" collapsed="1" x14ac:dyDescent="0.25">
      <c r="A253" s="26"/>
      <c r="B253" s="13" t="str">
        <f>CONCATENATE("     ","Insurance                                         ")</f>
        <v xml:space="preserve">     Insurance                                         </v>
      </c>
      <c r="C253" s="13"/>
      <c r="D253" s="1">
        <f>SUM(OSRRefD22_12x_0)</f>
        <v>14324.32</v>
      </c>
      <c r="E253" s="1"/>
      <c r="F253" s="5">
        <f t="shared" ref="F253:F269" si="80">IF(D$12=0,0,D253/D$12)</f>
        <v>4.1319643429366219E-3</v>
      </c>
      <c r="G253" s="1"/>
      <c r="H253" s="1">
        <f>SUM(OSRRefH22_12x_0)</f>
        <v>8081</v>
      </c>
      <c r="I253" s="1"/>
      <c r="J253" s="5">
        <f t="shared" ref="J253:J269" si="81">IF(H$12=0,0,H253/H$12)</f>
        <v>2.3675148719941113E-3</v>
      </c>
      <c r="K253" s="1"/>
      <c r="L253" s="1">
        <f t="shared" ref="L253:L269" si="82">+D253-H253</f>
        <v>6243.32</v>
      </c>
      <c r="M253" s="1"/>
      <c r="N253" s="5">
        <f t="shared" ref="N253:N269" si="83">IF(H253=0,0,L253/H253)</f>
        <v>0.77259250092810294</v>
      </c>
      <c r="O253" s="13"/>
      <c r="P253" s="1">
        <f>SUM(OSRRefP22_12x_0)</f>
        <v>74267.56</v>
      </c>
      <c r="Q253" s="1"/>
      <c r="R253" s="5">
        <f t="shared" ref="R253:R269" si="84">IF(P$12=0,0,P253/P$12)</f>
        <v>2.9473116271549176E-3</v>
      </c>
      <c r="S253" s="1"/>
      <c r="T253" s="1">
        <f>SUM(OSRRefT22_12x_0)</f>
        <v>64648</v>
      </c>
      <c r="U253" s="1"/>
      <c r="V253" s="5">
        <f t="shared" ref="V253:V269" si="85">IF(T$12=0,0,T253/T$12)</f>
        <v>2.4597579981519829E-3</v>
      </c>
      <c r="W253" s="1"/>
      <c r="X253" s="1">
        <f t="shared" ref="X253:X269" si="86">+P253-T253</f>
        <v>9619.5599999999977</v>
      </c>
      <c r="Y253" s="1"/>
      <c r="Z253" s="5">
        <f t="shared" ref="Z253:Z269" si="87">IF(T253=0,0,X253/T253)</f>
        <v>0.14879903477292411</v>
      </c>
    </row>
    <row r="254" spans="1:26" s="24" customFormat="1" hidden="1" outlineLevel="2" x14ac:dyDescent="0.25">
      <c r="A254" s="25"/>
      <c r="B254" s="11" t="str">
        <f>CONCATENATE("          ", "6314", " - ", "LIABILITY INSURANCE")</f>
        <v xml:space="preserve">          6314 - LIABILITY INSURANCE</v>
      </c>
      <c r="C254" s="11"/>
      <c r="D254" s="6">
        <v>14324.32</v>
      </c>
      <c r="E254" s="2"/>
      <c r="F254" s="7">
        <f t="shared" si="80"/>
        <v>4.1319643429366219E-3</v>
      </c>
      <c r="G254" s="2"/>
      <c r="H254" s="6">
        <v>8081</v>
      </c>
      <c r="I254" s="2"/>
      <c r="J254" s="7">
        <f t="shared" si="81"/>
        <v>2.3675148719941113E-3</v>
      </c>
      <c r="K254" s="2"/>
      <c r="L254" s="6">
        <f t="shared" si="82"/>
        <v>6243.32</v>
      </c>
      <c r="M254" s="2"/>
      <c r="N254" s="7">
        <f t="shared" si="83"/>
        <v>0.77259250092810294</v>
      </c>
      <c r="O254" s="11"/>
      <c r="P254" s="6">
        <v>74267.56</v>
      </c>
      <c r="Q254" s="2"/>
      <c r="R254" s="7">
        <f t="shared" si="84"/>
        <v>2.9473116271549176E-3</v>
      </c>
      <c r="S254" s="2"/>
      <c r="T254" s="6">
        <v>64648</v>
      </c>
      <c r="U254" s="2"/>
      <c r="V254" s="7">
        <f t="shared" si="85"/>
        <v>2.4597579981519829E-3</v>
      </c>
      <c r="W254" s="2"/>
      <c r="X254" s="6">
        <f t="shared" si="86"/>
        <v>9619.5599999999977</v>
      </c>
      <c r="Y254" s="2"/>
      <c r="Z254" s="7">
        <f t="shared" si="87"/>
        <v>0.14879903477292411</v>
      </c>
    </row>
    <row r="255" spans="1:26" s="27" customFormat="1" outlineLevel="1" collapsed="1" x14ac:dyDescent="0.25">
      <c r="A255" s="26"/>
      <c r="B255" s="13" t="str">
        <f>CONCATENATE("     ","Interest                                          ")</f>
        <v xml:space="preserve">     Interest                                          </v>
      </c>
      <c r="C255" s="13"/>
      <c r="D255" s="1">
        <f>SUM(OSRRefD22_13x_0)</f>
        <v>11929</v>
      </c>
      <c r="E255" s="1"/>
      <c r="F255" s="5">
        <f t="shared" si="80"/>
        <v>3.4410151858441426E-3</v>
      </c>
      <c r="G255" s="1"/>
      <c r="H255" s="1">
        <f>SUM(OSRRefH22_13x_0)</f>
        <v>11929</v>
      </c>
      <c r="I255" s="1"/>
      <c r="J255" s="5">
        <f t="shared" si="81"/>
        <v>3.4948750040858499E-3</v>
      </c>
      <c r="K255" s="1"/>
      <c r="L255" s="1">
        <f t="shared" si="82"/>
        <v>0</v>
      </c>
      <c r="M255" s="1"/>
      <c r="N255" s="5">
        <f t="shared" si="83"/>
        <v>0</v>
      </c>
      <c r="O255" s="13"/>
      <c r="P255" s="1">
        <f>SUM(OSRRefP22_13x_0)</f>
        <v>94833</v>
      </c>
      <c r="Q255" s="1"/>
      <c r="R255" s="5">
        <f t="shared" si="84"/>
        <v>3.7634520851093302E-3</v>
      </c>
      <c r="S255" s="1"/>
      <c r="T255" s="1">
        <f>SUM(OSRRefT22_13x_0)</f>
        <v>95432</v>
      </c>
      <c r="U255" s="1"/>
      <c r="V255" s="5">
        <f t="shared" si="85"/>
        <v>3.6310423412888259E-3</v>
      </c>
      <c r="W255" s="1"/>
      <c r="X255" s="1">
        <f t="shared" si="86"/>
        <v>-599</v>
      </c>
      <c r="Y255" s="1"/>
      <c r="Z255" s="5">
        <f t="shared" si="87"/>
        <v>-6.2767205968647837E-3</v>
      </c>
    </row>
    <row r="256" spans="1:26" s="24" customFormat="1" hidden="1" outlineLevel="2" x14ac:dyDescent="0.25">
      <c r="A256" s="25"/>
      <c r="B256" s="11" t="str">
        <f>CONCATENATE("          ", "6401", " - ", "INTEREST EXPENSE")</f>
        <v xml:space="preserve">          6401 - INTEREST EXPENSE</v>
      </c>
      <c r="C256" s="11"/>
      <c r="D256" s="6">
        <v>11929</v>
      </c>
      <c r="E256" s="2"/>
      <c r="F256" s="7">
        <f t="shared" si="80"/>
        <v>3.4410151858441426E-3</v>
      </c>
      <c r="G256" s="2"/>
      <c r="H256" s="6">
        <v>11929</v>
      </c>
      <c r="I256" s="2"/>
      <c r="J256" s="7">
        <f t="shared" si="81"/>
        <v>3.4948750040858499E-3</v>
      </c>
      <c r="K256" s="2"/>
      <c r="L256" s="6">
        <f t="shared" si="82"/>
        <v>0</v>
      </c>
      <c r="M256" s="2"/>
      <c r="N256" s="7">
        <f t="shared" si="83"/>
        <v>0</v>
      </c>
      <c r="O256" s="11"/>
      <c r="P256" s="6">
        <v>94833</v>
      </c>
      <c r="Q256" s="2"/>
      <c r="R256" s="7">
        <f t="shared" si="84"/>
        <v>3.7634520851093302E-3</v>
      </c>
      <c r="S256" s="2"/>
      <c r="T256" s="6">
        <v>95432</v>
      </c>
      <c r="U256" s="2"/>
      <c r="V256" s="7">
        <f t="shared" si="85"/>
        <v>3.6310423412888259E-3</v>
      </c>
      <c r="W256" s="2"/>
      <c r="X256" s="6">
        <f t="shared" si="86"/>
        <v>-599</v>
      </c>
      <c r="Y256" s="2"/>
      <c r="Z256" s="7">
        <f t="shared" si="87"/>
        <v>-6.2767205968647837E-3</v>
      </c>
    </row>
    <row r="257" spans="1:26" s="27" customFormat="1" outlineLevel="1" collapsed="1" x14ac:dyDescent="0.25">
      <c r="A257" s="26"/>
      <c r="B257" s="13" t="str">
        <f>CONCATENATE("     ","Inventory Adjustment                              ")</f>
        <v xml:space="preserve">     Inventory Adjustment                              </v>
      </c>
      <c r="C257" s="13"/>
      <c r="D257" s="1">
        <f>SUM(OSRRefD22_14x_0)</f>
        <v>4250</v>
      </c>
      <c r="E257" s="1"/>
      <c r="F257" s="5">
        <f t="shared" si="80"/>
        <v>1.225946394487183E-3</v>
      </c>
      <c r="G257" s="1"/>
      <c r="H257" s="1">
        <f>SUM(OSRRefH22_14x_0)</f>
        <v>4250</v>
      </c>
      <c r="I257" s="1"/>
      <c r="J257" s="5">
        <f t="shared" si="81"/>
        <v>1.2451352810264784E-3</v>
      </c>
      <c r="K257" s="1"/>
      <c r="L257" s="1">
        <f t="shared" si="82"/>
        <v>0</v>
      </c>
      <c r="M257" s="1"/>
      <c r="N257" s="5">
        <f t="shared" si="83"/>
        <v>0</v>
      </c>
      <c r="O257" s="13"/>
      <c r="P257" s="1">
        <f>SUM(OSRRefP22_14x_0)</f>
        <v>39700</v>
      </c>
      <c r="Q257" s="1"/>
      <c r="R257" s="5">
        <f t="shared" si="84"/>
        <v>1.5754963755110606E-3</v>
      </c>
      <c r="S257" s="1"/>
      <c r="T257" s="1">
        <f>SUM(OSRRefT22_14x_0)</f>
        <v>39700</v>
      </c>
      <c r="U257" s="1"/>
      <c r="V257" s="5">
        <f t="shared" si="85"/>
        <v>1.5105245719377817E-3</v>
      </c>
      <c r="W257" s="1"/>
      <c r="X257" s="1">
        <f t="shared" si="86"/>
        <v>0</v>
      </c>
      <c r="Y257" s="1"/>
      <c r="Z257" s="5">
        <f t="shared" si="87"/>
        <v>0</v>
      </c>
    </row>
    <row r="258" spans="1:26" s="24" customFormat="1" hidden="1" outlineLevel="2" x14ac:dyDescent="0.25">
      <c r="A258" s="25"/>
      <c r="B258" s="11" t="str">
        <f>CONCATENATE("          ", "6408", " - ", "INVENTORY ADJUSTMENT")</f>
        <v xml:space="preserve">          6408 - INVENTORY ADJUSTMENT</v>
      </c>
      <c r="C258" s="11"/>
      <c r="D258" s="6">
        <v>4250</v>
      </c>
      <c r="E258" s="2"/>
      <c r="F258" s="7">
        <f t="shared" si="80"/>
        <v>1.225946394487183E-3</v>
      </c>
      <c r="G258" s="2"/>
      <c r="H258" s="6">
        <v>4250</v>
      </c>
      <c r="I258" s="2"/>
      <c r="J258" s="7">
        <f t="shared" si="81"/>
        <v>1.2451352810264784E-3</v>
      </c>
      <c r="K258" s="2"/>
      <c r="L258" s="6">
        <f t="shared" si="82"/>
        <v>0</v>
      </c>
      <c r="M258" s="2"/>
      <c r="N258" s="7">
        <f t="shared" si="83"/>
        <v>0</v>
      </c>
      <c r="O258" s="11"/>
      <c r="P258" s="6">
        <v>39700</v>
      </c>
      <c r="Q258" s="2"/>
      <c r="R258" s="7">
        <f t="shared" si="84"/>
        <v>1.5754963755110606E-3</v>
      </c>
      <c r="S258" s="2"/>
      <c r="T258" s="6">
        <v>39700</v>
      </c>
      <c r="U258" s="2"/>
      <c r="V258" s="7">
        <f t="shared" si="85"/>
        <v>1.5105245719377817E-3</v>
      </c>
      <c r="W258" s="2"/>
      <c r="X258" s="6">
        <f t="shared" si="86"/>
        <v>0</v>
      </c>
      <c r="Y258" s="2"/>
      <c r="Z258" s="7">
        <f t="shared" si="87"/>
        <v>0</v>
      </c>
    </row>
    <row r="259" spans="1:26" s="27" customFormat="1" outlineLevel="1" collapsed="1" x14ac:dyDescent="0.25">
      <c r="A259" s="26"/>
      <c r="B259" s="13" t="str">
        <f>CONCATENATE("     ","Professional Services                             ")</f>
        <v xml:space="preserve">     Professional Services                             </v>
      </c>
      <c r="C259" s="13"/>
      <c r="D259" s="1">
        <f>SUM(OSRRefD22_15x_0)</f>
        <v>0</v>
      </c>
      <c r="E259" s="1"/>
      <c r="F259" s="5">
        <f t="shared" si="80"/>
        <v>0</v>
      </c>
      <c r="G259" s="1"/>
      <c r="H259" s="1">
        <f>SUM(OSRRefH22_15x_0)</f>
        <v>1415</v>
      </c>
      <c r="I259" s="1"/>
      <c r="J259" s="5">
        <f t="shared" si="81"/>
        <v>4.1455680532999226E-4</v>
      </c>
      <c r="K259" s="1"/>
      <c r="L259" s="1">
        <f t="shared" si="82"/>
        <v>-1415</v>
      </c>
      <c r="M259" s="1"/>
      <c r="N259" s="5">
        <f t="shared" si="83"/>
        <v>-1</v>
      </c>
      <c r="O259" s="13"/>
      <c r="P259" s="1">
        <f>SUM(OSRRefP22_15x_0)</f>
        <v>6324.56</v>
      </c>
      <c r="Q259" s="1"/>
      <c r="R259" s="5">
        <f t="shared" si="84"/>
        <v>2.509904623854467E-4</v>
      </c>
      <c r="S259" s="1"/>
      <c r="T259" s="1">
        <f>SUM(OSRRefT22_15x_0)</f>
        <v>14220</v>
      </c>
      <c r="U259" s="1"/>
      <c r="V259" s="5">
        <f t="shared" si="85"/>
        <v>5.4104935549005681E-4</v>
      </c>
      <c r="W259" s="1"/>
      <c r="X259" s="1">
        <f t="shared" si="86"/>
        <v>-7895.44</v>
      </c>
      <c r="Y259" s="1"/>
      <c r="Z259" s="5">
        <f t="shared" si="87"/>
        <v>-0.5552348804500703</v>
      </c>
    </row>
    <row r="260" spans="1:26" s="24" customFormat="1" hidden="1" outlineLevel="2" x14ac:dyDescent="0.25">
      <c r="A260" s="25"/>
      <c r="B260" s="11" t="str">
        <f>CONCATENATE("          ", "6336", " - ", "PROFESSIONAL SERVICES")</f>
        <v xml:space="preserve">          6336 - PROFESSIONAL SERVICES</v>
      </c>
      <c r="C260" s="11"/>
      <c r="D260" s="6"/>
      <c r="E260" s="2"/>
      <c r="F260" s="7">
        <f t="shared" si="80"/>
        <v>0</v>
      </c>
      <c r="G260" s="2"/>
      <c r="H260" s="6">
        <v>1415</v>
      </c>
      <c r="I260" s="2"/>
      <c r="J260" s="7">
        <f t="shared" si="81"/>
        <v>4.1455680532999226E-4</v>
      </c>
      <c r="K260" s="2"/>
      <c r="L260" s="6">
        <f t="shared" si="82"/>
        <v>-1415</v>
      </c>
      <c r="M260" s="2"/>
      <c r="N260" s="7">
        <f t="shared" si="83"/>
        <v>-1</v>
      </c>
      <c r="O260" s="11"/>
      <c r="P260" s="6">
        <v>6324.56</v>
      </c>
      <c r="Q260" s="2"/>
      <c r="R260" s="7">
        <f t="shared" si="84"/>
        <v>2.509904623854467E-4</v>
      </c>
      <c r="S260" s="2"/>
      <c r="T260" s="6">
        <v>14220</v>
      </c>
      <c r="U260" s="2"/>
      <c r="V260" s="7">
        <f t="shared" si="85"/>
        <v>5.4104935549005681E-4</v>
      </c>
      <c r="W260" s="2"/>
      <c r="X260" s="6">
        <f t="shared" si="86"/>
        <v>-7895.44</v>
      </c>
      <c r="Y260" s="2"/>
      <c r="Z260" s="7">
        <f t="shared" si="87"/>
        <v>-0.5552348804500703</v>
      </c>
    </row>
    <row r="261" spans="1:26" s="27" customFormat="1" outlineLevel="1" collapsed="1" x14ac:dyDescent="0.25">
      <c r="A261" s="26"/>
      <c r="B261" s="13" t="str">
        <f>CONCATENATE("     ","R/H Commissions                                   ")</f>
        <v xml:space="preserve">     R/H Commissions                                   </v>
      </c>
      <c r="C261" s="13"/>
      <c r="D261" s="1">
        <f>SUM(OSRRefD22_16x_0)</f>
        <v>102261.27</v>
      </c>
      <c r="E261" s="1"/>
      <c r="F261" s="5">
        <f t="shared" si="80"/>
        <v>2.9498078882865961E-2</v>
      </c>
      <c r="G261" s="1"/>
      <c r="H261" s="1">
        <f>SUM(OSRRefH22_16x_0)</f>
        <v>103672</v>
      </c>
      <c r="I261" s="1"/>
      <c r="J261" s="5">
        <f t="shared" si="81"/>
        <v>3.0373097612841665E-2</v>
      </c>
      <c r="K261" s="1"/>
      <c r="L261" s="1">
        <f t="shared" si="82"/>
        <v>-1410.7299999999959</v>
      </c>
      <c r="M261" s="1"/>
      <c r="N261" s="5">
        <f t="shared" si="83"/>
        <v>-1.3607627903387568E-2</v>
      </c>
      <c r="O261" s="13"/>
      <c r="P261" s="1">
        <f>SUM(OSRRefP22_16x_0)</f>
        <v>626051.28</v>
      </c>
      <c r="Q261" s="1"/>
      <c r="R261" s="5">
        <f t="shared" si="84"/>
        <v>2.4844874622772298E-2</v>
      </c>
      <c r="S261" s="1"/>
      <c r="T261" s="1">
        <f>SUM(OSRRefT22_16x_0)</f>
        <v>635636</v>
      </c>
      <c r="U261" s="1"/>
      <c r="V261" s="5">
        <f t="shared" si="85"/>
        <v>2.4184982287361306E-2</v>
      </c>
      <c r="W261" s="1"/>
      <c r="X261" s="1">
        <f t="shared" si="86"/>
        <v>-9584.7199999999721</v>
      </c>
      <c r="Y261" s="1"/>
      <c r="Z261" s="5">
        <f t="shared" si="87"/>
        <v>-1.5078944553171898E-2</v>
      </c>
    </row>
    <row r="262" spans="1:26" s="24" customFormat="1" hidden="1" outlineLevel="2" x14ac:dyDescent="0.25">
      <c r="A262" s="25"/>
      <c r="B262" s="11" t="str">
        <f>CONCATENATE("          ", "6387", " - ", "COMMISSION DUE HOUSING")</f>
        <v xml:space="preserve">          6387 - COMMISSION DUE HOUSING</v>
      </c>
      <c r="C262" s="11"/>
      <c r="D262" s="6">
        <v>102261.27</v>
      </c>
      <c r="E262" s="2"/>
      <c r="F262" s="7">
        <f t="shared" si="80"/>
        <v>2.9498078882865961E-2</v>
      </c>
      <c r="G262" s="2"/>
      <c r="H262" s="6">
        <v>103672</v>
      </c>
      <c r="I262" s="2"/>
      <c r="J262" s="7">
        <f t="shared" si="81"/>
        <v>3.0373097612841665E-2</v>
      </c>
      <c r="K262" s="2"/>
      <c r="L262" s="6">
        <f t="shared" si="82"/>
        <v>-1410.7299999999959</v>
      </c>
      <c r="M262" s="2"/>
      <c r="N262" s="7">
        <f t="shared" si="83"/>
        <v>-1.3607627903387568E-2</v>
      </c>
      <c r="O262" s="11"/>
      <c r="P262" s="6">
        <v>626051.28</v>
      </c>
      <c r="Q262" s="2"/>
      <c r="R262" s="7">
        <f t="shared" si="84"/>
        <v>2.4844874622772298E-2</v>
      </c>
      <c r="S262" s="2"/>
      <c r="T262" s="6">
        <v>635636</v>
      </c>
      <c r="U262" s="2"/>
      <c r="V262" s="7">
        <f t="shared" si="85"/>
        <v>2.4184982287361306E-2</v>
      </c>
      <c r="W262" s="2"/>
      <c r="X262" s="6">
        <f t="shared" si="86"/>
        <v>-9584.7199999999721</v>
      </c>
      <c r="Y262" s="2"/>
      <c r="Z262" s="7">
        <f t="shared" si="87"/>
        <v>-1.5078944553171898E-2</v>
      </c>
    </row>
    <row r="263" spans="1:26" s="27" customFormat="1" outlineLevel="1" collapsed="1" x14ac:dyDescent="0.25">
      <c r="A263" s="26"/>
      <c r="B263" s="13" t="str">
        <f>CONCATENATE("     ","Rent                                              ")</f>
        <v xml:space="preserve">     Rent                                              </v>
      </c>
      <c r="C263" s="13"/>
      <c r="D263" s="1">
        <f>SUM(OSRRefD22_17x_0)</f>
        <v>9900</v>
      </c>
      <c r="E263" s="1"/>
      <c r="F263" s="5">
        <f t="shared" si="80"/>
        <v>2.8557339542172027E-3</v>
      </c>
      <c r="G263" s="1"/>
      <c r="H263" s="1">
        <f>SUM(OSRRefH22_17x_0)</f>
        <v>10200</v>
      </c>
      <c r="I263" s="1"/>
      <c r="J263" s="5">
        <f t="shared" si="81"/>
        <v>2.9883246744635485E-3</v>
      </c>
      <c r="K263" s="1"/>
      <c r="L263" s="1">
        <f t="shared" si="82"/>
        <v>-300</v>
      </c>
      <c r="M263" s="1"/>
      <c r="N263" s="5">
        <f t="shared" si="83"/>
        <v>-2.9411764705882353E-2</v>
      </c>
      <c r="O263" s="13"/>
      <c r="P263" s="1">
        <f>SUM(OSRRefP22_17x_0)</f>
        <v>79200</v>
      </c>
      <c r="Q263" s="1"/>
      <c r="R263" s="5">
        <f t="shared" si="84"/>
        <v>3.1430557415737027E-3</v>
      </c>
      <c r="S263" s="1"/>
      <c r="T263" s="1">
        <f>SUM(OSRRefT22_17x_0)</f>
        <v>81600</v>
      </c>
      <c r="U263" s="1"/>
      <c r="V263" s="5">
        <f t="shared" si="85"/>
        <v>3.1047557952172036E-3</v>
      </c>
      <c r="W263" s="1"/>
      <c r="X263" s="1">
        <f t="shared" si="86"/>
        <v>-2400</v>
      </c>
      <c r="Y263" s="1"/>
      <c r="Z263" s="5">
        <f t="shared" si="87"/>
        <v>-2.9411764705882353E-2</v>
      </c>
    </row>
    <row r="264" spans="1:26" s="24" customFormat="1" hidden="1" outlineLevel="2" x14ac:dyDescent="0.25">
      <c r="A264" s="25"/>
      <c r="B264" s="11" t="str">
        <f>CONCATENATE("          ", "6273", " - ", "RENT")</f>
        <v xml:space="preserve">          6273 - RENT</v>
      </c>
      <c r="C264" s="11"/>
      <c r="D264" s="6">
        <v>9900</v>
      </c>
      <c r="E264" s="2"/>
      <c r="F264" s="7">
        <f t="shared" si="80"/>
        <v>2.8557339542172027E-3</v>
      </c>
      <c r="G264" s="2"/>
      <c r="H264" s="6">
        <v>10200</v>
      </c>
      <c r="I264" s="2"/>
      <c r="J264" s="7">
        <f t="shared" si="81"/>
        <v>2.9883246744635485E-3</v>
      </c>
      <c r="K264" s="2"/>
      <c r="L264" s="6">
        <f t="shared" si="82"/>
        <v>-300</v>
      </c>
      <c r="M264" s="2"/>
      <c r="N264" s="7">
        <f t="shared" si="83"/>
        <v>-2.9411764705882353E-2</v>
      </c>
      <c r="O264" s="11"/>
      <c r="P264" s="6">
        <v>79200</v>
      </c>
      <c r="Q264" s="2"/>
      <c r="R264" s="7">
        <f t="shared" si="84"/>
        <v>3.1430557415737027E-3</v>
      </c>
      <c r="S264" s="2"/>
      <c r="T264" s="6">
        <v>81600</v>
      </c>
      <c r="U264" s="2"/>
      <c r="V264" s="7">
        <f t="shared" si="85"/>
        <v>3.1047557952172036E-3</v>
      </c>
      <c r="W264" s="2"/>
      <c r="X264" s="6">
        <f t="shared" si="86"/>
        <v>-2400</v>
      </c>
      <c r="Y264" s="2"/>
      <c r="Z264" s="7">
        <f t="shared" si="87"/>
        <v>-2.9411764705882353E-2</v>
      </c>
    </row>
    <row r="265" spans="1:26" s="27" customFormat="1" outlineLevel="1" collapsed="1" x14ac:dyDescent="0.25">
      <c r="A265" s="26"/>
      <c r="B265" s="13" t="str">
        <f>CONCATENATE("     ","Repair and Maintenance                            ")</f>
        <v xml:space="preserve">     Repair and Maintenance                            </v>
      </c>
      <c r="C265" s="13"/>
      <c r="D265" s="1">
        <f>SUM(OSRRefD22_18x_0)</f>
        <v>178588.27000000002</v>
      </c>
      <c r="E265" s="1"/>
      <c r="F265" s="5">
        <f t="shared" si="80"/>
        <v>5.151521075393025E-2</v>
      </c>
      <c r="G265" s="1"/>
      <c r="H265" s="1">
        <f>SUM(OSRRefH22_18x_0)</f>
        <v>60812</v>
      </c>
      <c r="I265" s="1"/>
      <c r="J265" s="5">
        <f t="shared" si="81"/>
        <v>1.7816274519948754E-2</v>
      </c>
      <c r="K265" s="1"/>
      <c r="L265" s="1">
        <f t="shared" si="82"/>
        <v>117776.27000000002</v>
      </c>
      <c r="M265" s="1"/>
      <c r="N265" s="5">
        <f t="shared" si="83"/>
        <v>1.9367274551075448</v>
      </c>
      <c r="O265" s="13"/>
      <c r="P265" s="1">
        <f>SUM(OSRRefP22_18x_0)</f>
        <v>496703.45999999996</v>
      </c>
      <c r="Q265" s="1"/>
      <c r="R265" s="5">
        <f t="shared" si="84"/>
        <v>1.9711700275410655E-2</v>
      </c>
      <c r="S265" s="1"/>
      <c r="T265" s="1">
        <f>SUM(OSRRefT22_18x_0)</f>
        <v>525886</v>
      </c>
      <c r="U265" s="1"/>
      <c r="V265" s="5">
        <f t="shared" si="85"/>
        <v>2.000916183974993E-2</v>
      </c>
      <c r="W265" s="1"/>
      <c r="X265" s="1">
        <f t="shared" si="86"/>
        <v>-29182.540000000037</v>
      </c>
      <c r="Y265" s="1"/>
      <c r="Z265" s="5">
        <f t="shared" si="87"/>
        <v>-5.5492140882244509E-2</v>
      </c>
    </row>
    <row r="266" spans="1:26" s="24" customFormat="1" hidden="1" outlineLevel="2" x14ac:dyDescent="0.25">
      <c r="A266" s="25"/>
      <c r="B266" s="11" t="str">
        <f>CONCATENATE("          ", "6371", " - ", "COMPUTER SOFTWARE MAINTENANCE")</f>
        <v xml:space="preserve">          6371 - COMPUTER SOFTWARE MAINTENANCE</v>
      </c>
      <c r="C266" s="11"/>
      <c r="D266" s="6">
        <v>40846</v>
      </c>
      <c r="E266" s="2"/>
      <c r="F266" s="7">
        <f t="shared" si="80"/>
        <v>1.1782354453934935E-2</v>
      </c>
      <c r="G266" s="2"/>
      <c r="H266" s="6">
        <v>11047</v>
      </c>
      <c r="I266" s="2"/>
      <c r="J266" s="7">
        <f t="shared" si="81"/>
        <v>3.236472811646943E-3</v>
      </c>
      <c r="K266" s="2"/>
      <c r="L266" s="6">
        <f t="shared" si="82"/>
        <v>29799</v>
      </c>
      <c r="M266" s="2"/>
      <c r="N266" s="7">
        <f t="shared" si="83"/>
        <v>2.6974744274463656</v>
      </c>
      <c r="O266" s="11"/>
      <c r="P266" s="6">
        <v>90900.26</v>
      </c>
      <c r="Q266" s="2"/>
      <c r="R266" s="7">
        <f t="shared" si="84"/>
        <v>3.6073811124184645E-3</v>
      </c>
      <c r="S266" s="2"/>
      <c r="T266" s="6">
        <v>196861</v>
      </c>
      <c r="U266" s="2"/>
      <c r="V266" s="7">
        <f t="shared" si="85"/>
        <v>7.4902614044393863E-3</v>
      </c>
      <c r="W266" s="2"/>
      <c r="X266" s="6">
        <f t="shared" si="86"/>
        <v>-105960.74</v>
      </c>
      <c r="Y266" s="2"/>
      <c r="Z266" s="7">
        <f t="shared" si="87"/>
        <v>-0.53825155820604387</v>
      </c>
    </row>
    <row r="267" spans="1:26" s="24" customFormat="1" hidden="1" outlineLevel="2" x14ac:dyDescent="0.25">
      <c r="A267" s="25"/>
      <c r="B267" s="11" t="str">
        <f>CONCATENATE("          ", "6372", " - ", "COMPUTER HARDWARE MAINTENANCE")</f>
        <v xml:space="preserve">          6372 - COMPUTER HARDWARE MAINTENANCE</v>
      </c>
      <c r="C267" s="11"/>
      <c r="D267" s="6"/>
      <c r="E267" s="2"/>
      <c r="F267" s="7">
        <f t="shared" si="80"/>
        <v>0</v>
      </c>
      <c r="G267" s="2"/>
      <c r="H267" s="6">
        <v>2000</v>
      </c>
      <c r="I267" s="2"/>
      <c r="J267" s="7">
        <f t="shared" si="81"/>
        <v>5.8594601460069571E-4</v>
      </c>
      <c r="K267" s="2"/>
      <c r="L267" s="6">
        <f t="shared" si="82"/>
        <v>-2000</v>
      </c>
      <c r="M267" s="2"/>
      <c r="N267" s="7">
        <f t="shared" si="83"/>
        <v>-1</v>
      </c>
      <c r="O267" s="11"/>
      <c r="P267" s="6">
        <v>52.31</v>
      </c>
      <c r="Q267" s="2"/>
      <c r="R267" s="7">
        <f t="shared" si="84"/>
        <v>2.0759248212338434E-6</v>
      </c>
      <c r="S267" s="2"/>
      <c r="T267" s="6">
        <v>18340</v>
      </c>
      <c r="U267" s="2"/>
      <c r="V267" s="7">
        <f t="shared" si="85"/>
        <v>6.978090843662196E-4</v>
      </c>
      <c r="W267" s="2"/>
      <c r="X267" s="6">
        <f t="shared" si="86"/>
        <v>-18287.689999999999</v>
      </c>
      <c r="Y267" s="2"/>
      <c r="Z267" s="7">
        <f t="shared" si="87"/>
        <v>-0.9971477644492911</v>
      </c>
    </row>
    <row r="268" spans="1:26" s="24" customFormat="1" hidden="1" outlineLevel="2" x14ac:dyDescent="0.25">
      <c r="A268" s="25"/>
      <c r="B268" s="11" t="str">
        <f>CONCATENATE("          ", "6373", " - ", "MAINTENANCE CONTRACTS")</f>
        <v xml:space="preserve">          6373 - MAINTENANCE CONTRACTS</v>
      </c>
      <c r="C268" s="11"/>
      <c r="D268" s="6">
        <v>128858.66</v>
      </c>
      <c r="E268" s="2"/>
      <c r="F268" s="7">
        <f t="shared" si="80"/>
        <v>3.7170308147164655E-2</v>
      </c>
      <c r="G268" s="2"/>
      <c r="H268" s="6">
        <v>11195</v>
      </c>
      <c r="I268" s="2"/>
      <c r="J268" s="7">
        <f t="shared" si="81"/>
        <v>3.2798328167273944E-3</v>
      </c>
      <c r="K268" s="2"/>
      <c r="L268" s="6">
        <f t="shared" si="82"/>
        <v>117663.66</v>
      </c>
      <c r="M268" s="2"/>
      <c r="N268" s="7">
        <f t="shared" si="83"/>
        <v>10.510376060741402</v>
      </c>
      <c r="O268" s="11"/>
      <c r="P268" s="6">
        <v>247583.22</v>
      </c>
      <c r="Q268" s="2"/>
      <c r="R268" s="7">
        <f t="shared" si="84"/>
        <v>9.8253517820493085E-3</v>
      </c>
      <c r="S268" s="2"/>
      <c r="T268" s="6">
        <v>80406</v>
      </c>
      <c r="U268" s="2"/>
      <c r="V268" s="7">
        <f t="shared" si="85"/>
        <v>3.0593259126254226E-3</v>
      </c>
      <c r="W268" s="2"/>
      <c r="X268" s="6">
        <f t="shared" si="86"/>
        <v>167177.22</v>
      </c>
      <c r="Y268" s="2"/>
      <c r="Z268" s="7">
        <f t="shared" si="87"/>
        <v>2.0791634952615476</v>
      </c>
    </row>
    <row r="269" spans="1:26" s="24" customFormat="1" hidden="1" outlineLevel="2" x14ac:dyDescent="0.25">
      <c r="A269" s="25"/>
      <c r="B269" s="11" t="str">
        <f>CONCATENATE("          ", "6375", " - ", "OUTSIDE REPAIRS &amp; MAINTENANCE")</f>
        <v xml:space="preserve">          6375 - OUTSIDE REPAIRS &amp; MAINTENANCE</v>
      </c>
      <c r="C269" s="11"/>
      <c r="D269" s="6">
        <v>8883.61</v>
      </c>
      <c r="E269" s="2"/>
      <c r="F269" s="7">
        <f t="shared" si="80"/>
        <v>2.5625481528306552E-3</v>
      </c>
      <c r="G269" s="2"/>
      <c r="H269" s="6">
        <v>36570</v>
      </c>
      <c r="I269" s="2"/>
      <c r="J269" s="7">
        <f t="shared" si="81"/>
        <v>1.0714022876973721E-2</v>
      </c>
      <c r="K269" s="2"/>
      <c r="L269" s="6">
        <f t="shared" si="82"/>
        <v>-27686.39</v>
      </c>
      <c r="M269" s="2"/>
      <c r="N269" s="7">
        <f t="shared" si="83"/>
        <v>-0.75707929997265522</v>
      </c>
      <c r="O269" s="11"/>
      <c r="P269" s="6">
        <v>158167.66999999998</v>
      </c>
      <c r="Q269" s="2"/>
      <c r="R269" s="7">
        <f t="shared" si="84"/>
        <v>6.2768914561216497E-3</v>
      </c>
      <c r="S269" s="2"/>
      <c r="T269" s="6">
        <v>230279</v>
      </c>
      <c r="U269" s="2"/>
      <c r="V269" s="7">
        <f t="shared" si="85"/>
        <v>8.7617654383189032E-3</v>
      </c>
      <c r="W269" s="2"/>
      <c r="X269" s="6">
        <f t="shared" si="86"/>
        <v>-72111.330000000016</v>
      </c>
      <c r="Y269" s="2"/>
      <c r="Z269" s="7">
        <f t="shared" si="87"/>
        <v>-0.31314766001241978</v>
      </c>
    </row>
    <row r="270" spans="1:26" s="27" customFormat="1" outlineLevel="1" collapsed="1" x14ac:dyDescent="0.25">
      <c r="A270" s="26"/>
      <c r="B270" s="13" t="str">
        <f>CONCATENATE("     ","Royalty &amp; Commissions                             ")</f>
        <v xml:space="preserve">     Royalty &amp; Commissions                             </v>
      </c>
      <c r="C270" s="13"/>
      <c r="D270" s="1">
        <f>SUM(OSRRefD22_19x_0)</f>
        <v>81592.45</v>
      </c>
      <c r="E270" s="1"/>
      <c r="F270" s="5">
        <f t="shared" ref="F270:F274" si="88">IF(D$12=0,0,D270/D$12)</f>
        <v>2.3535992916441352E-2</v>
      </c>
      <c r="G270" s="1"/>
      <c r="H270" s="1">
        <f>SUM(OSRRefH22_19x_0)</f>
        <v>83259</v>
      </c>
      <c r="I270" s="1"/>
      <c r="J270" s="5">
        <f t="shared" ref="J270:J274" si="89">IF(H$12=0,0,H270/H$12)</f>
        <v>2.4392639614819665E-2</v>
      </c>
      <c r="K270" s="1"/>
      <c r="L270" s="1">
        <f t="shared" ref="L270:L274" si="90">+D270-H270</f>
        <v>-1666.5500000000029</v>
      </c>
      <c r="M270" s="1"/>
      <c r="N270" s="5">
        <f t="shared" ref="N270:N274" si="91">IF(H270=0,0,L270/H270)</f>
        <v>-2.0016454677572428E-2</v>
      </c>
      <c r="O270" s="13"/>
      <c r="P270" s="1">
        <f>SUM(OSRRefP22_19x_0)</f>
        <v>328541.51</v>
      </c>
      <c r="Q270" s="1"/>
      <c r="R270" s="5">
        <f t="shared" ref="R270:R274" si="92">IF(P$12=0,0,P270/P$12)</f>
        <v>1.3038185345338309E-2</v>
      </c>
      <c r="S270" s="1"/>
      <c r="T270" s="1">
        <f>SUM(OSRRefT22_19x_0)</f>
        <v>367464</v>
      </c>
      <c r="U270" s="1"/>
      <c r="V270" s="5">
        <f t="shared" ref="V270:V274" si="93">IF(T$12=0,0,T270/T$12)</f>
        <v>1.3981445876638413E-2</v>
      </c>
      <c r="W270" s="1"/>
      <c r="X270" s="1">
        <f t="shared" ref="X270:X274" si="94">+P270-T270</f>
        <v>-38922.489999999991</v>
      </c>
      <c r="Y270" s="1"/>
      <c r="Z270" s="5">
        <f t="shared" ref="Z270:Z274" si="95">IF(T270=0,0,X270/T270)</f>
        <v>-0.10592191343913959</v>
      </c>
    </row>
    <row r="271" spans="1:26" s="24" customFormat="1" hidden="1" outlineLevel="2" x14ac:dyDescent="0.25">
      <c r="A271" s="25"/>
      <c r="B271" s="11" t="str">
        <f>CONCATENATE("          ", "6252", " - ", "ROYALTY DUE CSTV")</f>
        <v xml:space="preserve">          6252 - ROYALTY DUE CSTV</v>
      </c>
      <c r="C271" s="11"/>
      <c r="D271" s="6"/>
      <c r="E271" s="2"/>
      <c r="F271" s="7">
        <f t="shared" si="88"/>
        <v>0</v>
      </c>
      <c r="G271" s="2"/>
      <c r="H271" s="6">
        <v>6485</v>
      </c>
      <c r="I271" s="2"/>
      <c r="J271" s="7">
        <f t="shared" si="89"/>
        <v>1.8999299523427559E-3</v>
      </c>
      <c r="K271" s="2"/>
      <c r="L271" s="6">
        <f t="shared" si="90"/>
        <v>-6485</v>
      </c>
      <c r="M271" s="2"/>
      <c r="N271" s="7">
        <f t="shared" si="91"/>
        <v>-1</v>
      </c>
      <c r="O271" s="11"/>
      <c r="P271" s="6"/>
      <c r="Q271" s="2"/>
      <c r="R271" s="7">
        <f t="shared" si="92"/>
        <v>0</v>
      </c>
      <c r="S271" s="2"/>
      <c r="T271" s="6">
        <v>14080</v>
      </c>
      <c r="U271" s="2"/>
      <c r="V271" s="7">
        <f t="shared" si="93"/>
        <v>5.3572256858649785E-4</v>
      </c>
      <c r="W271" s="2"/>
      <c r="X271" s="6">
        <f t="shared" si="94"/>
        <v>-14080</v>
      </c>
      <c r="Y271" s="2"/>
      <c r="Z271" s="7">
        <f t="shared" si="95"/>
        <v>-1</v>
      </c>
    </row>
    <row r="272" spans="1:26" s="24" customFormat="1" hidden="1" outlineLevel="2" x14ac:dyDescent="0.25">
      <c r="A272" s="25"/>
      <c r="B272" s="11" t="str">
        <f>CONCATENATE("          ", "6253", " - ", "ROYALTY DUE ATHLETICS-LRG")</f>
        <v xml:space="preserve">          6253 - ROYALTY DUE ATHLETICS-LRG</v>
      </c>
      <c r="C272" s="11"/>
      <c r="D272" s="6">
        <v>12278.49</v>
      </c>
      <c r="E272" s="2"/>
      <c r="F272" s="7">
        <f t="shared" si="88"/>
        <v>3.5418283635875133E-3</v>
      </c>
      <c r="G272" s="2"/>
      <c r="H272" s="6">
        <v>43700</v>
      </c>
      <c r="I272" s="2"/>
      <c r="J272" s="7">
        <f t="shared" si="89"/>
        <v>1.2802920419025202E-2</v>
      </c>
      <c r="K272" s="2"/>
      <c r="L272" s="6">
        <f t="shared" si="90"/>
        <v>-31421.510000000002</v>
      </c>
      <c r="M272" s="2"/>
      <c r="N272" s="7">
        <f t="shared" si="91"/>
        <v>-0.71902768878718537</v>
      </c>
      <c r="O272" s="11"/>
      <c r="P272" s="6">
        <v>16645.439999999999</v>
      </c>
      <c r="Q272" s="2"/>
      <c r="R272" s="7">
        <f t="shared" si="92"/>
        <v>6.6057507276541126E-4</v>
      </c>
      <c r="S272" s="2"/>
      <c r="T272" s="6">
        <v>120600</v>
      </c>
      <c r="U272" s="2"/>
      <c r="V272" s="7">
        <f t="shared" si="93"/>
        <v>4.5886464326371909E-3</v>
      </c>
      <c r="W272" s="2"/>
      <c r="X272" s="6">
        <f t="shared" si="94"/>
        <v>-103954.56</v>
      </c>
      <c r="Y272" s="2"/>
      <c r="Z272" s="7">
        <f t="shared" si="95"/>
        <v>-0.86197810945273634</v>
      </c>
    </row>
    <row r="273" spans="1:26" s="24" customFormat="1" hidden="1" outlineLevel="2" x14ac:dyDescent="0.25">
      <c r="A273" s="25"/>
      <c r="B273" s="11" t="str">
        <f>CONCATENATE("          ", "6254", " - ", "ROYALTY &amp; COMMISSIONS")</f>
        <v xml:space="preserve">          6254 - ROYALTY &amp; COMMISSIONS</v>
      </c>
      <c r="C273" s="11"/>
      <c r="D273" s="6">
        <v>43894.16</v>
      </c>
      <c r="E273" s="2"/>
      <c r="F273" s="7">
        <f t="shared" si="88"/>
        <v>1.2661620515539655E-2</v>
      </c>
      <c r="G273" s="2"/>
      <c r="H273" s="6">
        <v>12700</v>
      </c>
      <c r="I273" s="2"/>
      <c r="J273" s="7">
        <f t="shared" si="89"/>
        <v>3.7207571927144181E-3</v>
      </c>
      <c r="K273" s="2"/>
      <c r="L273" s="6">
        <f t="shared" si="90"/>
        <v>31194.160000000003</v>
      </c>
      <c r="M273" s="2"/>
      <c r="N273" s="7">
        <f t="shared" si="91"/>
        <v>2.456233070866142</v>
      </c>
      <c r="O273" s="11"/>
      <c r="P273" s="6">
        <v>141222.03</v>
      </c>
      <c r="Q273" s="2"/>
      <c r="R273" s="7">
        <f t="shared" si="92"/>
        <v>5.604402932174163E-3</v>
      </c>
      <c r="S273" s="2"/>
      <c r="T273" s="6">
        <v>99717</v>
      </c>
      <c r="U273" s="2"/>
      <c r="V273" s="7">
        <f t="shared" si="93"/>
        <v>3.7940800690156114E-3</v>
      </c>
      <c r="W273" s="2"/>
      <c r="X273" s="6">
        <f t="shared" si="94"/>
        <v>41505.03</v>
      </c>
      <c r="Y273" s="2"/>
      <c r="Z273" s="7">
        <f t="shared" si="95"/>
        <v>0.41622822587923824</v>
      </c>
    </row>
    <row r="274" spans="1:26" s="24" customFormat="1" hidden="1" outlineLevel="2" x14ac:dyDescent="0.25">
      <c r="A274" s="25"/>
      <c r="B274" s="11" t="str">
        <f>CONCATENATE("          ", "6259", " - ", "ROYALTY &amp; COMMISSIONS")</f>
        <v xml:space="preserve">          6259 - ROYALTY &amp; COMMISSIONS</v>
      </c>
      <c r="C274" s="11"/>
      <c r="D274" s="6">
        <v>25419.8</v>
      </c>
      <c r="E274" s="2"/>
      <c r="F274" s="7">
        <f t="shared" si="88"/>
        <v>7.3325440373141863E-3</v>
      </c>
      <c r="G274" s="2"/>
      <c r="H274" s="6">
        <v>20374</v>
      </c>
      <c r="I274" s="2"/>
      <c r="J274" s="7">
        <f t="shared" si="89"/>
        <v>5.9690320507372876E-3</v>
      </c>
      <c r="K274" s="2"/>
      <c r="L274" s="6">
        <f t="shared" si="90"/>
        <v>5045.7999999999993</v>
      </c>
      <c r="M274" s="2"/>
      <c r="N274" s="7">
        <f t="shared" si="91"/>
        <v>0.24765878079905759</v>
      </c>
      <c r="O274" s="11"/>
      <c r="P274" s="6">
        <v>170674.04</v>
      </c>
      <c r="Q274" s="2"/>
      <c r="R274" s="7">
        <f t="shared" si="92"/>
        <v>6.7732073403987351E-3</v>
      </c>
      <c r="S274" s="2"/>
      <c r="T274" s="6">
        <v>133067</v>
      </c>
      <c r="U274" s="2"/>
      <c r="V274" s="7">
        <f t="shared" si="93"/>
        <v>5.0629968063991134E-3</v>
      </c>
      <c r="W274" s="2"/>
      <c r="X274" s="6">
        <f t="shared" si="94"/>
        <v>37607.040000000008</v>
      </c>
      <c r="Y274" s="2"/>
      <c r="Z274" s="7">
        <f t="shared" si="95"/>
        <v>0.28261732811290557</v>
      </c>
    </row>
    <row r="275" spans="1:26" s="27" customFormat="1" outlineLevel="1" collapsed="1" x14ac:dyDescent="0.25">
      <c r="A275" s="26"/>
      <c r="B275" s="13" t="str">
        <f>CONCATENATE("     ","Services                                          ")</f>
        <v xml:space="preserve">     Services                                          </v>
      </c>
      <c r="C275" s="13"/>
      <c r="D275" s="1">
        <f>SUM(OSRRefD22_20x_0)</f>
        <v>50893.83</v>
      </c>
      <c r="E275" s="1"/>
      <c r="F275" s="5">
        <f t="shared" ref="F275:F281" si="96">IF(D$12=0,0,D275/D$12)</f>
        <v>1.4680731150622031E-2</v>
      </c>
      <c r="G275" s="1"/>
      <c r="H275" s="1">
        <f>SUM(OSRRefH22_20x_0)</f>
        <v>48319.5</v>
      </c>
      <c r="I275" s="1"/>
      <c r="J275" s="5">
        <f t="shared" ref="J275:J281" si="97">IF(H$12=0,0,H275/H$12)</f>
        <v>1.4156309226249159E-2</v>
      </c>
      <c r="K275" s="1"/>
      <c r="L275" s="1">
        <f t="shared" ref="L275:L281" si="98">+D275-H275</f>
        <v>2574.3300000000017</v>
      </c>
      <c r="M275" s="1"/>
      <c r="N275" s="5">
        <f t="shared" ref="N275:N281" si="99">IF(H275=0,0,L275/H275)</f>
        <v>5.3277248315897342E-2</v>
      </c>
      <c r="O275" s="13"/>
      <c r="P275" s="1">
        <f>SUM(OSRRefP22_20x_0)</f>
        <v>381685.58999999997</v>
      </c>
      <c r="Q275" s="1"/>
      <c r="R275" s="5">
        <f t="shared" ref="R275:R281" si="100">IF(P$12=0,0,P275/P$12)</f>
        <v>1.5147210670775835E-2</v>
      </c>
      <c r="S275" s="1"/>
      <c r="T275" s="1">
        <f>SUM(OSRRefT22_20x_0)</f>
        <v>374771</v>
      </c>
      <c r="U275" s="1"/>
      <c r="V275" s="5">
        <f t="shared" ref="V275:V281" si="101">IF(T$12=0,0,T275/T$12)</f>
        <v>1.4259466104526306E-2</v>
      </c>
      <c r="W275" s="1"/>
      <c r="X275" s="1">
        <f t="shared" ref="X275:X281" si="102">+P275-T275</f>
        <v>6914.5899999999674</v>
      </c>
      <c r="Y275" s="1"/>
      <c r="Z275" s="5">
        <f t="shared" ref="Z275:Z281" si="103">IF(T275=0,0,X275/T275)</f>
        <v>1.845017357266162E-2</v>
      </c>
    </row>
    <row r="276" spans="1:26" s="24" customFormat="1" hidden="1" outlineLevel="2" x14ac:dyDescent="0.25">
      <c r="A276" s="25"/>
      <c r="B276" s="11" t="str">
        <f>CONCATENATE("          ", "6281", " - ", "STORAGE FEE")</f>
        <v xml:space="preserve">          6281 - STORAGE FEE</v>
      </c>
      <c r="C276" s="11"/>
      <c r="D276" s="6"/>
      <c r="E276" s="2"/>
      <c r="F276" s="7">
        <f t="shared" si="96"/>
        <v>0</v>
      </c>
      <c r="G276" s="2"/>
      <c r="H276" s="6"/>
      <c r="I276" s="2"/>
      <c r="J276" s="7">
        <f t="shared" si="97"/>
        <v>0</v>
      </c>
      <c r="K276" s="2"/>
      <c r="L276" s="6">
        <f t="shared" si="98"/>
        <v>0</v>
      </c>
      <c r="M276" s="2"/>
      <c r="N276" s="7">
        <f t="shared" si="99"/>
        <v>0</v>
      </c>
      <c r="O276" s="11"/>
      <c r="P276" s="6"/>
      <c r="Q276" s="2"/>
      <c r="R276" s="7">
        <f t="shared" si="100"/>
        <v>0</v>
      </c>
      <c r="S276" s="2"/>
      <c r="T276" s="6">
        <v>0</v>
      </c>
      <c r="U276" s="2"/>
      <c r="V276" s="7">
        <f t="shared" si="101"/>
        <v>0</v>
      </c>
      <c r="W276" s="2"/>
      <c r="X276" s="6">
        <f t="shared" si="102"/>
        <v>0</v>
      </c>
      <c r="Y276" s="2"/>
      <c r="Z276" s="7">
        <f t="shared" si="103"/>
        <v>0</v>
      </c>
    </row>
    <row r="277" spans="1:26" s="24" customFormat="1" hidden="1" outlineLevel="2" x14ac:dyDescent="0.25">
      <c r="A277" s="25"/>
      <c r="B277" s="11" t="str">
        <f>CONCATENATE("          ", "6282", " - ", "JANITORIAL/EXTERMINATOR EXPENS")</f>
        <v xml:space="preserve">          6282 - JANITORIAL/EXTERMINATOR EXPENS</v>
      </c>
      <c r="C277" s="11"/>
      <c r="D277" s="6">
        <v>5689.65</v>
      </c>
      <c r="E277" s="2"/>
      <c r="F277" s="7">
        <f t="shared" si="96"/>
        <v>1.6412249184456472E-3</v>
      </c>
      <c r="G277" s="2"/>
      <c r="H277" s="6">
        <v>3603</v>
      </c>
      <c r="I277" s="2"/>
      <c r="J277" s="7">
        <f t="shared" si="97"/>
        <v>1.0555817453031533E-3</v>
      </c>
      <c r="K277" s="2"/>
      <c r="L277" s="6">
        <f t="shared" si="98"/>
        <v>2086.6499999999996</v>
      </c>
      <c r="M277" s="2"/>
      <c r="N277" s="7">
        <f t="shared" si="99"/>
        <v>0.57914238134887586</v>
      </c>
      <c r="O277" s="11"/>
      <c r="P277" s="6">
        <v>32933.660000000003</v>
      </c>
      <c r="Q277" s="2"/>
      <c r="R277" s="7">
        <f t="shared" si="100"/>
        <v>1.3069738529550025E-3</v>
      </c>
      <c r="S277" s="2"/>
      <c r="T277" s="6">
        <v>27811</v>
      </c>
      <c r="U277" s="2"/>
      <c r="V277" s="7">
        <f t="shared" si="101"/>
        <v>1.0581662183919811E-3</v>
      </c>
      <c r="W277" s="2"/>
      <c r="X277" s="6">
        <f t="shared" si="102"/>
        <v>5122.6600000000035</v>
      </c>
      <c r="Y277" s="2"/>
      <c r="Z277" s="7">
        <f t="shared" si="103"/>
        <v>0.18419546222717642</v>
      </c>
    </row>
    <row r="278" spans="1:26" s="24" customFormat="1" hidden="1" outlineLevel="2" x14ac:dyDescent="0.25">
      <c r="A278" s="25"/>
      <c r="B278" s="11" t="str">
        <f>CONCATENATE("          ", "6283", " - ", "PLANT SERVICE")</f>
        <v xml:space="preserve">          6283 - PLANT SERVICE</v>
      </c>
      <c r="C278" s="11"/>
      <c r="D278" s="6">
        <v>199.78</v>
      </c>
      <c r="E278" s="2"/>
      <c r="F278" s="7">
        <f t="shared" si="96"/>
        <v>5.7628134280152804E-5</v>
      </c>
      <c r="G278" s="2"/>
      <c r="H278" s="6">
        <v>245</v>
      </c>
      <c r="I278" s="2"/>
      <c r="J278" s="7">
        <f t="shared" si="97"/>
        <v>7.1778386788585226E-5</v>
      </c>
      <c r="K278" s="2"/>
      <c r="L278" s="6">
        <f t="shared" si="98"/>
        <v>-45.22</v>
      </c>
      <c r="M278" s="2"/>
      <c r="N278" s="7">
        <f t="shared" si="99"/>
        <v>-0.18457142857142855</v>
      </c>
      <c r="O278" s="11"/>
      <c r="P278" s="6">
        <v>1540.88</v>
      </c>
      <c r="Q278" s="2"/>
      <c r="R278" s="7">
        <f t="shared" si="100"/>
        <v>6.1149895594395039E-5</v>
      </c>
      <c r="S278" s="2"/>
      <c r="T278" s="6">
        <v>1925</v>
      </c>
      <c r="U278" s="2"/>
      <c r="V278" s="7">
        <f t="shared" si="101"/>
        <v>7.3243319923935261E-5</v>
      </c>
      <c r="W278" s="2"/>
      <c r="X278" s="6">
        <f t="shared" si="102"/>
        <v>-384.11999999999989</v>
      </c>
      <c r="Y278" s="2"/>
      <c r="Z278" s="7">
        <f t="shared" si="103"/>
        <v>-0.19954285714285708</v>
      </c>
    </row>
    <row r="279" spans="1:26" s="24" customFormat="1" hidden="1" outlineLevel="2" x14ac:dyDescent="0.25">
      <c r="A279" s="25"/>
      <c r="B279" s="11" t="str">
        <f>CONCATENATE("          ", "6284", " - ", "TRASH REMOVAL EXPENSE")</f>
        <v xml:space="preserve">          6284 - TRASH REMOVAL EXPENSE</v>
      </c>
      <c r="C279" s="11"/>
      <c r="D279" s="6">
        <v>5553.82</v>
      </c>
      <c r="E279" s="2"/>
      <c r="F279" s="7">
        <f t="shared" si="96"/>
        <v>1.6020436716778367E-3</v>
      </c>
      <c r="G279" s="2"/>
      <c r="H279" s="6">
        <v>4277.5</v>
      </c>
      <c r="I279" s="2"/>
      <c r="J279" s="7">
        <f t="shared" si="97"/>
        <v>1.253192038727238E-3</v>
      </c>
      <c r="K279" s="2"/>
      <c r="L279" s="6">
        <f t="shared" si="98"/>
        <v>1276.3199999999997</v>
      </c>
      <c r="M279" s="2"/>
      <c r="N279" s="7">
        <f t="shared" si="99"/>
        <v>0.29837989479836347</v>
      </c>
      <c r="O279" s="11"/>
      <c r="P279" s="6">
        <v>36542.559999999998</v>
      </c>
      <c r="Q279" s="2"/>
      <c r="R279" s="7">
        <f t="shared" si="100"/>
        <v>1.4501932199469888E-3</v>
      </c>
      <c r="S279" s="2"/>
      <c r="T279" s="6">
        <v>34170</v>
      </c>
      <c r="U279" s="2"/>
      <c r="V279" s="7">
        <f t="shared" si="101"/>
        <v>1.300116489247204E-3</v>
      </c>
      <c r="W279" s="2"/>
      <c r="X279" s="6">
        <f t="shared" si="102"/>
        <v>2372.5599999999977</v>
      </c>
      <c r="Y279" s="2"/>
      <c r="Z279" s="7">
        <f t="shared" si="103"/>
        <v>6.9434006438396187E-2</v>
      </c>
    </row>
    <row r="280" spans="1:26" s="24" customFormat="1" hidden="1" outlineLevel="2" x14ac:dyDescent="0.25">
      <c r="A280" s="25"/>
      <c r="B280" s="11" t="str">
        <f>CONCATENATE("          ", "6285", " - ", "JANITORIAL SERVICES")</f>
        <v xml:space="preserve">          6285 - JANITORIAL SERVICES</v>
      </c>
      <c r="C280" s="11"/>
      <c r="D280" s="6">
        <v>30888.68</v>
      </c>
      <c r="E280" s="2"/>
      <c r="F280" s="7">
        <f t="shared" si="96"/>
        <v>8.9100860885807896E-3</v>
      </c>
      <c r="G280" s="2"/>
      <c r="H280" s="6">
        <v>29897</v>
      </c>
      <c r="I280" s="2"/>
      <c r="J280" s="7">
        <f t="shared" si="97"/>
        <v>8.7590139992585001E-3</v>
      </c>
      <c r="K280" s="2"/>
      <c r="L280" s="6">
        <f t="shared" si="98"/>
        <v>991.68000000000029</v>
      </c>
      <c r="M280" s="2"/>
      <c r="N280" s="7">
        <f t="shared" si="99"/>
        <v>3.3169883265879531E-2</v>
      </c>
      <c r="O280" s="11"/>
      <c r="P280" s="6">
        <v>242701.9</v>
      </c>
      <c r="Q280" s="2"/>
      <c r="R280" s="7">
        <f t="shared" si="100"/>
        <v>9.6316363672455385E-3</v>
      </c>
      <c r="S280" s="2"/>
      <c r="T280" s="6">
        <v>240261.00000000003</v>
      </c>
      <c r="U280" s="2"/>
      <c r="V280" s="7">
        <f t="shared" si="101"/>
        <v>9.1415653445426556E-3</v>
      </c>
      <c r="W280" s="2"/>
      <c r="X280" s="6">
        <f t="shared" si="102"/>
        <v>2440.8999999999651</v>
      </c>
      <c r="Y280" s="2"/>
      <c r="Z280" s="7">
        <f t="shared" si="103"/>
        <v>1.0159368353581999E-2</v>
      </c>
    </row>
    <row r="281" spans="1:26" s="24" customFormat="1" hidden="1" outlineLevel="2" x14ac:dyDescent="0.25">
      <c r="A281" s="25"/>
      <c r="B281" s="11" t="str">
        <f>CONCATENATE("          ", "6286", " - ", "LAUNDRY EXPENSE")</f>
        <v xml:space="preserve">          6286 - LAUNDRY EXPENSE</v>
      </c>
      <c r="C281" s="11"/>
      <c r="D281" s="6">
        <v>8561.9</v>
      </c>
      <c r="E281" s="2"/>
      <c r="F281" s="7">
        <f t="shared" si="96"/>
        <v>2.4697483376376027E-3</v>
      </c>
      <c r="G281" s="2"/>
      <c r="H281" s="6">
        <v>10297</v>
      </c>
      <c r="I281" s="2"/>
      <c r="J281" s="7">
        <f t="shared" si="97"/>
        <v>3.016743056171682E-3</v>
      </c>
      <c r="K281" s="2"/>
      <c r="L281" s="6">
        <f t="shared" si="98"/>
        <v>-1735.1000000000004</v>
      </c>
      <c r="M281" s="2"/>
      <c r="N281" s="7">
        <f t="shared" si="99"/>
        <v>-0.16850538991939404</v>
      </c>
      <c r="O281" s="11"/>
      <c r="P281" s="6">
        <v>67966.59</v>
      </c>
      <c r="Q281" s="2"/>
      <c r="R281" s="7">
        <f t="shared" si="100"/>
        <v>2.6972573350339114E-3</v>
      </c>
      <c r="S281" s="2"/>
      <c r="T281" s="6">
        <v>70604</v>
      </c>
      <c r="U281" s="2"/>
      <c r="V281" s="7">
        <f t="shared" si="101"/>
        <v>2.6863747324205327E-3</v>
      </c>
      <c r="W281" s="2"/>
      <c r="X281" s="6">
        <f t="shared" si="102"/>
        <v>-2637.4100000000035</v>
      </c>
      <c r="Y281" s="2"/>
      <c r="Z281" s="7">
        <f t="shared" si="103"/>
        <v>-3.735496572432162E-2</v>
      </c>
    </row>
    <row r="282" spans="1:26" s="27" customFormat="1" outlineLevel="1" collapsed="1" x14ac:dyDescent="0.25">
      <c r="A282" s="26"/>
      <c r="B282" s="13" t="str">
        <f>CONCATENATE("     ","Subscriptions &amp; Dues                              ")</f>
        <v xml:space="preserve">     Subscriptions &amp; Dues                              </v>
      </c>
      <c r="C282" s="13"/>
      <c r="D282" s="1">
        <f>SUM(OSRRefD22_21x_0)</f>
        <v>2068</v>
      </c>
      <c r="E282" s="1"/>
      <c r="F282" s="5">
        <f t="shared" ref="F282:F284" si="104">IF(D$12=0,0,D282/D$12)</f>
        <v>5.9653109265870457E-4</v>
      </c>
      <c r="G282" s="1"/>
      <c r="H282" s="1">
        <f>SUM(OSRRefH22_21x_0)</f>
        <v>1889</v>
      </c>
      <c r="I282" s="1"/>
      <c r="J282" s="5">
        <f t="shared" ref="J282:J284" si="105">IF(H$12=0,0,H282/H$12)</f>
        <v>5.5342601079035709E-4</v>
      </c>
      <c r="K282" s="1"/>
      <c r="L282" s="1">
        <f t="shared" ref="L282:L284" si="106">+D282-H282</f>
        <v>179</v>
      </c>
      <c r="M282" s="1"/>
      <c r="N282" s="5">
        <f t="shared" ref="N282:N284" si="107">IF(H282=0,0,L282/H282)</f>
        <v>9.4759131815775541E-2</v>
      </c>
      <c r="O282" s="13"/>
      <c r="P282" s="1">
        <f>SUM(OSRRefP22_21x_0)</f>
        <v>8789.24</v>
      </c>
      <c r="Q282" s="1"/>
      <c r="R282" s="5">
        <f t="shared" ref="R282:R284" si="108">IF(P$12=0,0,P282/P$12)</f>
        <v>3.4880140462208652E-4</v>
      </c>
      <c r="S282" s="1"/>
      <c r="T282" s="1">
        <f>SUM(OSRRefT22_21x_0)</f>
        <v>22452</v>
      </c>
      <c r="U282" s="1"/>
      <c r="V282" s="5">
        <f t="shared" ref="V282:V284" si="109">IF(T$12=0,0,T282/T$12)</f>
        <v>8.5426442541932182E-4</v>
      </c>
      <c r="W282" s="1"/>
      <c r="X282" s="1">
        <f t="shared" ref="X282:X284" si="110">+P282-T282</f>
        <v>-13662.76</v>
      </c>
      <c r="Y282" s="1"/>
      <c r="Z282" s="5">
        <f t="shared" ref="Z282:Z284" si="111">IF(T282=0,0,X282/T282)</f>
        <v>-0.60853197933368963</v>
      </c>
    </row>
    <row r="283" spans="1:26" s="24" customFormat="1" hidden="1" outlineLevel="2" x14ac:dyDescent="0.25">
      <c r="A283" s="25"/>
      <c r="B283" s="11" t="str">
        <f>CONCATENATE("          ", "6258", " - ", "MEMBERSHIP DUES")</f>
        <v xml:space="preserve">          6258 - MEMBERSHIP DUES</v>
      </c>
      <c r="C283" s="11"/>
      <c r="D283" s="6">
        <v>1486.67</v>
      </c>
      <c r="E283" s="2"/>
      <c r="F283" s="7">
        <f t="shared" si="104"/>
        <v>4.2884181795112009E-4</v>
      </c>
      <c r="G283" s="2"/>
      <c r="H283" s="6">
        <v>700</v>
      </c>
      <c r="I283" s="2"/>
      <c r="J283" s="7">
        <f t="shared" si="105"/>
        <v>2.050811051102435E-4</v>
      </c>
      <c r="K283" s="2"/>
      <c r="L283" s="6">
        <f t="shared" si="106"/>
        <v>786.67000000000007</v>
      </c>
      <c r="M283" s="2"/>
      <c r="N283" s="7">
        <f t="shared" si="107"/>
        <v>1.1238142857142859</v>
      </c>
      <c r="O283" s="11"/>
      <c r="P283" s="6">
        <v>3108.37</v>
      </c>
      <c r="Q283" s="2"/>
      <c r="R283" s="7">
        <f t="shared" si="108"/>
        <v>1.2335581029590214E-4</v>
      </c>
      <c r="S283" s="2"/>
      <c r="T283" s="6">
        <v>14540</v>
      </c>
      <c r="U283" s="2"/>
      <c r="V283" s="7">
        <f t="shared" si="109"/>
        <v>5.5322486841247718E-4</v>
      </c>
      <c r="W283" s="2"/>
      <c r="X283" s="6">
        <f t="shared" si="110"/>
        <v>-11431.630000000001</v>
      </c>
      <c r="Y283" s="2"/>
      <c r="Z283" s="7">
        <f t="shared" si="111"/>
        <v>-0.78621939477303993</v>
      </c>
    </row>
    <row r="284" spans="1:26" s="24" customFormat="1" hidden="1" outlineLevel="2" x14ac:dyDescent="0.25">
      <c r="A284" s="25"/>
      <c r="B284" s="11" t="str">
        <f>CONCATENATE("          ", "6275", " - ", "SUBSCRIPTIONS")</f>
        <v xml:space="preserve">          6275 - SUBSCRIPTIONS</v>
      </c>
      <c r="C284" s="11"/>
      <c r="D284" s="6">
        <v>581.33000000000004</v>
      </c>
      <c r="E284" s="2"/>
      <c r="F284" s="7">
        <f t="shared" si="104"/>
        <v>1.6768927470758451E-4</v>
      </c>
      <c r="G284" s="2"/>
      <c r="H284" s="6">
        <v>1189</v>
      </c>
      <c r="I284" s="2"/>
      <c r="J284" s="7">
        <f t="shared" si="105"/>
        <v>3.4834490568011364E-4</v>
      </c>
      <c r="K284" s="2"/>
      <c r="L284" s="6">
        <f t="shared" si="106"/>
        <v>-607.66999999999996</v>
      </c>
      <c r="M284" s="2"/>
      <c r="N284" s="7">
        <f t="shared" si="107"/>
        <v>-0.51107653490327998</v>
      </c>
      <c r="O284" s="11"/>
      <c r="P284" s="6">
        <v>5680.87</v>
      </c>
      <c r="Q284" s="2"/>
      <c r="R284" s="7">
        <f t="shared" si="108"/>
        <v>2.2544559432618436E-4</v>
      </c>
      <c r="S284" s="2"/>
      <c r="T284" s="6">
        <v>7912</v>
      </c>
      <c r="U284" s="2"/>
      <c r="V284" s="7">
        <f t="shared" si="109"/>
        <v>3.0103955700684458E-4</v>
      </c>
      <c r="W284" s="2"/>
      <c r="X284" s="6">
        <f t="shared" si="110"/>
        <v>-2231.13</v>
      </c>
      <c r="Y284" s="2"/>
      <c r="Z284" s="7">
        <f t="shared" si="111"/>
        <v>-0.28199317492416581</v>
      </c>
    </row>
    <row r="285" spans="1:26" s="27" customFormat="1" outlineLevel="1" collapsed="1" x14ac:dyDescent="0.25">
      <c r="A285" s="26"/>
      <c r="B285" s="13" t="str">
        <f>CONCATENATE("     ","Supplies                                          ")</f>
        <v xml:space="preserve">     Supplies                                          </v>
      </c>
      <c r="C285" s="13"/>
      <c r="D285" s="1">
        <f>SUM(OSRRefD22_22x_0)</f>
        <v>63762.830000000009</v>
      </c>
      <c r="E285" s="1"/>
      <c r="F285" s="5">
        <f t="shared" ref="F285:F295" si="112">IF(D$12=0,0,D285/D$12)</f>
        <v>1.8392896833129224E-2</v>
      </c>
      <c r="G285" s="1"/>
      <c r="H285" s="1">
        <f>SUM(OSRRefH22_22x_0)</f>
        <v>66601.3</v>
      </c>
      <c r="I285" s="1"/>
      <c r="J285" s="5">
        <f t="shared" ref="J285:J295" si="113">IF(H$12=0,0,H285/H$12)</f>
        <v>1.9512383151112658E-2</v>
      </c>
      <c r="K285" s="1"/>
      <c r="L285" s="1">
        <f t="shared" ref="L285:L295" si="114">+D285-H285</f>
        <v>-2838.4699999999939</v>
      </c>
      <c r="M285" s="1"/>
      <c r="N285" s="5">
        <f t="shared" ref="N285:N295" si="115">IF(H285=0,0,L285/H285)</f>
        <v>-4.2618837770433814E-2</v>
      </c>
      <c r="O285" s="13"/>
      <c r="P285" s="1">
        <f>SUM(OSRRefP22_22x_0)</f>
        <v>470002.81</v>
      </c>
      <c r="Q285" s="1"/>
      <c r="R285" s="5">
        <f t="shared" ref="R285:R295" si="116">IF(P$12=0,0,P285/P$12)</f>
        <v>1.8652083718766088E-2</v>
      </c>
      <c r="S285" s="1"/>
      <c r="T285" s="1">
        <f>SUM(OSRRefT22_22x_0)</f>
        <v>540571.80000000005</v>
      </c>
      <c r="U285" s="1"/>
      <c r="V285" s="5">
        <f t="shared" ref="V285:V295" si="117">IF(T$12=0,0,T285/T$12)</f>
        <v>2.0567934176237687E-2</v>
      </c>
      <c r="W285" s="1"/>
      <c r="X285" s="1">
        <f t="shared" ref="X285:X295" si="118">+P285-T285</f>
        <v>-70568.990000000049</v>
      </c>
      <c r="Y285" s="1"/>
      <c r="Z285" s="5">
        <f t="shared" ref="Z285:Z295" si="119">IF(T285=0,0,X285/T285)</f>
        <v>-0.13054508207790352</v>
      </c>
    </row>
    <row r="286" spans="1:26" s="24" customFormat="1" hidden="1" outlineLevel="2" x14ac:dyDescent="0.25">
      <c r="A286" s="25"/>
      <c r="B286" s="11" t="str">
        <f>CONCATENATE("          ", "6234", " - ", "EXPENDABLE SUPPLIES &amp; EQUIPMEN")</f>
        <v xml:space="preserve">          6234 - EXPENDABLE SUPPLIES &amp; EQUIPMEN</v>
      </c>
      <c r="C286" s="11"/>
      <c r="D286" s="6">
        <v>378.95</v>
      </c>
      <c r="E286" s="2"/>
      <c r="F286" s="7">
        <f t="shared" si="112"/>
        <v>1.0931114969198071E-4</v>
      </c>
      <c r="G286" s="2"/>
      <c r="H286" s="6">
        <v>7900</v>
      </c>
      <c r="I286" s="2"/>
      <c r="J286" s="7">
        <f t="shared" si="113"/>
        <v>2.314486757672748E-3</v>
      </c>
      <c r="K286" s="2"/>
      <c r="L286" s="6">
        <f t="shared" si="114"/>
        <v>-7521.05</v>
      </c>
      <c r="M286" s="2"/>
      <c r="N286" s="7">
        <f t="shared" si="115"/>
        <v>-0.95203164556962028</v>
      </c>
      <c r="O286" s="11"/>
      <c r="P286" s="6">
        <v>18357.14</v>
      </c>
      <c r="Q286" s="2"/>
      <c r="R286" s="7">
        <f t="shared" si="116"/>
        <v>7.2850396812970046E-4</v>
      </c>
      <c r="S286" s="2"/>
      <c r="T286" s="6">
        <v>70800</v>
      </c>
      <c r="U286" s="2"/>
      <c r="V286" s="7">
        <f t="shared" si="117"/>
        <v>2.693832234085515E-3</v>
      </c>
      <c r="W286" s="2"/>
      <c r="X286" s="6">
        <f t="shared" si="118"/>
        <v>-52442.86</v>
      </c>
      <c r="Y286" s="2"/>
      <c r="Z286" s="7">
        <f t="shared" si="119"/>
        <v>-0.74071836158192095</v>
      </c>
    </row>
    <row r="287" spans="1:26" s="24" customFormat="1" hidden="1" outlineLevel="2" x14ac:dyDescent="0.25">
      <c r="A287" s="25"/>
      <c r="B287" s="11" t="str">
        <f>CONCATENATE("          ", "6237", " - ", "JANITORIAL SUPPLIES")</f>
        <v xml:space="preserve">          6237 - JANITORIAL SUPPLIES</v>
      </c>
      <c r="C287" s="11"/>
      <c r="D287" s="6">
        <v>17222.75</v>
      </c>
      <c r="E287" s="2"/>
      <c r="F287" s="7">
        <f t="shared" si="112"/>
        <v>4.9680395919186188E-3</v>
      </c>
      <c r="G287" s="2"/>
      <c r="H287" s="6">
        <v>13616</v>
      </c>
      <c r="I287" s="2"/>
      <c r="J287" s="7">
        <f t="shared" si="113"/>
        <v>3.9891204674015364E-3</v>
      </c>
      <c r="K287" s="2"/>
      <c r="L287" s="6">
        <f t="shared" si="114"/>
        <v>3606.75</v>
      </c>
      <c r="M287" s="2"/>
      <c r="N287" s="7">
        <f t="shared" si="115"/>
        <v>0.26489056991774385</v>
      </c>
      <c r="O287" s="11"/>
      <c r="P287" s="6">
        <v>116696.92000000001</v>
      </c>
      <c r="Q287" s="2"/>
      <c r="R287" s="7">
        <f t="shared" si="116"/>
        <v>4.6311227832066554E-3</v>
      </c>
      <c r="S287" s="2"/>
      <c r="T287" s="6">
        <v>113658</v>
      </c>
      <c r="U287" s="2"/>
      <c r="V287" s="7">
        <f t="shared" si="117"/>
        <v>4.3245138991764333E-3</v>
      </c>
      <c r="W287" s="2"/>
      <c r="X287" s="6">
        <f t="shared" si="118"/>
        <v>3038.9200000000128</v>
      </c>
      <c r="Y287" s="2"/>
      <c r="Z287" s="7">
        <f t="shared" si="119"/>
        <v>2.6737405198050405E-2</v>
      </c>
    </row>
    <row r="288" spans="1:26" s="24" customFormat="1" hidden="1" outlineLevel="2" x14ac:dyDescent="0.25">
      <c r="A288" s="25"/>
      <c r="B288" s="11" t="str">
        <f>CONCATENATE("          ", "6239", " - ", "KITCHEN SUPPLIES")</f>
        <v xml:space="preserve">          6239 - KITCHEN SUPPLIES</v>
      </c>
      <c r="C288" s="11"/>
      <c r="D288" s="6">
        <v>9796.6</v>
      </c>
      <c r="E288" s="2"/>
      <c r="F288" s="7">
        <f t="shared" si="112"/>
        <v>2.8259073995842675E-3</v>
      </c>
      <c r="G288" s="2"/>
      <c r="H288" s="6">
        <v>8310</v>
      </c>
      <c r="I288" s="2"/>
      <c r="J288" s="7">
        <f t="shared" si="113"/>
        <v>2.4346056906658906E-3</v>
      </c>
      <c r="K288" s="2"/>
      <c r="L288" s="6">
        <f t="shared" si="114"/>
        <v>1486.6000000000004</v>
      </c>
      <c r="M288" s="2"/>
      <c r="N288" s="7">
        <f t="shared" si="115"/>
        <v>0.17889290012033698</v>
      </c>
      <c r="O288" s="11"/>
      <c r="P288" s="6">
        <v>70640.070000000007</v>
      </c>
      <c r="Q288" s="2"/>
      <c r="R288" s="7">
        <f t="shared" si="116"/>
        <v>2.8033545151347006E-3</v>
      </c>
      <c r="S288" s="2"/>
      <c r="T288" s="6">
        <v>60824.71</v>
      </c>
      <c r="U288" s="2"/>
      <c r="V288" s="7">
        <f t="shared" si="117"/>
        <v>2.3142876331483553E-3</v>
      </c>
      <c r="W288" s="2"/>
      <c r="X288" s="6">
        <f t="shared" si="118"/>
        <v>9815.3600000000079</v>
      </c>
      <c r="Y288" s="2"/>
      <c r="Z288" s="7">
        <f t="shared" si="119"/>
        <v>0.16137125849017625</v>
      </c>
    </row>
    <row r="289" spans="1:26" s="24" customFormat="1" hidden="1" outlineLevel="2" x14ac:dyDescent="0.25">
      <c r="A289" s="25"/>
      <c r="B289" s="11" t="str">
        <f>CONCATENATE("          ", "6241", " - ", "OFFICE EXPENSE")</f>
        <v xml:space="preserve">          6241 - OFFICE EXPENSE</v>
      </c>
      <c r="C289" s="11"/>
      <c r="D289" s="6">
        <v>6329.33</v>
      </c>
      <c r="E289" s="2"/>
      <c r="F289" s="7">
        <f t="shared" si="112"/>
        <v>1.8257457160046028E-3</v>
      </c>
      <c r="G289" s="2"/>
      <c r="H289" s="6">
        <v>5869</v>
      </c>
      <c r="I289" s="2"/>
      <c r="J289" s="7">
        <f t="shared" si="113"/>
        <v>1.7194585798457416E-3</v>
      </c>
      <c r="K289" s="2"/>
      <c r="L289" s="6">
        <f t="shared" si="114"/>
        <v>460.32999999999993</v>
      </c>
      <c r="M289" s="2"/>
      <c r="N289" s="7">
        <f t="shared" si="115"/>
        <v>7.843414551030839E-2</v>
      </c>
      <c r="O289" s="11"/>
      <c r="P289" s="6">
        <v>90699.73000000001</v>
      </c>
      <c r="Q289" s="2"/>
      <c r="R289" s="7">
        <f t="shared" si="116"/>
        <v>3.5994230698950082E-3</v>
      </c>
      <c r="S289" s="2"/>
      <c r="T289" s="6">
        <v>34649.25</v>
      </c>
      <c r="U289" s="2"/>
      <c r="V289" s="7">
        <f t="shared" si="117"/>
        <v>1.3183512222724228E-3</v>
      </c>
      <c r="W289" s="2"/>
      <c r="X289" s="6">
        <f t="shared" si="118"/>
        <v>56050.48000000001</v>
      </c>
      <c r="Y289" s="2"/>
      <c r="Z289" s="7">
        <f t="shared" si="119"/>
        <v>1.6176534845631583</v>
      </c>
    </row>
    <row r="290" spans="1:26" s="24" customFormat="1" hidden="1" outlineLevel="2" x14ac:dyDescent="0.25">
      <c r="A290" s="25"/>
      <c r="B290" s="11" t="str">
        <f>CONCATENATE("          ", "6243", " - ", "PAPER SUPPLIES")</f>
        <v xml:space="preserve">          6243 - PAPER SUPPLIES</v>
      </c>
      <c r="C290" s="11"/>
      <c r="D290" s="6">
        <v>12240.56</v>
      </c>
      <c r="E290" s="2"/>
      <c r="F290" s="7">
        <f t="shared" si="112"/>
        <v>3.5308871525891838E-3</v>
      </c>
      <c r="G290" s="2"/>
      <c r="H290" s="6">
        <v>11714</v>
      </c>
      <c r="I290" s="2"/>
      <c r="J290" s="7">
        <f t="shared" si="113"/>
        <v>3.4318858075162752E-3</v>
      </c>
      <c r="K290" s="2"/>
      <c r="L290" s="6">
        <f t="shared" si="114"/>
        <v>526.55999999999949</v>
      </c>
      <c r="M290" s="2"/>
      <c r="N290" s="7">
        <f t="shared" si="115"/>
        <v>4.4951340276592068E-2</v>
      </c>
      <c r="O290" s="11"/>
      <c r="P290" s="6">
        <v>93879.23</v>
      </c>
      <c r="Q290" s="2"/>
      <c r="R290" s="7">
        <f t="shared" si="116"/>
        <v>3.7256016776012397E-3</v>
      </c>
      <c r="S290" s="2"/>
      <c r="T290" s="6">
        <v>87102.52</v>
      </c>
      <c r="U290" s="2"/>
      <c r="V290" s="7">
        <f t="shared" si="117"/>
        <v>3.3141183057355688E-3</v>
      </c>
      <c r="W290" s="2"/>
      <c r="X290" s="6">
        <f t="shared" si="118"/>
        <v>6776.7099999999919</v>
      </c>
      <c r="Y290" s="2"/>
      <c r="Z290" s="7">
        <f t="shared" si="119"/>
        <v>7.7801537774107934E-2</v>
      </c>
    </row>
    <row r="291" spans="1:26" s="24" customFormat="1" hidden="1" outlineLevel="2" x14ac:dyDescent="0.25">
      <c r="A291" s="25"/>
      <c r="B291" s="11" t="str">
        <f>CONCATENATE("          ", "6244", " - ", "SAFETY SUPPLY EXPENSE")</f>
        <v xml:space="preserve">          6244 - SAFETY SUPPLY EXPENSE</v>
      </c>
      <c r="C291" s="11"/>
      <c r="D291" s="6"/>
      <c r="E291" s="2"/>
      <c r="F291" s="7">
        <f t="shared" si="112"/>
        <v>0</v>
      </c>
      <c r="G291" s="2"/>
      <c r="H291" s="6">
        <v>235</v>
      </c>
      <c r="I291" s="2"/>
      <c r="J291" s="7">
        <f t="shared" si="113"/>
        <v>6.8848656715581752E-5</v>
      </c>
      <c r="K291" s="2"/>
      <c r="L291" s="6">
        <f t="shared" si="114"/>
        <v>-235</v>
      </c>
      <c r="M291" s="2"/>
      <c r="N291" s="7">
        <f t="shared" si="115"/>
        <v>-1</v>
      </c>
      <c r="O291" s="11"/>
      <c r="P291" s="6"/>
      <c r="Q291" s="2"/>
      <c r="R291" s="7">
        <f t="shared" si="116"/>
        <v>0</v>
      </c>
      <c r="S291" s="2"/>
      <c r="T291" s="6">
        <v>1910</v>
      </c>
      <c r="U291" s="2"/>
      <c r="V291" s="7">
        <f t="shared" si="117"/>
        <v>7.2672592755696806E-5</v>
      </c>
      <c r="W291" s="2"/>
      <c r="X291" s="6">
        <f t="shared" si="118"/>
        <v>-1910</v>
      </c>
      <c r="Y291" s="2"/>
      <c r="Z291" s="7">
        <f t="shared" si="119"/>
        <v>-1</v>
      </c>
    </row>
    <row r="292" spans="1:26" s="24" customFormat="1" hidden="1" outlineLevel="2" x14ac:dyDescent="0.25">
      <c r="A292" s="25"/>
      <c r="B292" s="11" t="str">
        <f>CONCATENATE("          ", "6245", " - ", "PRINTING")</f>
        <v xml:space="preserve">          6245 - PRINTING</v>
      </c>
      <c r="C292" s="11"/>
      <c r="D292" s="6">
        <v>3266.4</v>
      </c>
      <c r="E292" s="2"/>
      <c r="F292" s="7">
        <f t="shared" si="112"/>
        <v>9.4221913010657287E-4</v>
      </c>
      <c r="G292" s="2"/>
      <c r="H292" s="6">
        <v>310</v>
      </c>
      <c r="I292" s="2"/>
      <c r="J292" s="7">
        <f t="shared" si="113"/>
        <v>9.0821632263107839E-5</v>
      </c>
      <c r="K292" s="2"/>
      <c r="L292" s="6">
        <f t="shared" si="114"/>
        <v>2956.4</v>
      </c>
      <c r="M292" s="2"/>
      <c r="N292" s="7">
        <f t="shared" si="115"/>
        <v>9.5367741935483874</v>
      </c>
      <c r="O292" s="11"/>
      <c r="P292" s="6">
        <v>11954.58</v>
      </c>
      <c r="Q292" s="2"/>
      <c r="R292" s="7">
        <f t="shared" si="116"/>
        <v>4.7441807205937067E-4</v>
      </c>
      <c r="S292" s="2"/>
      <c r="T292" s="6">
        <v>5270</v>
      </c>
      <c r="U292" s="2"/>
      <c r="V292" s="7">
        <f t="shared" si="117"/>
        <v>2.0051547844111107E-4</v>
      </c>
      <c r="W292" s="2"/>
      <c r="X292" s="6">
        <f t="shared" si="118"/>
        <v>6684.58</v>
      </c>
      <c r="Y292" s="2"/>
      <c r="Z292" s="7">
        <f t="shared" si="119"/>
        <v>1.2684212523719165</v>
      </c>
    </row>
    <row r="293" spans="1:26" s="24" customFormat="1" hidden="1" outlineLevel="2" x14ac:dyDescent="0.25">
      <c r="A293" s="25"/>
      <c r="B293" s="11" t="str">
        <f>CONCATENATE("          ", "6246", " - ", "REPLACEMENTS")</f>
        <v xml:space="preserve">          6246 - REPLACEMENTS</v>
      </c>
      <c r="C293" s="11"/>
      <c r="D293" s="6">
        <v>25.87</v>
      </c>
      <c r="E293" s="2"/>
      <c r="F293" s="7">
        <f t="shared" si="112"/>
        <v>7.4624078177372767E-6</v>
      </c>
      <c r="G293" s="2"/>
      <c r="H293" s="6"/>
      <c r="I293" s="2"/>
      <c r="J293" s="7">
        <f t="shared" si="113"/>
        <v>0</v>
      </c>
      <c r="K293" s="2"/>
      <c r="L293" s="6">
        <f t="shared" si="114"/>
        <v>25.87</v>
      </c>
      <c r="M293" s="2"/>
      <c r="N293" s="7">
        <f t="shared" si="115"/>
        <v>0</v>
      </c>
      <c r="O293" s="11"/>
      <c r="P293" s="6">
        <v>25.87</v>
      </c>
      <c r="Q293" s="2"/>
      <c r="R293" s="7">
        <f t="shared" si="116"/>
        <v>1.0266521721529254E-6</v>
      </c>
      <c r="S293" s="2"/>
      <c r="T293" s="6">
        <v>2400</v>
      </c>
      <c r="U293" s="2"/>
      <c r="V293" s="7">
        <f t="shared" si="117"/>
        <v>9.131634691815305E-5</v>
      </c>
      <c r="W293" s="2"/>
      <c r="X293" s="6">
        <f t="shared" si="118"/>
        <v>-2374.13</v>
      </c>
      <c r="Y293" s="2"/>
      <c r="Z293" s="7">
        <f t="shared" si="119"/>
        <v>-0.98922083333333333</v>
      </c>
    </row>
    <row r="294" spans="1:26" s="24" customFormat="1" hidden="1" outlineLevel="2" x14ac:dyDescent="0.25">
      <c r="A294" s="25"/>
      <c r="B294" s="11" t="str">
        <f>CONCATENATE("          ", "6247", " - ", "STORE SUPPLIES")</f>
        <v xml:space="preserve">          6247 - STORE SUPPLIES</v>
      </c>
      <c r="C294" s="11"/>
      <c r="D294" s="6">
        <v>14044.3</v>
      </c>
      <c r="E294" s="2"/>
      <c r="F294" s="7">
        <f t="shared" si="112"/>
        <v>4.0511903407285509E-3</v>
      </c>
      <c r="G294" s="2"/>
      <c r="H294" s="6">
        <v>17022.3</v>
      </c>
      <c r="I294" s="2"/>
      <c r="J294" s="7">
        <f t="shared" si="113"/>
        <v>4.9870744221687116E-3</v>
      </c>
      <c r="K294" s="2"/>
      <c r="L294" s="6">
        <f t="shared" si="114"/>
        <v>-2978</v>
      </c>
      <c r="M294" s="2"/>
      <c r="N294" s="7">
        <f t="shared" si="115"/>
        <v>-0.17494698131274858</v>
      </c>
      <c r="O294" s="11"/>
      <c r="P294" s="6">
        <v>65104.84</v>
      </c>
      <c r="Q294" s="2"/>
      <c r="R294" s="7">
        <f t="shared" si="116"/>
        <v>2.5836886510888541E-3</v>
      </c>
      <c r="S294" s="2"/>
      <c r="T294" s="6">
        <v>130057.31999999999</v>
      </c>
      <c r="U294" s="2"/>
      <c r="V294" s="7">
        <f t="shared" si="117"/>
        <v>4.9484830634855181E-3</v>
      </c>
      <c r="W294" s="2"/>
      <c r="X294" s="6">
        <f t="shared" si="118"/>
        <v>-64952.479999999996</v>
      </c>
      <c r="Y294" s="2"/>
      <c r="Z294" s="7">
        <f t="shared" si="119"/>
        <v>-0.49941425826704716</v>
      </c>
    </row>
    <row r="295" spans="1:26" s="24" customFormat="1" hidden="1" outlineLevel="2" x14ac:dyDescent="0.25">
      <c r="A295" s="25"/>
      <c r="B295" s="11" t="str">
        <f>CONCATENATE("          ", "6248", " - ", "UNIFORMS")</f>
        <v xml:space="preserve">          6248 - UNIFORMS</v>
      </c>
      <c r="C295" s="11"/>
      <c r="D295" s="6">
        <v>458.07</v>
      </c>
      <c r="E295" s="2"/>
      <c r="F295" s="7">
        <f t="shared" si="112"/>
        <v>1.3213394468770444E-4</v>
      </c>
      <c r="G295" s="2"/>
      <c r="H295" s="6">
        <v>1625</v>
      </c>
      <c r="I295" s="2"/>
      <c r="J295" s="7">
        <f t="shared" si="113"/>
        <v>4.7608113686306531E-4</v>
      </c>
      <c r="K295" s="2"/>
      <c r="L295" s="6">
        <f t="shared" si="114"/>
        <v>-1166.93</v>
      </c>
      <c r="M295" s="2"/>
      <c r="N295" s="7">
        <f t="shared" si="115"/>
        <v>-0.71811076923076922</v>
      </c>
      <c r="O295" s="11"/>
      <c r="P295" s="6">
        <v>2644.43</v>
      </c>
      <c r="Q295" s="2"/>
      <c r="R295" s="7">
        <f t="shared" si="116"/>
        <v>1.0494432947840589E-4</v>
      </c>
      <c r="S295" s="2"/>
      <c r="T295" s="6">
        <v>33900</v>
      </c>
      <c r="U295" s="2"/>
      <c r="V295" s="7">
        <f t="shared" si="117"/>
        <v>1.2898434002189118E-3</v>
      </c>
      <c r="W295" s="2"/>
      <c r="X295" s="6">
        <f t="shared" si="118"/>
        <v>-31255.57</v>
      </c>
      <c r="Y295" s="2"/>
      <c r="Z295" s="7">
        <f t="shared" si="119"/>
        <v>-0.92199321533923306</v>
      </c>
    </row>
    <row r="296" spans="1:26" s="27" customFormat="1" outlineLevel="1" collapsed="1" x14ac:dyDescent="0.25">
      <c r="A296" s="26"/>
      <c r="B296" s="13" t="str">
        <f>CONCATENATE("     ","Telephone/Data Lines                              ")</f>
        <v xml:space="preserve">     Telephone/Data Lines                              </v>
      </c>
      <c r="C296" s="13"/>
      <c r="D296" s="1">
        <f>SUM(OSRRefD22_23x_0)</f>
        <v>6010.07</v>
      </c>
      <c r="E296" s="1"/>
      <c r="F296" s="5">
        <f t="shared" ref="F296:F298" si="120">IF(D$12=0,0,D296/D$12)</f>
        <v>1.7336526228507254E-3</v>
      </c>
      <c r="G296" s="1"/>
      <c r="H296" s="1">
        <f>SUM(OSRRefH22_23x_0)</f>
        <v>6914</v>
      </c>
      <c r="I296" s="1"/>
      <c r="J296" s="5">
        <f t="shared" ref="J296:J298" si="121">IF(H$12=0,0,H296/H$12)</f>
        <v>2.0256153724746051E-3</v>
      </c>
      <c r="K296" s="1"/>
      <c r="L296" s="1">
        <f t="shared" ref="L296:L298" si="122">+D296-H296</f>
        <v>-903.93000000000029</v>
      </c>
      <c r="M296" s="1"/>
      <c r="N296" s="5">
        <f t="shared" ref="N296:N298" si="123">IF(H296=0,0,L296/H296)</f>
        <v>-0.13073908012727803</v>
      </c>
      <c r="O296" s="13"/>
      <c r="P296" s="1">
        <f>SUM(OSRRefP22_23x_0)</f>
        <v>48045.91</v>
      </c>
      <c r="Q296" s="1"/>
      <c r="R296" s="5">
        <f t="shared" ref="R296:R298" si="124">IF(P$12=0,0,P296/P$12)</f>
        <v>1.9067042081393104E-3</v>
      </c>
      <c r="S296" s="1"/>
      <c r="T296" s="1">
        <f>SUM(OSRRefT22_23x_0)</f>
        <v>53318</v>
      </c>
      <c r="U296" s="1"/>
      <c r="V296" s="5">
        <f t="shared" ref="V296:V298" si="125">IF(T$12=0,0,T296/T$12)</f>
        <v>2.028668743742535E-3</v>
      </c>
      <c r="W296" s="1"/>
      <c r="X296" s="1">
        <f t="shared" ref="X296:X298" si="126">+P296-T296</f>
        <v>-5272.0899999999965</v>
      </c>
      <c r="Y296" s="1"/>
      <c r="Z296" s="5">
        <f t="shared" ref="Z296:Z298" si="127">IF(T296=0,0,X296/T296)</f>
        <v>-9.888011553321574E-2</v>
      </c>
    </row>
    <row r="297" spans="1:26" s="24" customFormat="1" hidden="1" outlineLevel="2" x14ac:dyDescent="0.25">
      <c r="A297" s="25"/>
      <c r="B297" s="11" t="str">
        <f>CONCATENATE("          ", "6303", " - ", "DATA PHONE LINES")</f>
        <v xml:space="preserve">          6303 - DATA PHONE LINES</v>
      </c>
      <c r="C297" s="11"/>
      <c r="D297" s="6">
        <v>295</v>
      </c>
      <c r="E297" s="2"/>
      <c r="F297" s="7">
        <f t="shared" si="120"/>
        <v>8.5095102676169173E-5</v>
      </c>
      <c r="G297" s="2"/>
      <c r="H297" s="6">
        <v>2326</v>
      </c>
      <c r="I297" s="2"/>
      <c r="J297" s="7">
        <f t="shared" si="121"/>
        <v>6.8145521498060913E-4</v>
      </c>
      <c r="K297" s="2"/>
      <c r="L297" s="6">
        <f t="shared" si="122"/>
        <v>-2031</v>
      </c>
      <c r="M297" s="2"/>
      <c r="N297" s="7">
        <f t="shared" si="123"/>
        <v>-0.87317282889079961</v>
      </c>
      <c r="O297" s="11"/>
      <c r="P297" s="6">
        <v>2360</v>
      </c>
      <c r="Q297" s="2"/>
      <c r="R297" s="7">
        <f t="shared" si="124"/>
        <v>9.3656711491337606E-5</v>
      </c>
      <c r="S297" s="2"/>
      <c r="T297" s="6">
        <v>15739</v>
      </c>
      <c r="U297" s="2"/>
      <c r="V297" s="7">
        <f t="shared" si="125"/>
        <v>5.9884499339367121E-4</v>
      </c>
      <c r="W297" s="2"/>
      <c r="X297" s="6">
        <f t="shared" si="126"/>
        <v>-13379</v>
      </c>
      <c r="Y297" s="2"/>
      <c r="Z297" s="7">
        <f t="shared" si="127"/>
        <v>-0.8500540059724252</v>
      </c>
    </row>
    <row r="298" spans="1:26" s="24" customFormat="1" hidden="1" outlineLevel="2" x14ac:dyDescent="0.25">
      <c r="A298" s="25"/>
      <c r="B298" s="11" t="str">
        <f>CONCATENATE("          ", "6309", " - ", "TELEPHONE")</f>
        <v xml:space="preserve">          6309 - TELEPHONE</v>
      </c>
      <c r="C298" s="11"/>
      <c r="D298" s="6">
        <v>5715.07</v>
      </c>
      <c r="E298" s="2"/>
      <c r="F298" s="7">
        <f t="shared" si="120"/>
        <v>1.6485575201745564E-3</v>
      </c>
      <c r="G298" s="2"/>
      <c r="H298" s="6">
        <v>4588</v>
      </c>
      <c r="I298" s="2"/>
      <c r="J298" s="7">
        <f t="shared" si="121"/>
        <v>1.344160157493996E-3</v>
      </c>
      <c r="K298" s="2"/>
      <c r="L298" s="6">
        <f t="shared" si="122"/>
        <v>1127.0699999999997</v>
      </c>
      <c r="M298" s="2"/>
      <c r="N298" s="7">
        <f t="shared" si="123"/>
        <v>0.24565605928509149</v>
      </c>
      <c r="O298" s="11"/>
      <c r="P298" s="6">
        <v>45685.91</v>
      </c>
      <c r="Q298" s="2"/>
      <c r="R298" s="7">
        <f t="shared" si="124"/>
        <v>1.8130474966479729E-3</v>
      </c>
      <c r="S298" s="2"/>
      <c r="T298" s="6">
        <v>37579</v>
      </c>
      <c r="U298" s="2"/>
      <c r="V298" s="7">
        <f t="shared" si="125"/>
        <v>1.429823750348864E-3</v>
      </c>
      <c r="W298" s="2"/>
      <c r="X298" s="6">
        <f t="shared" si="126"/>
        <v>8106.9100000000035</v>
      </c>
      <c r="Y298" s="2"/>
      <c r="Z298" s="7">
        <f t="shared" si="127"/>
        <v>0.21572979589664448</v>
      </c>
    </row>
    <row r="299" spans="1:26" s="27" customFormat="1" outlineLevel="1" collapsed="1" x14ac:dyDescent="0.25">
      <c r="A299" s="26"/>
      <c r="B299" s="13" t="str">
        <f>CONCATENATE("     ","Training                                          ")</f>
        <v xml:space="preserve">     Training                                          </v>
      </c>
      <c r="C299" s="13"/>
      <c r="D299" s="1">
        <f>SUM(OSRRefD22_24x_0)</f>
        <v>6883.95</v>
      </c>
      <c r="E299" s="1"/>
      <c r="F299" s="5">
        <f t="shared" ref="F299:F304" si="128">IF(D$12=0,0,D299/D$12)</f>
        <v>1.9857302781953043E-3</v>
      </c>
      <c r="G299" s="1"/>
      <c r="H299" s="1">
        <f>SUM(OSRRefH22_24x_0)</f>
        <v>5975</v>
      </c>
      <c r="I299" s="1"/>
      <c r="J299" s="5">
        <f t="shared" ref="J299:J304" si="129">IF(H$12=0,0,H299/H$12)</f>
        <v>1.7505137186195785E-3</v>
      </c>
      <c r="K299" s="1"/>
      <c r="L299" s="1">
        <f t="shared" ref="L299:L304" si="130">+D299-H299</f>
        <v>908.94999999999982</v>
      </c>
      <c r="M299" s="1"/>
      <c r="N299" s="5">
        <f t="shared" ref="N299:N304" si="131">IF(H299=0,0,L299/H299)</f>
        <v>0.15212552301255228</v>
      </c>
      <c r="O299" s="13"/>
      <c r="P299" s="1">
        <f>SUM(OSRRefP22_24x_0)</f>
        <v>25609.670000000002</v>
      </c>
      <c r="Q299" s="1"/>
      <c r="R299" s="5">
        <f t="shared" ref="R299:R304" si="132">IF(P$12=0,0,P299/P$12)</f>
        <v>1.0163209638043916E-3</v>
      </c>
      <c r="S299" s="1"/>
      <c r="T299" s="1">
        <f>SUM(OSRRefT22_24x_0)</f>
        <v>49167</v>
      </c>
      <c r="U299" s="1"/>
      <c r="V299" s="5">
        <f t="shared" ref="V299:V304" si="133">IF(T$12=0,0,T299/T$12)</f>
        <v>1.870729512052013E-3</v>
      </c>
      <c r="W299" s="1"/>
      <c r="X299" s="1">
        <f t="shared" ref="X299:X304" si="134">+P299-T299</f>
        <v>-23557.329999999998</v>
      </c>
      <c r="Y299" s="1"/>
      <c r="Z299" s="5">
        <f t="shared" ref="Z299:Z304" si="135">IF(T299=0,0,X299/T299)</f>
        <v>-0.47912888726178121</v>
      </c>
    </row>
    <row r="300" spans="1:26" s="24" customFormat="1" hidden="1" outlineLevel="2" x14ac:dyDescent="0.25">
      <c r="A300" s="25"/>
      <c r="B300" s="11" t="str">
        <f>CONCATENATE("          ", "6376", " - ", "TRAINING")</f>
        <v xml:space="preserve">          6376 - TRAINING</v>
      </c>
      <c r="C300" s="11"/>
      <c r="D300" s="6">
        <v>6883.95</v>
      </c>
      <c r="E300" s="2"/>
      <c r="F300" s="7">
        <f t="shared" si="128"/>
        <v>1.9857302781953043E-3</v>
      </c>
      <c r="G300" s="2"/>
      <c r="H300" s="6">
        <v>5975</v>
      </c>
      <c r="I300" s="2"/>
      <c r="J300" s="7">
        <f t="shared" si="129"/>
        <v>1.7505137186195785E-3</v>
      </c>
      <c r="K300" s="2"/>
      <c r="L300" s="6">
        <f t="shared" si="130"/>
        <v>908.94999999999982</v>
      </c>
      <c r="M300" s="2"/>
      <c r="N300" s="7">
        <f t="shared" si="131"/>
        <v>0.15212552301255228</v>
      </c>
      <c r="O300" s="11"/>
      <c r="P300" s="6">
        <v>25609.670000000002</v>
      </c>
      <c r="Q300" s="2"/>
      <c r="R300" s="7">
        <f t="shared" si="132"/>
        <v>1.0163209638043916E-3</v>
      </c>
      <c r="S300" s="2"/>
      <c r="T300" s="6">
        <v>49167</v>
      </c>
      <c r="U300" s="2"/>
      <c r="V300" s="7">
        <f t="shared" si="133"/>
        <v>1.870729512052013E-3</v>
      </c>
      <c r="W300" s="2"/>
      <c r="X300" s="6">
        <f t="shared" si="134"/>
        <v>-23557.329999999998</v>
      </c>
      <c r="Y300" s="2"/>
      <c r="Z300" s="7">
        <f t="shared" si="135"/>
        <v>-0.47912888726178121</v>
      </c>
    </row>
    <row r="301" spans="1:26" s="27" customFormat="1" outlineLevel="1" collapsed="1" x14ac:dyDescent="0.25">
      <c r="A301" s="26"/>
      <c r="B301" s="13" t="str">
        <f>CONCATENATE("     ","Travel                                            ")</f>
        <v xml:space="preserve">     Travel                                            </v>
      </c>
      <c r="C301" s="13"/>
      <c r="D301" s="1">
        <f>SUM(OSRRefD22_25x_0)</f>
        <v>247.62</v>
      </c>
      <c r="E301" s="1"/>
      <c r="F301" s="5">
        <f t="shared" si="128"/>
        <v>7.1427963812450889E-5</v>
      </c>
      <c r="G301" s="1"/>
      <c r="H301" s="1">
        <f>SUM(OSRRefH22_25x_0)</f>
        <v>3285</v>
      </c>
      <c r="I301" s="1"/>
      <c r="J301" s="5">
        <f t="shared" si="129"/>
        <v>9.6241632898164272E-4</v>
      </c>
      <c r="K301" s="1"/>
      <c r="L301" s="1">
        <f t="shared" si="130"/>
        <v>-3037.38</v>
      </c>
      <c r="M301" s="1"/>
      <c r="N301" s="5">
        <f t="shared" si="131"/>
        <v>-0.9246210045662101</v>
      </c>
      <c r="O301" s="13"/>
      <c r="P301" s="1">
        <f>SUM(OSRRefP22_25x_0)</f>
        <v>6003.21</v>
      </c>
      <c r="Q301" s="1"/>
      <c r="R301" s="5">
        <f t="shared" si="132"/>
        <v>2.3823767245420037E-4</v>
      </c>
      <c r="S301" s="1"/>
      <c r="T301" s="1">
        <f>SUM(OSRRefT22_25x_0)</f>
        <v>17015</v>
      </c>
      <c r="U301" s="1"/>
      <c r="V301" s="5">
        <f t="shared" si="133"/>
        <v>6.4739485117182262E-4</v>
      </c>
      <c r="W301" s="1"/>
      <c r="X301" s="1">
        <f t="shared" si="134"/>
        <v>-11011.79</v>
      </c>
      <c r="Y301" s="1"/>
      <c r="Z301" s="5">
        <f t="shared" si="135"/>
        <v>-0.64718131060828687</v>
      </c>
    </row>
    <row r="302" spans="1:26" s="24" customFormat="1" hidden="1" outlineLevel="2" x14ac:dyDescent="0.25">
      <c r="A302" s="25"/>
      <c r="B302" s="11" t="str">
        <f>CONCATENATE("          ", "6292", " - ", "TRAVEL/CONFERENCE")</f>
        <v xml:space="preserve">          6292 - TRAVEL/CONFERENCE</v>
      </c>
      <c r="C302" s="11"/>
      <c r="D302" s="6">
        <v>136.79</v>
      </c>
      <c r="E302" s="2"/>
      <c r="F302" s="7">
        <f t="shared" si="128"/>
        <v>3.9458166423976882E-5</v>
      </c>
      <c r="G302" s="2"/>
      <c r="H302" s="6">
        <v>3000</v>
      </c>
      <c r="I302" s="2"/>
      <c r="J302" s="7">
        <f t="shared" si="129"/>
        <v>8.7891902190104362E-4</v>
      </c>
      <c r="K302" s="2"/>
      <c r="L302" s="6">
        <f t="shared" si="130"/>
        <v>-2863.21</v>
      </c>
      <c r="M302" s="2"/>
      <c r="N302" s="7">
        <f t="shared" si="131"/>
        <v>-0.95440333333333338</v>
      </c>
      <c r="O302" s="11"/>
      <c r="P302" s="6">
        <v>4365.63</v>
      </c>
      <c r="Q302" s="2"/>
      <c r="R302" s="7">
        <f t="shared" si="132"/>
        <v>1.7325023279149499E-4</v>
      </c>
      <c r="S302" s="2"/>
      <c r="T302" s="6">
        <v>14800</v>
      </c>
      <c r="U302" s="2"/>
      <c r="V302" s="7">
        <f t="shared" si="133"/>
        <v>5.6311747266194379E-4</v>
      </c>
      <c r="W302" s="2"/>
      <c r="X302" s="6">
        <f t="shared" si="134"/>
        <v>-10434.369999999999</v>
      </c>
      <c r="Y302" s="2"/>
      <c r="Z302" s="7">
        <f t="shared" si="135"/>
        <v>-0.7050249999999999</v>
      </c>
    </row>
    <row r="303" spans="1:26" s="24" customFormat="1" hidden="1" outlineLevel="2" x14ac:dyDescent="0.25">
      <c r="A303" s="25"/>
      <c r="B303" s="11" t="str">
        <f>CONCATENATE("          ", "6294", " - ", "TRAVEL OPERATIONAL")</f>
        <v xml:space="preserve">          6294 - TRAVEL OPERATIONAL</v>
      </c>
      <c r="C303" s="11"/>
      <c r="D303" s="6">
        <v>35.29</v>
      </c>
      <c r="E303" s="2"/>
      <c r="F303" s="7">
        <f t="shared" si="128"/>
        <v>1.017968194387122E-5</v>
      </c>
      <c r="G303" s="2"/>
      <c r="H303" s="6">
        <v>75</v>
      </c>
      <c r="I303" s="2"/>
      <c r="J303" s="7">
        <f t="shared" si="129"/>
        <v>2.1972975547526091E-5</v>
      </c>
      <c r="K303" s="2"/>
      <c r="L303" s="6">
        <f t="shared" si="130"/>
        <v>-39.71</v>
      </c>
      <c r="M303" s="2"/>
      <c r="N303" s="7">
        <f t="shared" si="131"/>
        <v>-0.52946666666666664</v>
      </c>
      <c r="O303" s="11"/>
      <c r="P303" s="6">
        <v>392.97</v>
      </c>
      <c r="Q303" s="2"/>
      <c r="R303" s="7">
        <f t="shared" si="132"/>
        <v>1.5595033014724976E-5</v>
      </c>
      <c r="S303" s="2"/>
      <c r="T303" s="6">
        <v>785</v>
      </c>
      <c r="U303" s="2"/>
      <c r="V303" s="7">
        <f t="shared" si="133"/>
        <v>2.9868055137812562E-5</v>
      </c>
      <c r="W303" s="2"/>
      <c r="X303" s="6">
        <f t="shared" si="134"/>
        <v>-392.03</v>
      </c>
      <c r="Y303" s="2"/>
      <c r="Z303" s="7">
        <f t="shared" si="135"/>
        <v>-0.49940127388535027</v>
      </c>
    </row>
    <row r="304" spans="1:26" s="24" customFormat="1" hidden="1" outlineLevel="2" x14ac:dyDescent="0.25">
      <c r="A304" s="25"/>
      <c r="B304" s="11" t="str">
        <f>CONCATENATE("          ", "6298", " - ", "VEHICLE MILEAGE")</f>
        <v xml:space="preserve">          6298 - VEHICLE MILEAGE</v>
      </c>
      <c r="C304" s="11"/>
      <c r="D304" s="6">
        <v>75.540000000000006</v>
      </c>
      <c r="E304" s="2"/>
      <c r="F304" s="7">
        <f t="shared" si="128"/>
        <v>2.1790115444602777E-5</v>
      </c>
      <c r="G304" s="2"/>
      <c r="H304" s="6">
        <v>210</v>
      </c>
      <c r="I304" s="2"/>
      <c r="J304" s="7">
        <f t="shared" si="129"/>
        <v>6.1524331533073051E-5</v>
      </c>
      <c r="K304" s="2"/>
      <c r="L304" s="6">
        <f t="shared" si="130"/>
        <v>-134.45999999999998</v>
      </c>
      <c r="M304" s="2"/>
      <c r="N304" s="7">
        <f t="shared" si="131"/>
        <v>-0.64028571428571424</v>
      </c>
      <c r="O304" s="11"/>
      <c r="P304" s="6">
        <v>1244.6099999999999</v>
      </c>
      <c r="Q304" s="2"/>
      <c r="R304" s="7">
        <f t="shared" si="132"/>
        <v>4.9392406647980375E-5</v>
      </c>
      <c r="S304" s="2"/>
      <c r="T304" s="6">
        <v>1430</v>
      </c>
      <c r="U304" s="2"/>
      <c r="V304" s="7">
        <f t="shared" si="133"/>
        <v>5.4409323372066192E-5</v>
      </c>
      <c r="W304" s="2"/>
      <c r="X304" s="6">
        <f t="shared" si="134"/>
        <v>-185.3900000000001</v>
      </c>
      <c r="Y304" s="2"/>
      <c r="Z304" s="7">
        <f t="shared" si="135"/>
        <v>-0.12964335664335672</v>
      </c>
    </row>
    <row r="305" spans="1:26" s="27" customFormat="1" outlineLevel="1" collapsed="1" x14ac:dyDescent="0.25">
      <c r="A305" s="26"/>
      <c r="B305" s="13" t="str">
        <f>CONCATENATE("     ","Utilities                                         ")</f>
        <v xml:space="preserve">     Utilities                                         </v>
      </c>
      <c r="C305" s="13"/>
      <c r="D305" s="1">
        <f>SUM(OSRRefD22_26x_0)</f>
        <v>25234.969999999998</v>
      </c>
      <c r="E305" s="1"/>
      <c r="F305" s="5">
        <f t="shared" ref="F305:F306" si="136">IF(D$12=0,0,D305/D$12)</f>
        <v>7.2792283497628762E-3</v>
      </c>
      <c r="G305" s="1"/>
      <c r="H305" s="1">
        <f>SUM(OSRRefH22_26x_0)</f>
        <v>26590</v>
      </c>
      <c r="I305" s="1"/>
      <c r="J305" s="5">
        <f t="shared" ref="J305:J306" si="137">IF(H$12=0,0,H305/H$12)</f>
        <v>7.7901522641162495E-3</v>
      </c>
      <c r="K305" s="1"/>
      <c r="L305" s="1">
        <f t="shared" ref="L305:L306" si="138">+D305-H305</f>
        <v>-1355.0300000000025</v>
      </c>
      <c r="M305" s="1"/>
      <c r="N305" s="5">
        <f t="shared" ref="N305:N306" si="139">IF(H305=0,0,L305/H305)</f>
        <v>-5.0960135389244168E-2</v>
      </c>
      <c r="O305" s="13"/>
      <c r="P305" s="1">
        <f>SUM(OSRRefP22_26x_0)</f>
        <v>182592.91</v>
      </c>
      <c r="Q305" s="1"/>
      <c r="R305" s="5">
        <f t="shared" ref="R305:R306" si="140">IF(P$12=0,0,P305/P$12)</f>
        <v>7.246208259421091E-3</v>
      </c>
      <c r="S305" s="1"/>
      <c r="T305" s="1">
        <f>SUM(OSRRefT22_26x_0)</f>
        <v>207303</v>
      </c>
      <c r="U305" s="1"/>
      <c r="V305" s="5">
        <f t="shared" ref="V305:V306" si="141">IF(T$12=0,0,T305/T$12)</f>
        <v>7.8875636104891178E-3</v>
      </c>
      <c r="W305" s="1"/>
      <c r="X305" s="1">
        <f t="shared" ref="X305:X306" si="142">+P305-T305</f>
        <v>-24710.089999999997</v>
      </c>
      <c r="Y305" s="1"/>
      <c r="Z305" s="5">
        <f t="shared" ref="Z305:Z306" si="143">IF(T305=0,0,X305/T305)</f>
        <v>-0.11919793731880386</v>
      </c>
    </row>
    <row r="306" spans="1:26" s="24" customFormat="1" hidden="1" outlineLevel="2" x14ac:dyDescent="0.25">
      <c r="A306" s="25"/>
      <c r="B306" s="11" t="str">
        <f>CONCATENATE("          ", "6274", " - ", "UTILITIES")</f>
        <v xml:space="preserve">          6274 - UTILITIES</v>
      </c>
      <c r="C306" s="11"/>
      <c r="D306" s="6">
        <v>25234.969999999998</v>
      </c>
      <c r="E306" s="2"/>
      <c r="F306" s="7">
        <f t="shared" si="136"/>
        <v>7.2792283497628762E-3</v>
      </c>
      <c r="G306" s="2"/>
      <c r="H306" s="6">
        <v>26590</v>
      </c>
      <c r="I306" s="2"/>
      <c r="J306" s="7">
        <f t="shared" si="137"/>
        <v>7.7901522641162495E-3</v>
      </c>
      <c r="K306" s="2"/>
      <c r="L306" s="6">
        <f t="shared" si="138"/>
        <v>-1355.0300000000025</v>
      </c>
      <c r="M306" s="2"/>
      <c r="N306" s="7">
        <f t="shared" si="139"/>
        <v>-5.0960135389244168E-2</v>
      </c>
      <c r="O306" s="11"/>
      <c r="P306" s="6">
        <v>182592.91</v>
      </c>
      <c r="Q306" s="2"/>
      <c r="R306" s="7">
        <f t="shared" si="140"/>
        <v>7.246208259421091E-3</v>
      </c>
      <c r="S306" s="2"/>
      <c r="T306" s="6">
        <v>207303</v>
      </c>
      <c r="U306" s="2"/>
      <c r="V306" s="7">
        <f t="shared" si="141"/>
        <v>7.8875636104891178E-3</v>
      </c>
      <c r="W306" s="2"/>
      <c r="X306" s="6">
        <f t="shared" si="142"/>
        <v>-24710.089999999997</v>
      </c>
      <c r="Y306" s="2"/>
      <c r="Z306" s="7">
        <f t="shared" si="143"/>
        <v>-0.11919793731880386</v>
      </c>
    </row>
    <row r="307" spans="1:26" s="53" customFormat="1" x14ac:dyDescent="0.25">
      <c r="A307" s="36"/>
      <c r="B307" s="36"/>
      <c r="C307" s="36"/>
      <c r="D307" s="1"/>
      <c r="E307" s="1"/>
      <c r="F307" s="5"/>
      <c r="G307" s="1"/>
      <c r="H307" s="1"/>
      <c r="I307" s="1"/>
      <c r="J307" s="5"/>
      <c r="K307" s="1"/>
      <c r="L307" s="1"/>
      <c r="M307" s="1"/>
      <c r="N307" s="5"/>
      <c r="O307" s="36"/>
      <c r="P307" s="1"/>
      <c r="Q307" s="1"/>
      <c r="R307" s="5"/>
      <c r="S307" s="1"/>
      <c r="T307" s="1"/>
      <c r="U307" s="1"/>
      <c r="V307" s="5"/>
      <c r="W307" s="1"/>
      <c r="X307" s="1"/>
      <c r="Y307" s="1"/>
      <c r="Z307" s="5"/>
    </row>
    <row r="308" spans="1:26" s="23" customFormat="1" collapsed="1" x14ac:dyDescent="0.25">
      <c r="A308" s="10"/>
      <c r="B308" s="29" t="s">
        <v>0</v>
      </c>
      <c r="C308" s="10"/>
      <c r="D308" s="4">
        <f>SUM(OSRRefD25x_0)</f>
        <v>200445.27</v>
      </c>
      <c r="E308" s="4"/>
      <c r="F308" s="12">
        <f t="shared" ref="F308:F321" si="144">IF(D$12=0,0,D308/D$12)</f>
        <v>5.7820036717296443E-2</v>
      </c>
      <c r="G308" s="4"/>
      <c r="H308" s="4">
        <f>SUM(OSRRefH25x_0)</f>
        <v>171397</v>
      </c>
      <c r="I308" s="4"/>
      <c r="J308" s="12">
        <f t="shared" ref="J308:J321" si="145">IF(H$12=0,0,H308/H$12)</f>
        <v>5.0214694532257721E-2</v>
      </c>
      <c r="K308" s="4"/>
      <c r="L308" s="4">
        <f t="shared" ref="L308:L321" si="146">+D308-H308</f>
        <v>29048.26999999999</v>
      </c>
      <c r="M308" s="4"/>
      <c r="N308" s="12">
        <f t="shared" ref="N308:N321" si="147">IF(H308=0,0,L308/H308)</f>
        <v>0.16947945413280274</v>
      </c>
      <c r="O308" s="10"/>
      <c r="P308" s="4">
        <f>SUM(OSRRefP25x_0)</f>
        <v>1277568.4700000002</v>
      </c>
      <c r="Q308" s="4"/>
      <c r="R308" s="12">
        <f t="shared" ref="R308:R321" si="148">IF(P$12=0,0,P308/P$12)</f>
        <v>5.0700365086957466E-2</v>
      </c>
      <c r="S308" s="4"/>
      <c r="T308" s="4">
        <f>SUM(OSRRefT25x_0)</f>
        <v>1204346</v>
      </c>
      <c r="U308" s="4"/>
      <c r="V308" s="12">
        <f t="shared" ref="V308:V321" si="149">IF(T$12=0,0,T308/T$12)</f>
        <v>4.5823532143954147E-2</v>
      </c>
      <c r="W308" s="4"/>
      <c r="X308" s="4">
        <f t="shared" ref="X308:X321" si="150">+P308-T308</f>
        <v>73222.470000000205</v>
      </c>
      <c r="Y308" s="4"/>
      <c r="Z308" s="12">
        <f t="shared" ref="Z308:Z321" si="151">IF(T308=0,0,X308/T308)</f>
        <v>6.0798532979725269E-2</v>
      </c>
    </row>
    <row r="309" spans="1:26" s="24" customFormat="1" hidden="1" outlineLevel="1" x14ac:dyDescent="0.25">
      <c r="A309" s="44"/>
      <c r="B309" s="11" t="str">
        <f>CONCATENATE("          ", "4098", " - ", "TAXABLE SALES-GRAD RENTALS")</f>
        <v xml:space="preserve">          4098 - TAXABLE SALES-GRAD RENTALS</v>
      </c>
      <c r="C309" s="11"/>
      <c r="D309" s="2">
        <f>--110</f>
        <v>110</v>
      </c>
      <c r="E309" s="2"/>
      <c r="F309" s="19">
        <f t="shared" si="144"/>
        <v>3.1730377269080027E-5</v>
      </c>
      <c r="G309" s="2"/>
      <c r="H309" s="2"/>
      <c r="I309" s="2"/>
      <c r="J309" s="19">
        <f t="shared" si="145"/>
        <v>0</v>
      </c>
      <c r="K309" s="2"/>
      <c r="L309" s="2">
        <f t="shared" si="146"/>
        <v>110</v>
      </c>
      <c r="M309" s="2"/>
      <c r="N309" s="19">
        <f t="shared" si="147"/>
        <v>0</v>
      </c>
      <c r="O309" s="11"/>
      <c r="P309" s="2">
        <f>--2056.85</f>
        <v>2056.85</v>
      </c>
      <c r="Q309" s="2"/>
      <c r="R309" s="19">
        <f t="shared" si="148"/>
        <v>8.162618941989735E-5</v>
      </c>
      <c r="S309" s="2"/>
      <c r="T309" s="2"/>
      <c r="U309" s="2"/>
      <c r="V309" s="19">
        <f t="shared" si="149"/>
        <v>0</v>
      </c>
      <c r="W309" s="2"/>
      <c r="X309" s="2">
        <f t="shared" si="150"/>
        <v>2056.85</v>
      </c>
      <c r="Y309" s="2"/>
      <c r="Z309" s="19">
        <f t="shared" si="151"/>
        <v>0</v>
      </c>
    </row>
    <row r="310" spans="1:26" s="24" customFormat="1" hidden="1" outlineLevel="1" x14ac:dyDescent="0.25">
      <c r="A310" s="44"/>
      <c r="B310" s="11" t="str">
        <f>CONCATENATE("          ", "4187", " - ", "NON-TAXABLE SALES-COMPUTER REP")</f>
        <v xml:space="preserve">          4187 - NON-TAXABLE SALES-COMPUTER REP</v>
      </c>
      <c r="C310" s="11"/>
      <c r="D310" s="2">
        <f>--681.93</f>
        <v>681.93</v>
      </c>
      <c r="E310" s="2"/>
      <c r="F310" s="19">
        <f t="shared" si="144"/>
        <v>1.9670814701003403E-4</v>
      </c>
      <c r="G310" s="2"/>
      <c r="H310" s="2"/>
      <c r="I310" s="2"/>
      <c r="J310" s="19">
        <f t="shared" si="145"/>
        <v>0</v>
      </c>
      <c r="K310" s="2"/>
      <c r="L310" s="2">
        <f t="shared" si="146"/>
        <v>681.93</v>
      </c>
      <c r="M310" s="2"/>
      <c r="N310" s="19">
        <f t="shared" si="147"/>
        <v>0</v>
      </c>
      <c r="O310" s="11"/>
      <c r="P310" s="2">
        <f>--15792.86</f>
        <v>15792.86</v>
      </c>
      <c r="Q310" s="2"/>
      <c r="R310" s="19">
        <f t="shared" si="148"/>
        <v>6.2674039518774839E-4</v>
      </c>
      <c r="S310" s="2"/>
      <c r="T310" s="2"/>
      <c r="U310" s="2"/>
      <c r="V310" s="19">
        <f t="shared" si="149"/>
        <v>0</v>
      </c>
      <c r="W310" s="2"/>
      <c r="X310" s="2">
        <f t="shared" si="150"/>
        <v>15792.86</v>
      </c>
      <c r="Y310" s="2"/>
      <c r="Z310" s="19">
        <f t="shared" si="151"/>
        <v>0</v>
      </c>
    </row>
    <row r="311" spans="1:26" s="24" customFormat="1" hidden="1" outlineLevel="1" x14ac:dyDescent="0.25">
      <c r="A311" s="44"/>
      <c r="B311" s="11" t="str">
        <f>CONCATENATE("          ", "4197", " - ", "NON-TAXABLE SALES-RETURNED CHE")</f>
        <v xml:space="preserve">          4197 - NON-TAXABLE SALES-RETURNED CHE</v>
      </c>
      <c r="C311" s="11"/>
      <c r="D311" s="2">
        <f t="shared" ref="D311:D314" si="152">0</f>
        <v>0</v>
      </c>
      <c r="E311" s="2"/>
      <c r="F311" s="19">
        <f t="shared" si="144"/>
        <v>0</v>
      </c>
      <c r="G311" s="2"/>
      <c r="H311" s="2"/>
      <c r="I311" s="2"/>
      <c r="J311" s="19">
        <f t="shared" si="145"/>
        <v>0</v>
      </c>
      <c r="K311" s="2"/>
      <c r="L311" s="2">
        <f t="shared" si="146"/>
        <v>0</v>
      </c>
      <c r="M311" s="2"/>
      <c r="N311" s="19">
        <f t="shared" si="147"/>
        <v>0</v>
      </c>
      <c r="O311" s="11"/>
      <c r="P311" s="2">
        <f>--30</f>
        <v>30</v>
      </c>
      <c r="Q311" s="2"/>
      <c r="R311" s="19">
        <f t="shared" si="148"/>
        <v>1.1905514172627663E-6</v>
      </c>
      <c r="S311" s="2"/>
      <c r="T311" s="2"/>
      <c r="U311" s="2"/>
      <c r="V311" s="19">
        <f t="shared" si="149"/>
        <v>0</v>
      </c>
      <c r="W311" s="2"/>
      <c r="X311" s="2">
        <f t="shared" si="150"/>
        <v>30</v>
      </c>
      <c r="Y311" s="2"/>
      <c r="Z311" s="19">
        <f t="shared" si="151"/>
        <v>0</v>
      </c>
    </row>
    <row r="312" spans="1:26" s="24" customFormat="1" hidden="1" outlineLevel="1" x14ac:dyDescent="0.25">
      <c r="A312" s="44"/>
      <c r="B312" s="11" t="str">
        <f>CONCATENATE("          ", "4198", " - ", "NON-TAXABLE SALES-GRAD RENTALS")</f>
        <v xml:space="preserve">          4198 - NON-TAXABLE SALES-GRAD RENTALS</v>
      </c>
      <c r="C312" s="11"/>
      <c r="D312" s="2">
        <f t="shared" si="152"/>
        <v>0</v>
      </c>
      <c r="E312" s="2"/>
      <c r="F312" s="19">
        <f t="shared" si="144"/>
        <v>0</v>
      </c>
      <c r="G312" s="2"/>
      <c r="H312" s="2"/>
      <c r="I312" s="2"/>
      <c r="J312" s="19">
        <f t="shared" si="145"/>
        <v>0</v>
      </c>
      <c r="K312" s="2"/>
      <c r="L312" s="2">
        <f t="shared" si="146"/>
        <v>0</v>
      </c>
      <c r="M312" s="2"/>
      <c r="N312" s="19">
        <f t="shared" si="147"/>
        <v>0</v>
      </c>
      <c r="O312" s="11"/>
      <c r="P312" s="2">
        <f>--3732.1</f>
        <v>3732.1</v>
      </c>
      <c r="Q312" s="2"/>
      <c r="R312" s="19">
        <f t="shared" si="148"/>
        <v>1.4810856481221231E-4</v>
      </c>
      <c r="S312" s="2"/>
      <c r="T312" s="2"/>
      <c r="U312" s="2"/>
      <c r="V312" s="19">
        <f t="shared" si="149"/>
        <v>0</v>
      </c>
      <c r="W312" s="2"/>
      <c r="X312" s="2">
        <f t="shared" si="150"/>
        <v>3732.1</v>
      </c>
      <c r="Y312" s="2"/>
      <c r="Z312" s="19">
        <f t="shared" si="151"/>
        <v>0</v>
      </c>
    </row>
    <row r="313" spans="1:26" s="24" customFormat="1" hidden="1" outlineLevel="1" x14ac:dyDescent="0.25">
      <c r="A313" s="44"/>
      <c r="B313" s="11" t="str">
        <f>CONCATENATE("          ", "4387", " - ", "SALES RETURN NON TAXABLE-COMPU")</f>
        <v xml:space="preserve">          4387 - SALES RETURN NON TAXABLE-COMPU</v>
      </c>
      <c r="C313" s="11"/>
      <c r="D313" s="2">
        <f t="shared" si="152"/>
        <v>0</v>
      </c>
      <c r="E313" s="2"/>
      <c r="F313" s="19">
        <f t="shared" si="144"/>
        <v>0</v>
      </c>
      <c r="G313" s="2"/>
      <c r="H313" s="2"/>
      <c r="I313" s="2"/>
      <c r="J313" s="19">
        <f t="shared" si="145"/>
        <v>0</v>
      </c>
      <c r="K313" s="2"/>
      <c r="L313" s="2">
        <f t="shared" si="146"/>
        <v>0</v>
      </c>
      <c r="M313" s="2"/>
      <c r="N313" s="19">
        <f t="shared" si="147"/>
        <v>0</v>
      </c>
      <c r="O313" s="11"/>
      <c r="P313" s="2">
        <f>-7889</f>
        <v>-7889</v>
      </c>
      <c r="Q313" s="2"/>
      <c r="R313" s="19">
        <f t="shared" si="148"/>
        <v>-3.1307533769286543E-4</v>
      </c>
      <c r="S313" s="2"/>
      <c r="T313" s="2"/>
      <c r="U313" s="2"/>
      <c r="V313" s="19">
        <f t="shared" si="149"/>
        <v>0</v>
      </c>
      <c r="W313" s="2"/>
      <c r="X313" s="2">
        <f t="shared" si="150"/>
        <v>-7889</v>
      </c>
      <c r="Y313" s="2"/>
      <c r="Z313" s="19">
        <f t="shared" si="151"/>
        <v>0</v>
      </c>
    </row>
    <row r="314" spans="1:26" s="24" customFormat="1" hidden="1" outlineLevel="1" x14ac:dyDescent="0.25">
      <c r="A314" s="44"/>
      <c r="B314" s="11" t="str">
        <f>CONCATENATE("          ", "5087", " - ", "PURCHASES @ COST-COMPUTER REPA")</f>
        <v xml:space="preserve">          5087 - PURCHASES @ COST-COMPUTER REPA</v>
      </c>
      <c r="C314" s="11"/>
      <c r="D314" s="2">
        <f t="shared" si="152"/>
        <v>0</v>
      </c>
      <c r="E314" s="2"/>
      <c r="F314" s="19">
        <f t="shared" si="144"/>
        <v>0</v>
      </c>
      <c r="G314" s="2"/>
      <c r="H314" s="2"/>
      <c r="I314" s="2"/>
      <c r="J314" s="19">
        <f t="shared" si="145"/>
        <v>0</v>
      </c>
      <c r="K314" s="2"/>
      <c r="L314" s="2">
        <f t="shared" si="146"/>
        <v>0</v>
      </c>
      <c r="M314" s="2"/>
      <c r="N314" s="19">
        <f t="shared" si="147"/>
        <v>0</v>
      </c>
      <c r="O314" s="11"/>
      <c r="P314" s="2">
        <f>-56.72</f>
        <v>-56.72</v>
      </c>
      <c r="Q314" s="2"/>
      <c r="R314" s="19">
        <f t="shared" si="148"/>
        <v>-2.25093587957147E-6</v>
      </c>
      <c r="S314" s="2"/>
      <c r="T314" s="2"/>
      <c r="U314" s="2"/>
      <c r="V314" s="19">
        <f t="shared" si="149"/>
        <v>0</v>
      </c>
      <c r="W314" s="2"/>
      <c r="X314" s="2">
        <f t="shared" si="150"/>
        <v>-56.72</v>
      </c>
      <c r="Y314" s="2"/>
      <c r="Z314" s="19">
        <f t="shared" si="151"/>
        <v>0</v>
      </c>
    </row>
    <row r="315" spans="1:26" s="24" customFormat="1" hidden="1" outlineLevel="1" x14ac:dyDescent="0.25">
      <c r="A315" s="44"/>
      <c r="B315" s="11" t="str">
        <f>CONCATENATE("          ", "9150", " - ", "MISC. INCOME")</f>
        <v xml:space="preserve">          9150 - MISC. INCOME</v>
      </c>
      <c r="C315" s="11"/>
      <c r="D315" s="2">
        <f>--97104.37</f>
        <v>97104.37</v>
      </c>
      <c r="E315" s="2"/>
      <c r="F315" s="19">
        <f t="shared" si="144"/>
        <v>2.8010529950693971E-2</v>
      </c>
      <c r="G315" s="2"/>
      <c r="H315" s="2">
        <v>57946</v>
      </c>
      <c r="I315" s="2"/>
      <c r="J315" s="19">
        <f t="shared" si="145"/>
        <v>1.6976613881025959E-2</v>
      </c>
      <c r="K315" s="2"/>
      <c r="L315" s="2">
        <f t="shared" si="146"/>
        <v>39158.369999999995</v>
      </c>
      <c r="M315" s="2"/>
      <c r="N315" s="19">
        <f t="shared" si="147"/>
        <v>0.67577347875608318</v>
      </c>
      <c r="O315" s="11"/>
      <c r="P315" s="2">
        <f>--636855.56</f>
        <v>636855.56000000006</v>
      </c>
      <c r="Q315" s="2"/>
      <c r="R315" s="19">
        <f t="shared" si="148"/>
        <v>2.5273642984989089E-2</v>
      </c>
      <c r="S315" s="2"/>
      <c r="T315" s="2">
        <v>522702</v>
      </c>
      <c r="U315" s="2"/>
      <c r="V315" s="19">
        <f t="shared" si="149"/>
        <v>1.9888015486171848E-2</v>
      </c>
      <c r="W315" s="2"/>
      <c r="X315" s="2">
        <f t="shared" si="150"/>
        <v>114153.56000000006</v>
      </c>
      <c r="Y315" s="2"/>
      <c r="Z315" s="19">
        <f t="shared" si="151"/>
        <v>0.21839128222199275</v>
      </c>
    </row>
    <row r="316" spans="1:26" s="24" customFormat="1" hidden="1" outlineLevel="1" x14ac:dyDescent="0.25">
      <c r="A316" s="44"/>
      <c r="B316" s="11" t="str">
        <f>CONCATENATE("          ", "9151", " - ", "MISC. INCOME")</f>
        <v xml:space="preserve">          9151 - MISC. INCOME</v>
      </c>
      <c r="C316" s="11"/>
      <c r="D316" s="2">
        <f>--70124.28</f>
        <v>70124.28</v>
      </c>
      <c r="E316" s="2"/>
      <c r="F316" s="19">
        <f t="shared" si="144"/>
        <v>2.0227907819296394E-2</v>
      </c>
      <c r="G316" s="2"/>
      <c r="H316" s="2">
        <v>21651</v>
      </c>
      <c r="I316" s="2"/>
      <c r="J316" s="19">
        <f t="shared" si="145"/>
        <v>6.343158581059832E-3</v>
      </c>
      <c r="K316" s="2"/>
      <c r="L316" s="2">
        <f t="shared" si="146"/>
        <v>48473.279999999999</v>
      </c>
      <c r="M316" s="2"/>
      <c r="N316" s="19">
        <f t="shared" si="147"/>
        <v>2.2388471664126368</v>
      </c>
      <c r="O316" s="11"/>
      <c r="P316" s="2">
        <f>--156077.66</f>
        <v>156077.66</v>
      </c>
      <c r="Q316" s="2"/>
      <c r="R316" s="19">
        <f t="shared" si="148"/>
        <v>6.193949310535205E-3</v>
      </c>
      <c r="S316" s="2"/>
      <c r="T316" s="2">
        <v>376094</v>
      </c>
      <c r="U316" s="2"/>
      <c r="V316" s="19">
        <f t="shared" si="149"/>
        <v>1.4309804240764938E-2</v>
      </c>
      <c r="W316" s="2"/>
      <c r="X316" s="2">
        <f t="shared" si="150"/>
        <v>-220016.34</v>
      </c>
      <c r="Y316" s="2"/>
      <c r="Z316" s="19">
        <f t="shared" si="151"/>
        <v>-0.5850035895281499</v>
      </c>
    </row>
    <row r="317" spans="1:26" s="24" customFormat="1" hidden="1" outlineLevel="1" x14ac:dyDescent="0.25">
      <c r="A317" s="44"/>
      <c r="B317" s="11" t="str">
        <f>CONCATENATE("          ", "9152", " - ", "MISC. INCOME")</f>
        <v xml:space="preserve">          9152 - MISC. INCOME</v>
      </c>
      <c r="C317" s="11"/>
      <c r="D317" s="2">
        <f t="shared" ref="D317:D318" si="153">0</f>
        <v>0</v>
      </c>
      <c r="E317" s="2"/>
      <c r="F317" s="19">
        <f t="shared" si="144"/>
        <v>0</v>
      </c>
      <c r="G317" s="2"/>
      <c r="H317" s="2"/>
      <c r="I317" s="2"/>
      <c r="J317" s="19">
        <f t="shared" si="145"/>
        <v>0</v>
      </c>
      <c r="K317" s="2"/>
      <c r="L317" s="2">
        <f t="shared" si="146"/>
        <v>0</v>
      </c>
      <c r="M317" s="2"/>
      <c r="N317" s="19">
        <f t="shared" si="147"/>
        <v>0</v>
      </c>
      <c r="O317" s="11"/>
      <c r="P317" s="2">
        <f>--4699.86</f>
        <v>4699.8599999999997</v>
      </c>
      <c r="Q317" s="2"/>
      <c r="R317" s="19">
        <f t="shared" si="148"/>
        <v>1.8651416613121947E-4</v>
      </c>
      <c r="S317" s="2"/>
      <c r="T317" s="2"/>
      <c r="U317" s="2"/>
      <c r="V317" s="19">
        <f t="shared" si="149"/>
        <v>0</v>
      </c>
      <c r="W317" s="2"/>
      <c r="X317" s="2">
        <f t="shared" si="150"/>
        <v>4699.8599999999997</v>
      </c>
      <c r="Y317" s="2"/>
      <c r="Z317" s="19">
        <f t="shared" si="151"/>
        <v>0</v>
      </c>
    </row>
    <row r="318" spans="1:26" s="24" customFormat="1" hidden="1" outlineLevel="1" x14ac:dyDescent="0.25">
      <c r="A318" s="44"/>
      <c r="B318" s="11" t="str">
        <f>CONCATENATE("          ", "9153", " - ", "MISC. INCOME")</f>
        <v xml:space="preserve">          9153 - MISC. INCOME</v>
      </c>
      <c r="C318" s="11"/>
      <c r="D318" s="2">
        <f t="shared" si="153"/>
        <v>0</v>
      </c>
      <c r="E318" s="2"/>
      <c r="F318" s="19">
        <f t="shared" si="144"/>
        <v>0</v>
      </c>
      <c r="G318" s="2"/>
      <c r="H318" s="2"/>
      <c r="I318" s="2"/>
      <c r="J318" s="19">
        <f t="shared" si="145"/>
        <v>0</v>
      </c>
      <c r="K318" s="2"/>
      <c r="L318" s="2">
        <f t="shared" si="146"/>
        <v>0</v>
      </c>
      <c r="M318" s="2"/>
      <c r="N318" s="19">
        <f t="shared" si="147"/>
        <v>0</v>
      </c>
      <c r="O318" s="11"/>
      <c r="P318" s="2">
        <f>--450</f>
        <v>450</v>
      </c>
      <c r="Q318" s="2"/>
      <c r="R318" s="19">
        <f t="shared" si="148"/>
        <v>1.7858271258941494E-5</v>
      </c>
      <c r="S318" s="2"/>
      <c r="T318" s="2"/>
      <c r="U318" s="2"/>
      <c r="V318" s="19">
        <f t="shared" si="149"/>
        <v>0</v>
      </c>
      <c r="W318" s="2"/>
      <c r="X318" s="2">
        <f t="shared" si="150"/>
        <v>450</v>
      </c>
      <c r="Y318" s="2"/>
      <c r="Z318" s="19">
        <f t="shared" si="151"/>
        <v>0</v>
      </c>
    </row>
    <row r="319" spans="1:26" s="24" customFormat="1" hidden="1" outlineLevel="1" x14ac:dyDescent="0.25">
      <c r="A319" s="44"/>
      <c r="B319" s="11" t="str">
        <f>CONCATENATE("          ", "9160", " - ", "MISC. INCOME")</f>
        <v xml:space="preserve">          9160 - MISC. INCOME</v>
      </c>
      <c r="C319" s="11"/>
      <c r="D319" s="2">
        <f>--7692.32</f>
        <v>7692.32</v>
      </c>
      <c r="E319" s="2"/>
      <c r="F319" s="19">
        <f t="shared" si="144"/>
        <v>2.21891105158627E-3</v>
      </c>
      <c r="G319" s="2"/>
      <c r="H319" s="2">
        <v>91800</v>
      </c>
      <c r="I319" s="2"/>
      <c r="J319" s="19">
        <f t="shared" si="145"/>
        <v>2.6894922070171936E-2</v>
      </c>
      <c r="K319" s="2"/>
      <c r="L319" s="2">
        <f t="shared" si="146"/>
        <v>-84107.68</v>
      </c>
      <c r="M319" s="2"/>
      <c r="N319" s="19">
        <f t="shared" si="147"/>
        <v>-0.91620566448801732</v>
      </c>
      <c r="O319" s="11"/>
      <c r="P319" s="2">
        <f>--152564.32</f>
        <v>152564.32</v>
      </c>
      <c r="Q319" s="2"/>
      <c r="R319" s="19">
        <f t="shared" si="148"/>
        <v>6.0545222466576731E-3</v>
      </c>
      <c r="S319" s="2"/>
      <c r="T319" s="2">
        <v>305550</v>
      </c>
      <c r="U319" s="2"/>
      <c r="V319" s="19">
        <f t="shared" si="149"/>
        <v>1.162571241701736E-2</v>
      </c>
      <c r="W319" s="2"/>
      <c r="X319" s="2">
        <f t="shared" si="150"/>
        <v>-152985.68</v>
      </c>
      <c r="Y319" s="2"/>
      <c r="Z319" s="19">
        <f t="shared" si="151"/>
        <v>-0.50068951071837664</v>
      </c>
    </row>
    <row r="320" spans="1:26" s="24" customFormat="1" hidden="1" outlineLevel="1" x14ac:dyDescent="0.25">
      <c r="A320" s="44"/>
      <c r="B320" s="11" t="str">
        <f>CONCATENATE("          ", "9163", " - ", "MISC. INCOME")</f>
        <v xml:space="preserve">          9163 - MISC. INCOME</v>
      </c>
      <c r="C320" s="11"/>
      <c r="D320" s="2">
        <f>--23333.33</f>
        <v>23333.33</v>
      </c>
      <c r="E320" s="2"/>
      <c r="F320" s="19">
        <f t="shared" si="144"/>
        <v>6.7306851258540287E-3</v>
      </c>
      <c r="G320" s="2"/>
      <c r="H320" s="2"/>
      <c r="I320" s="2"/>
      <c r="J320" s="19">
        <f t="shared" si="145"/>
        <v>0</v>
      </c>
      <c r="K320" s="2"/>
      <c r="L320" s="2">
        <f t="shared" si="146"/>
        <v>23333.33</v>
      </c>
      <c r="M320" s="2"/>
      <c r="N320" s="19">
        <f t="shared" si="147"/>
        <v>0</v>
      </c>
      <c r="O320" s="11"/>
      <c r="P320" s="2">
        <f>--84439.88</f>
        <v>84439.88</v>
      </c>
      <c r="Q320" s="2"/>
      <c r="R320" s="19">
        <f t="shared" si="148"/>
        <v>3.351000626916597E-3</v>
      </c>
      <c r="S320" s="2"/>
      <c r="T320" s="2"/>
      <c r="U320" s="2"/>
      <c r="V320" s="19">
        <f t="shared" si="149"/>
        <v>0</v>
      </c>
      <c r="W320" s="2"/>
      <c r="X320" s="2">
        <f t="shared" si="150"/>
        <v>84439.88</v>
      </c>
      <c r="Y320" s="2"/>
      <c r="Z320" s="19">
        <f t="shared" si="151"/>
        <v>0</v>
      </c>
    </row>
    <row r="321" spans="1:26" s="24" customFormat="1" hidden="1" outlineLevel="1" x14ac:dyDescent="0.25">
      <c r="A321" s="44"/>
      <c r="B321" s="11" t="str">
        <f>CONCATENATE("          ", "9165", " - ", "OTHER INCOME")</f>
        <v xml:space="preserve">          9165 - OTHER INCOME</v>
      </c>
      <c r="C321" s="11"/>
      <c r="D321" s="2">
        <f>--1399.04</f>
        <v>1399.04</v>
      </c>
      <c r="E321" s="2"/>
      <c r="F321" s="19">
        <f t="shared" si="144"/>
        <v>4.0356424558667022E-4</v>
      </c>
      <c r="G321" s="2"/>
      <c r="H321" s="2"/>
      <c r="I321" s="2"/>
      <c r="J321" s="19">
        <f t="shared" si="145"/>
        <v>0</v>
      </c>
      <c r="K321" s="2"/>
      <c r="L321" s="2">
        <f t="shared" si="146"/>
        <v>1399.04</v>
      </c>
      <c r="M321" s="2"/>
      <c r="N321" s="19">
        <f t="shared" si="147"/>
        <v>0</v>
      </c>
      <c r="O321" s="11"/>
      <c r="P321" s="2">
        <f>--228815.1</f>
        <v>228815.1</v>
      </c>
      <c r="Q321" s="2"/>
      <c r="R321" s="19">
        <f t="shared" si="148"/>
        <v>9.0805380532040531E-3</v>
      </c>
      <c r="S321" s="2"/>
      <c r="T321" s="2"/>
      <c r="U321" s="2"/>
      <c r="V321" s="19">
        <f t="shared" si="149"/>
        <v>0</v>
      </c>
      <c r="W321" s="2"/>
      <c r="X321" s="2">
        <f t="shared" si="150"/>
        <v>228815.1</v>
      </c>
      <c r="Y321" s="2"/>
      <c r="Z321" s="19">
        <f t="shared" si="151"/>
        <v>0</v>
      </c>
    </row>
    <row r="322" spans="1:26" x14ac:dyDescent="0.25">
      <c r="A322" s="9"/>
      <c r="B322" s="10"/>
      <c r="C322" s="10"/>
      <c r="D322" s="3"/>
      <c r="E322" s="3"/>
      <c r="F322" s="8"/>
      <c r="G322" s="3"/>
      <c r="H322" s="3"/>
      <c r="I322" s="3"/>
      <c r="J322" s="8"/>
      <c r="K322" s="3"/>
      <c r="L322" s="3"/>
      <c r="M322" s="3"/>
      <c r="N322" s="8"/>
      <c r="O322" s="10"/>
      <c r="P322" s="3"/>
      <c r="Q322" s="3"/>
      <c r="R322" s="8"/>
      <c r="S322" s="3"/>
      <c r="T322" s="3"/>
      <c r="U322" s="3"/>
      <c r="V322" s="8"/>
      <c r="W322" s="3"/>
      <c r="X322" s="3"/>
      <c r="Y322" s="3"/>
      <c r="Z322" s="8"/>
    </row>
    <row r="323" spans="1:26" s="23" customFormat="1" x14ac:dyDescent="0.25">
      <c r="A323" s="10"/>
      <c r="B323" s="28" t="s">
        <v>3</v>
      </c>
      <c r="C323" s="28"/>
      <c r="D323" s="21">
        <f>+D199-D201+D308</f>
        <v>509172.08999999915</v>
      </c>
      <c r="E323" s="14"/>
      <c r="F323" s="22">
        <f>IF(D$12=0,0,D323/D$12)</f>
        <v>0.14687475009623585</v>
      </c>
      <c r="G323" s="14"/>
      <c r="H323" s="21">
        <f>+H199-H201+H308</f>
        <v>715516.90022242744</v>
      </c>
      <c r="I323" s="14"/>
      <c r="J323" s="22">
        <f>IF(H$12=0,0,H323/H$12)</f>
        <v>0.20962713803238753</v>
      </c>
      <c r="K323" s="15"/>
      <c r="L323" s="21">
        <f>+D323-H323</f>
        <v>-206344.81022242829</v>
      </c>
      <c r="M323" s="15"/>
      <c r="N323" s="22">
        <f>IF(H323=0,0,L323/H323)</f>
        <v>-0.2883856554028052</v>
      </c>
      <c r="O323" s="29"/>
      <c r="P323" s="21">
        <f>+P199-P201+P308</f>
        <v>3156379.2899999931</v>
      </c>
      <c r="Q323" s="14"/>
      <c r="R323" s="22">
        <f>IF(P$12=0,0,P323/P$12)</f>
        <v>0.12526106123761119</v>
      </c>
      <c r="S323" s="14"/>
      <c r="T323" s="21">
        <f>+T199-T201+T308</f>
        <v>3855911.7701163292</v>
      </c>
      <c r="U323" s="14"/>
      <c r="V323" s="22">
        <f>IF(T$12=0,0,T323/T$12)</f>
        <v>0.14671157370238846</v>
      </c>
      <c r="W323" s="15"/>
      <c r="X323" s="21">
        <f>+P323-T323</f>
        <v>-699532.48011633614</v>
      </c>
      <c r="Y323" s="15"/>
      <c r="Z323" s="22">
        <f>IF(T323=0,0,X323/T323)</f>
        <v>-0.18141817599089718</v>
      </c>
    </row>
    <row r="324" spans="1:26" x14ac:dyDescent="0.25">
      <c r="A324" s="9"/>
      <c r="B324" s="10"/>
      <c r="C324" s="9"/>
      <c r="D324" s="3"/>
      <c r="E324" s="3"/>
      <c r="F324" s="8"/>
      <c r="G324" s="3"/>
      <c r="H324" s="3"/>
      <c r="I324" s="3"/>
      <c r="J324" s="8"/>
      <c r="K324" s="3"/>
      <c r="L324" s="3"/>
      <c r="M324" s="3"/>
      <c r="N324" s="8"/>
      <c r="P324" s="3"/>
      <c r="Q324" s="3"/>
      <c r="R324" s="8"/>
      <c r="S324" s="3"/>
      <c r="T324" s="3"/>
      <c r="U324" s="3"/>
      <c r="V324" s="8"/>
      <c r="W324" s="3"/>
      <c r="X324" s="3"/>
      <c r="Y324" s="3"/>
      <c r="Z324" s="8"/>
    </row>
    <row r="325" spans="1:26" s="23" customFormat="1" x14ac:dyDescent="0.25">
      <c r="A325" s="52"/>
      <c r="B325" s="10" t="s">
        <v>14</v>
      </c>
      <c r="C325" s="10"/>
      <c r="D325" s="4">
        <v>301907.7</v>
      </c>
      <c r="E325" s="4"/>
      <c r="F325" s="12">
        <f>IF(D$12=0,0,D325/D$12)</f>
        <v>8.7087683831274854E-2</v>
      </c>
      <c r="G325" s="4"/>
      <c r="H325" s="4">
        <v>344745</v>
      </c>
      <c r="I325" s="4"/>
      <c r="J325" s="12">
        <f>IF(H$12=0,0,H325/H$12)</f>
        <v>0.10100097940175842</v>
      </c>
      <c r="K325" s="4"/>
      <c r="L325" s="4">
        <f>+D325-H325</f>
        <v>-42837.299999999988</v>
      </c>
      <c r="M325" s="4"/>
      <c r="N325" s="12">
        <f>IF(H325=0,0,L325/H325)</f>
        <v>-0.12425792977418089</v>
      </c>
      <c r="O325" s="10"/>
      <c r="P325" s="4">
        <v>2568216.02</v>
      </c>
      <c r="Q325" s="4"/>
      <c r="R325" s="12">
        <f>IF(P$12=0,0,P325/P$12)</f>
        <v>0.10191977408159802</v>
      </c>
      <c r="S325" s="4"/>
      <c r="T325" s="4">
        <v>3160440</v>
      </c>
      <c r="U325" s="4"/>
      <c r="V325" s="12">
        <f>IF(T$12=0,0,T325/T$12)</f>
        <v>0.12024993143916984</v>
      </c>
      <c r="W325" s="4"/>
      <c r="X325" s="4">
        <f>+P325-T325</f>
        <v>-592223.98</v>
      </c>
      <c r="Y325" s="4"/>
      <c r="Z325" s="12">
        <f>IF(T325=0,0,X325/T325)</f>
        <v>-0.18738656009922669</v>
      </c>
    </row>
    <row r="326" spans="1:26" x14ac:dyDescent="0.25">
      <c r="A326" s="9"/>
      <c r="B326" s="10"/>
      <c r="C326" s="10"/>
      <c r="D326" s="3"/>
      <c r="E326" s="3"/>
      <c r="F326" s="8"/>
      <c r="G326" s="3"/>
      <c r="H326" s="3"/>
      <c r="I326" s="3"/>
      <c r="J326" s="8"/>
      <c r="K326" s="3"/>
      <c r="L326" s="3"/>
      <c r="M326" s="3"/>
      <c r="N326" s="8"/>
      <c r="O326" s="10"/>
      <c r="P326" s="3"/>
      <c r="Q326" s="3"/>
      <c r="R326" s="8"/>
      <c r="S326" s="3"/>
      <c r="T326" s="3"/>
      <c r="U326" s="3"/>
      <c r="V326" s="8"/>
      <c r="W326" s="3"/>
      <c r="X326" s="3"/>
      <c r="Y326" s="3"/>
      <c r="Z326" s="8"/>
    </row>
    <row r="327" spans="1:26" s="23" customFormat="1" ht="15.75" thickBot="1" x14ac:dyDescent="0.3">
      <c r="A327" s="10"/>
      <c r="B327" s="28" t="s">
        <v>4</v>
      </c>
      <c r="C327" s="28"/>
      <c r="D327" s="31">
        <f>+D323-D325</f>
        <v>207264.38999999914</v>
      </c>
      <c r="E327" s="14"/>
      <c r="F327" s="32">
        <f>IF(D$12=0,0,D327/D$12)</f>
        <v>5.9787066264961011E-2</v>
      </c>
      <c r="G327" s="14"/>
      <c r="H327" s="31">
        <f>+H323-H325</f>
        <v>370771.90022242744</v>
      </c>
      <c r="I327" s="14"/>
      <c r="J327" s="32">
        <f>IF(H$12=0,0,H327/H$12)</f>
        <v>0.10862615863062909</v>
      </c>
      <c r="K327" s="15"/>
      <c r="L327" s="31">
        <f>D327-H327</f>
        <v>-163507.5102224283</v>
      </c>
      <c r="M327" s="15"/>
      <c r="N327" s="32">
        <f>IF(H327=0,0,L327/H327)</f>
        <v>-0.44099218447875782</v>
      </c>
      <c r="O327" s="29"/>
      <c r="P327" s="31">
        <f>+P323-P325</f>
        <v>588163.26999999303</v>
      </c>
      <c r="Q327" s="14"/>
      <c r="R327" s="32">
        <f>IF(P$12=0,0,P327/P$12)</f>
        <v>2.3341287156013156E-2</v>
      </c>
      <c r="S327" s="14"/>
      <c r="T327" s="31">
        <f>+T323-T325</f>
        <v>695471.77011632919</v>
      </c>
      <c r="U327" s="14"/>
      <c r="V327" s="32">
        <f>IF(T$12=0,0,T327/T$12)</f>
        <v>2.6461642263218628E-2</v>
      </c>
      <c r="W327" s="15"/>
      <c r="X327" s="31">
        <f>P327-T327</f>
        <v>-107308.50011633616</v>
      </c>
      <c r="Y327" s="15"/>
      <c r="Z327" s="32">
        <f>IF(T327=0,0,X327/T327)</f>
        <v>-0.15429598256502494</v>
      </c>
    </row>
    <row r="328" spans="1:26" ht="15.75" thickTop="1" x14ac:dyDescent="0.25">
      <c r="A328" s="9"/>
      <c r="B328" s="9"/>
      <c r="C328" s="9"/>
      <c r="D328" s="3"/>
      <c r="E328" s="3"/>
      <c r="F328" s="8"/>
      <c r="G328" s="3"/>
      <c r="H328" s="3"/>
      <c r="I328" s="3"/>
      <c r="J328" s="8"/>
      <c r="K328" s="3"/>
      <c r="L328" s="3"/>
      <c r="M328" s="3"/>
      <c r="N328" s="8"/>
      <c r="P328" s="3"/>
      <c r="Q328" s="3"/>
      <c r="R328" s="8"/>
      <c r="S328" s="3"/>
      <c r="T328" s="3"/>
      <c r="U328" s="3"/>
      <c r="V328" s="8"/>
      <c r="W328" s="3"/>
      <c r="X328" s="3"/>
      <c r="Y328" s="3"/>
      <c r="Z328" s="8"/>
    </row>
    <row r="329" spans="1:26" s="23" customFormat="1" x14ac:dyDescent="0.25">
      <c r="A329" s="52"/>
      <c r="B329" s="10" t="s">
        <v>2</v>
      </c>
      <c r="C329" s="10"/>
      <c r="D329" s="4">
        <f>-543958.39</f>
        <v>-543958.39</v>
      </c>
      <c r="E329" s="4"/>
      <c r="F329" s="12">
        <f t="shared" ref="F329:F330" si="154">IF(D$12=0,0,D329/D$12)</f>
        <v>-0.15690913575801246</v>
      </c>
      <c r="G329" s="4"/>
      <c r="H329" s="4">
        <f t="shared" ref="H329:H330" si="155">--25000</f>
        <v>25000</v>
      </c>
      <c r="I329" s="4"/>
      <c r="J329" s="12">
        <f t="shared" ref="J329:J330" si="156">IF(H$12=0,0,H329/H$12)</f>
        <v>7.324325182508697E-3</v>
      </c>
      <c r="K329" s="4"/>
      <c r="L329" s="4">
        <f t="shared" ref="L329:L330" si="157">+D329-H329</f>
        <v>-568958.39</v>
      </c>
      <c r="M329" s="4"/>
      <c r="N329" s="12">
        <f t="shared" ref="N329:N330" si="158">IF(H329=0,0,L329/H329)</f>
        <v>-22.758335600000002</v>
      </c>
      <c r="O329" s="10"/>
      <c r="P329" s="4">
        <f>-134834.87</f>
        <v>-134834.87</v>
      </c>
      <c r="Q329" s="4"/>
      <c r="R329" s="12">
        <f t="shared" ref="R329:R330" si="159">IF(P$12=0,0,P329/P$12)</f>
        <v>-5.3509281858313612E-3</v>
      </c>
      <c r="S329" s="4"/>
      <c r="T329" s="4">
        <f>--200000</f>
        <v>200000</v>
      </c>
      <c r="U329" s="4"/>
      <c r="V329" s="12">
        <f t="shared" ref="V329:V330" si="160">IF(T$12=0,0,T329/T$12)</f>
        <v>7.6096955765127539E-3</v>
      </c>
      <c r="W329" s="4"/>
      <c r="X329" s="4">
        <f t="shared" ref="X329:X330" si="161">+P329-T329</f>
        <v>-334834.87</v>
      </c>
      <c r="Y329" s="4"/>
      <c r="Z329" s="12">
        <f t="shared" ref="Z329:Z330" si="162">IF(T329=0,0,X329/T329)</f>
        <v>-1.6741743499999999</v>
      </c>
    </row>
    <row r="330" spans="1:26" s="23" customFormat="1" x14ac:dyDescent="0.25">
      <c r="A330" s="52"/>
      <c r="B330" s="10" t="s">
        <v>1</v>
      </c>
      <c r="C330" s="10"/>
      <c r="D330" s="4">
        <f>--35344.2</f>
        <v>35344.199999999997</v>
      </c>
      <c r="E330" s="4"/>
      <c r="F330" s="12">
        <f t="shared" si="154"/>
        <v>1.0195316366125621E-2</v>
      </c>
      <c r="G330" s="4"/>
      <c r="H330" s="4">
        <f t="shared" si="155"/>
        <v>25000</v>
      </c>
      <c r="I330" s="4"/>
      <c r="J330" s="12">
        <f t="shared" si="156"/>
        <v>7.324325182508697E-3</v>
      </c>
      <c r="K330" s="4"/>
      <c r="L330" s="4">
        <f t="shared" si="157"/>
        <v>10344.199999999997</v>
      </c>
      <c r="M330" s="4"/>
      <c r="N330" s="12">
        <f t="shared" si="158"/>
        <v>0.41376799999999986</v>
      </c>
      <c r="O330" s="10"/>
      <c r="P330" s="4">
        <f>--206989.27</f>
        <v>206989.27</v>
      </c>
      <c r="Q330" s="4"/>
      <c r="R330" s="12">
        <f t="shared" si="159"/>
        <v>8.2143789585561785E-3</v>
      </c>
      <c r="S330" s="4"/>
      <c r="T330" s="4">
        <f>--190000</f>
        <v>190000</v>
      </c>
      <c r="U330" s="4"/>
      <c r="V330" s="12">
        <f t="shared" si="160"/>
        <v>7.2292107976871167E-3</v>
      </c>
      <c r="W330" s="4"/>
      <c r="X330" s="4">
        <f t="shared" si="161"/>
        <v>16989.26999999999</v>
      </c>
      <c r="Y330" s="4"/>
      <c r="Z330" s="12">
        <f t="shared" si="162"/>
        <v>8.9417210526315738E-2</v>
      </c>
    </row>
    <row r="331" spans="1:26" x14ac:dyDescent="0.25">
      <c r="A331" s="9"/>
      <c r="B331" s="9"/>
      <c r="C331" s="9"/>
      <c r="D331" s="3"/>
      <c r="E331" s="3"/>
      <c r="F331" s="8"/>
      <c r="G331" s="3"/>
      <c r="H331" s="3"/>
      <c r="I331" s="3"/>
      <c r="J331" s="8"/>
      <c r="K331" s="3"/>
      <c r="L331" s="3"/>
      <c r="M331" s="3"/>
      <c r="N331" s="8"/>
      <c r="P331" s="3"/>
      <c r="Q331" s="3"/>
      <c r="R331" s="8"/>
      <c r="S331" s="3"/>
      <c r="T331" s="3"/>
      <c r="U331" s="3"/>
      <c r="V331" s="8"/>
      <c r="W331" s="3"/>
      <c r="X331" s="3"/>
      <c r="Y331" s="3"/>
      <c r="Z331" s="8"/>
    </row>
    <row r="332" spans="1:26" s="23" customFormat="1" ht="15.75" thickBot="1" x14ac:dyDescent="0.3">
      <c r="A332" s="10"/>
      <c r="B332" s="28" t="s">
        <v>5</v>
      </c>
      <c r="C332" s="28"/>
      <c r="D332" s="33">
        <f>SUM(D327:D331)</f>
        <v>-301349.80000000086</v>
      </c>
      <c r="E332" s="14"/>
      <c r="F332" s="30">
        <f>IF(D$12=0,0,D332/D$12)</f>
        <v>-8.6926753126925826E-2</v>
      </c>
      <c r="G332" s="14"/>
      <c r="H332" s="33">
        <f>SUM(H327:H331)</f>
        <v>420771.90022242744</v>
      </c>
      <c r="I332" s="14"/>
      <c r="J332" s="30">
        <f>IF(H$12=0,0,H332/H$12)</f>
        <v>0.12327480899564648</v>
      </c>
      <c r="K332" s="15"/>
      <c r="L332" s="33">
        <f>+D332-H332</f>
        <v>-722121.70022242831</v>
      </c>
      <c r="M332" s="15"/>
      <c r="N332" s="30">
        <f>IF(H332=0,0,L332/H332)</f>
        <v>-1.7161832808718978</v>
      </c>
      <c r="O332" s="29"/>
      <c r="P332" s="33">
        <f>SUM(P327:P331)</f>
        <v>660317.66999999306</v>
      </c>
      <c r="Q332" s="14"/>
      <c r="R332" s="30">
        <f>IF(P$12=0,0,P332/P$12)</f>
        <v>2.6204737928737978E-2</v>
      </c>
      <c r="S332" s="14"/>
      <c r="T332" s="33">
        <f>SUM(T327:T331)</f>
        <v>1085471.7701163292</v>
      </c>
      <c r="U332" s="14"/>
      <c r="V332" s="30">
        <f>IF(T$12=0,0,T332/T$12)</f>
        <v>4.1300548637418499E-2</v>
      </c>
      <c r="W332" s="15"/>
      <c r="X332" s="33">
        <f>+P332-T332</f>
        <v>-425154.10011633614</v>
      </c>
      <c r="Y332" s="15"/>
      <c r="Z332" s="30">
        <f>IF(T332=0,0,X332/T332)</f>
        <v>-0.39167679143859513</v>
      </c>
    </row>
    <row r="333" spans="1:26" ht="15.75" thickTop="1" x14ac:dyDescent="0.25">
      <c r="A333" s="9"/>
      <c r="C333" s="9"/>
      <c r="D333" s="17"/>
      <c r="E333" s="17"/>
      <c r="G333" s="17"/>
      <c r="H333" s="17"/>
      <c r="I333" s="17"/>
      <c r="J333" s="43"/>
      <c r="K333" s="17"/>
      <c r="L333" s="17"/>
      <c r="M333" s="17"/>
      <c r="P333" s="17"/>
      <c r="Q333" s="17"/>
      <c r="R333" s="43"/>
      <c r="S333" s="17"/>
      <c r="T333" s="17"/>
      <c r="U333" s="17"/>
      <c r="V333" s="43"/>
      <c r="W333" s="17"/>
      <c r="X333" s="17"/>
    </row>
    <row r="334" spans="1:26" x14ac:dyDescent="0.25">
      <c r="A334" s="9"/>
      <c r="B334" s="59">
        <v>43908.493865891207</v>
      </c>
      <c r="D334" s="17"/>
      <c r="E334" s="17"/>
      <c r="G334" s="17"/>
      <c r="H334" s="17"/>
      <c r="I334" s="17"/>
      <c r="J334" s="43"/>
      <c r="K334" s="17"/>
      <c r="L334" s="17"/>
      <c r="M334" s="17"/>
      <c r="P334" s="17"/>
      <c r="Q334" s="17"/>
      <c r="R334" s="43"/>
      <c r="S334" s="17"/>
      <c r="T334" s="17"/>
      <c r="U334" s="17"/>
      <c r="V334" s="43"/>
      <c r="W334" s="17"/>
      <c r="X334" s="17"/>
    </row>
    <row r="335" spans="1:26" x14ac:dyDescent="0.25">
      <c r="A335" s="9"/>
      <c r="B335" s="63" t="s">
        <v>314</v>
      </c>
      <c r="D335" s="17"/>
      <c r="E335" s="17"/>
      <c r="G335" s="17"/>
      <c r="H335" s="17"/>
      <c r="I335" s="17"/>
      <c r="J335" s="43"/>
      <c r="K335" s="17"/>
      <c r="L335" s="17"/>
      <c r="M335" s="17"/>
      <c r="P335" s="17"/>
      <c r="Q335" s="17"/>
      <c r="R335" s="43"/>
      <c r="S335" s="17"/>
      <c r="T335" s="17"/>
      <c r="U335" s="17"/>
      <c r="V335" s="43"/>
      <c r="W335" s="17"/>
      <c r="X335" s="17"/>
    </row>
    <row r="336" spans="1:26" x14ac:dyDescent="0.25">
      <c r="A336" s="9"/>
      <c r="B336" s="57"/>
      <c r="D336" s="17"/>
      <c r="E336" s="17"/>
      <c r="G336" s="17"/>
      <c r="H336" s="17"/>
      <c r="I336" s="17"/>
      <c r="J336" s="43"/>
      <c r="K336" s="17"/>
      <c r="L336" s="17"/>
      <c r="M336" s="17"/>
      <c r="P336" s="17"/>
      <c r="Q336" s="17"/>
      <c r="R336" s="43"/>
      <c r="S336" s="17"/>
      <c r="T336" s="17"/>
      <c r="U336" s="17"/>
      <c r="V336" s="43"/>
      <c r="W336" s="17"/>
      <c r="X336" s="17"/>
    </row>
    <row r="337" spans="4:24" x14ac:dyDescent="0.25">
      <c r="D337" s="17"/>
      <c r="E337" s="17"/>
      <c r="G337" s="17"/>
      <c r="H337" s="17"/>
      <c r="I337" s="17"/>
      <c r="J337" s="43"/>
      <c r="K337" s="17"/>
      <c r="L337" s="17"/>
      <c r="M337" s="17"/>
      <c r="P337" s="17"/>
      <c r="Q337" s="17"/>
      <c r="R337" s="43"/>
      <c r="S337" s="17"/>
      <c r="T337" s="17"/>
      <c r="U337" s="17"/>
      <c r="V337" s="43"/>
      <c r="W337" s="17"/>
      <c r="X337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4">
        <f>IF(D$12=0,0,D18/D$12)</f>
        <v>0</v>
      </c>
      <c r="G18" s="20"/>
      <c r="H18" s="20">
        <f>SUM(0)</f>
        <v>0</v>
      </c>
      <c r="I18" s="20"/>
      <c r="J18" s="34">
        <f>IF(H$12=0,0,H18/H$12)</f>
        <v>0</v>
      </c>
      <c r="K18" s="4"/>
      <c r="L18" s="20">
        <f>+D18-H18</f>
        <v>0</v>
      </c>
      <c r="M18" s="4"/>
      <c r="N18" s="34">
        <f>IF(H18=0,0,L18/H18)</f>
        <v>0</v>
      </c>
      <c r="O18" s="10"/>
      <c r="P18" s="20">
        <f>SUM(0)</f>
        <v>0</v>
      </c>
      <c r="Q18" s="20"/>
      <c r="R18" s="34">
        <f>IF(P$12=0,0,P18/P$12)</f>
        <v>0</v>
      </c>
      <c r="S18" s="20"/>
      <c r="T18" s="20">
        <f>SUM(0)</f>
        <v>0</v>
      </c>
      <c r="U18" s="20"/>
      <c r="V18" s="34">
        <f>IF(T$12=0,0,T18/T$12)</f>
        <v>0</v>
      </c>
      <c r="W18" s="4"/>
      <c r="X18" s="20">
        <f>+P18-T18</f>
        <v>0</v>
      </c>
      <c r="Y18" s="4"/>
      <c r="Z18" s="34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9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-543958.39</f>
        <v>-543958.39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-568958.39</v>
      </c>
      <c r="M28" s="4"/>
      <c r="N28" s="12">
        <f t="shared" ref="N28:N29" si="4">IF(H28=0,0,L28/H28)</f>
        <v>-22.758335600000002</v>
      </c>
      <c r="O28" s="10"/>
      <c r="P28" s="4">
        <f>-134834.87</f>
        <v>-134834.87</v>
      </c>
      <c r="Q28" s="4"/>
      <c r="R28" s="12">
        <f t="shared" ref="R28:R29" si="5">IF(P$12=0,0,P28/P$12)</f>
        <v>0</v>
      </c>
      <c r="S28" s="4"/>
      <c r="T28" s="4">
        <f>--200000</f>
        <v>200000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-334834.87</v>
      </c>
      <c r="Y28" s="4"/>
      <c r="Z28" s="12">
        <f t="shared" ref="Z28:Z29" si="8">IF(T28=0,0,X28/T28)</f>
        <v>-1.6741743499999999</v>
      </c>
    </row>
    <row r="29" spans="1:26" s="23" customFormat="1" x14ac:dyDescent="0.25">
      <c r="A29" s="52"/>
      <c r="B29" s="10" t="s">
        <v>1</v>
      </c>
      <c r="C29" s="10"/>
      <c r="D29" s="4">
        <f>--35344.2</f>
        <v>35344.199999999997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10344.199999999997</v>
      </c>
      <c r="M29" s="4"/>
      <c r="N29" s="12">
        <f t="shared" si="4"/>
        <v>0.41376799999999986</v>
      </c>
      <c r="O29" s="10"/>
      <c r="P29" s="4">
        <f>--206989.27</f>
        <v>206989.27</v>
      </c>
      <c r="Q29" s="4"/>
      <c r="R29" s="12">
        <f t="shared" si="5"/>
        <v>0</v>
      </c>
      <c r="S29" s="4"/>
      <c r="T29" s="4">
        <f>--190000</f>
        <v>190000</v>
      </c>
      <c r="U29" s="4"/>
      <c r="V29" s="12">
        <f t="shared" si="6"/>
        <v>0</v>
      </c>
      <c r="W29" s="4"/>
      <c r="X29" s="4">
        <f t="shared" si="7"/>
        <v>16989.26999999999</v>
      </c>
      <c r="Y29" s="4"/>
      <c r="Z29" s="12">
        <f t="shared" si="8"/>
        <v>8.9417210526315738E-2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3">
        <f>SUM(D26:D30)</f>
        <v>-508614.19</v>
      </c>
      <c r="E31" s="14"/>
      <c r="F31" s="30">
        <f>IF(D$12=0,0,D31/D$12)</f>
        <v>0</v>
      </c>
      <c r="G31" s="14"/>
      <c r="H31" s="33">
        <f>SUM(H26:H30)</f>
        <v>50000</v>
      </c>
      <c r="I31" s="14"/>
      <c r="J31" s="30">
        <f>IF(H$12=0,0,H31/H$12)</f>
        <v>0</v>
      </c>
      <c r="K31" s="15"/>
      <c r="L31" s="33">
        <f>+D31-H31</f>
        <v>-558614.18999999994</v>
      </c>
      <c r="M31" s="15"/>
      <c r="N31" s="30">
        <f>IF(H31=0,0,L31/H31)</f>
        <v>-11.172283799999999</v>
      </c>
      <c r="O31" s="29"/>
      <c r="P31" s="33">
        <f>SUM(P26:P30)</f>
        <v>72154.399999999994</v>
      </c>
      <c r="Q31" s="14"/>
      <c r="R31" s="30">
        <f>IF(P$12=0,0,P31/P$12)</f>
        <v>0</v>
      </c>
      <c r="S31" s="14"/>
      <c r="T31" s="33">
        <f>SUM(T26:T30)</f>
        <v>390000</v>
      </c>
      <c r="U31" s="14"/>
      <c r="V31" s="30">
        <f>IF(T$12=0,0,T31/T$12)</f>
        <v>0</v>
      </c>
      <c r="W31" s="15"/>
      <c r="X31" s="33">
        <f>+P31-T31</f>
        <v>-317845.59999999998</v>
      </c>
      <c r="Y31" s="15"/>
      <c r="Z31" s="30">
        <f>IF(T31=0,0,X31/T31)</f>
        <v>-0.81498871794871786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9">
        <v>43908.49389849537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3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7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4">
        <f>IF(D$12=0,0,D18/D$12)</f>
        <v>0</v>
      </c>
      <c r="G18" s="20"/>
      <c r="H18" s="20">
        <f>SUM(0)</f>
        <v>0</v>
      </c>
      <c r="I18" s="20"/>
      <c r="J18" s="34">
        <f>IF(H$12=0,0,H18/H$12)</f>
        <v>0</v>
      </c>
      <c r="K18" s="4"/>
      <c r="L18" s="20">
        <f>+D18-H18</f>
        <v>0</v>
      </c>
      <c r="M18" s="4"/>
      <c r="N18" s="34">
        <f>IF(H18=0,0,L18/H18)</f>
        <v>0</v>
      </c>
      <c r="O18" s="10"/>
      <c r="P18" s="20">
        <f>SUM(0)</f>
        <v>0</v>
      </c>
      <c r="Q18" s="20"/>
      <c r="R18" s="34">
        <f>IF(P$12=0,0,P18/P$12)</f>
        <v>0</v>
      </c>
      <c r="S18" s="20"/>
      <c r="T18" s="20">
        <f>SUM(0)</f>
        <v>0</v>
      </c>
      <c r="U18" s="20"/>
      <c r="V18" s="34">
        <f>IF(T$12=0,0,T18/T$12)</f>
        <v>0</v>
      </c>
      <c r="W18" s="4"/>
      <c r="X18" s="20">
        <f>+P18-T18</f>
        <v>0</v>
      </c>
      <c r="Y18" s="4"/>
      <c r="Z18" s="34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9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-543958.39</f>
        <v>-543958.39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-568958.39</v>
      </c>
      <c r="M28" s="4"/>
      <c r="N28" s="12">
        <f t="shared" ref="N28:N29" si="4">IF(H28=0,0,L28/H28)</f>
        <v>-22.758335600000002</v>
      </c>
      <c r="O28" s="10"/>
      <c r="P28" s="4">
        <f>-134834.87</f>
        <v>-134834.87</v>
      </c>
      <c r="Q28" s="4"/>
      <c r="R28" s="12">
        <f t="shared" ref="R28:R29" si="5">IF(P$12=0,0,P28/P$12)</f>
        <v>0</v>
      </c>
      <c r="S28" s="4"/>
      <c r="T28" s="4">
        <f>--200000</f>
        <v>200000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-334834.87</v>
      </c>
      <c r="Y28" s="4"/>
      <c r="Z28" s="12">
        <f t="shared" ref="Z28:Z29" si="8">IF(T28=0,0,X28/T28)</f>
        <v>-1.6741743499999999</v>
      </c>
    </row>
    <row r="29" spans="1:26" s="23" customFormat="1" x14ac:dyDescent="0.25">
      <c r="A29" s="52"/>
      <c r="B29" s="10" t="s">
        <v>1</v>
      </c>
      <c r="C29" s="10"/>
      <c r="D29" s="4">
        <f>--35344.2</f>
        <v>35344.199999999997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10344.199999999997</v>
      </c>
      <c r="M29" s="4"/>
      <c r="N29" s="12">
        <f t="shared" si="4"/>
        <v>0.41376799999999986</v>
      </c>
      <c r="O29" s="10"/>
      <c r="P29" s="4">
        <f>--206989.27</f>
        <v>206989.27</v>
      </c>
      <c r="Q29" s="4"/>
      <c r="R29" s="12">
        <f t="shared" si="5"/>
        <v>0</v>
      </c>
      <c r="S29" s="4"/>
      <c r="T29" s="4">
        <f>--190000</f>
        <v>190000</v>
      </c>
      <c r="U29" s="4"/>
      <c r="V29" s="12">
        <f t="shared" si="6"/>
        <v>0</v>
      </c>
      <c r="W29" s="4"/>
      <c r="X29" s="4">
        <f t="shared" si="7"/>
        <v>16989.26999999999</v>
      </c>
      <c r="Y29" s="4"/>
      <c r="Z29" s="12">
        <f t="shared" si="8"/>
        <v>8.9417210526315738E-2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3">
        <f>SUM(D26:D30)</f>
        <v>-508614.19</v>
      </c>
      <c r="E31" s="14"/>
      <c r="F31" s="30">
        <f>IF(D$12=0,0,D31/D$12)</f>
        <v>0</v>
      </c>
      <c r="G31" s="14"/>
      <c r="H31" s="33">
        <f>SUM(H26:H30)</f>
        <v>50000</v>
      </c>
      <c r="I31" s="14"/>
      <c r="J31" s="30">
        <f>IF(H$12=0,0,H31/H$12)</f>
        <v>0</v>
      </c>
      <c r="K31" s="15"/>
      <c r="L31" s="33">
        <f>+D31-H31</f>
        <v>-558614.18999999994</v>
      </c>
      <c r="M31" s="15"/>
      <c r="N31" s="30">
        <f>IF(H31=0,0,L31/H31)</f>
        <v>-11.172283799999999</v>
      </c>
      <c r="O31" s="29"/>
      <c r="P31" s="33">
        <f>SUM(P26:P30)</f>
        <v>72154.399999999994</v>
      </c>
      <c r="Q31" s="14"/>
      <c r="R31" s="30">
        <f>IF(P$12=0,0,P31/P$12)</f>
        <v>0</v>
      </c>
      <c r="S31" s="14"/>
      <c r="T31" s="33">
        <f>SUM(T26:T30)</f>
        <v>390000</v>
      </c>
      <c r="U31" s="14"/>
      <c r="V31" s="30">
        <f>IF(T$12=0,0,T31/T$12)</f>
        <v>0</v>
      </c>
      <c r="W31" s="15"/>
      <c r="X31" s="33">
        <f>+P31-T31</f>
        <v>-317845.59999999998</v>
      </c>
      <c r="Y31" s="15"/>
      <c r="Z31" s="30">
        <f>IF(T31=0,0,X31/T31)</f>
        <v>-0.81498871794871786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9">
        <v>43908.494328125002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3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7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0</v>
      </c>
      <c r="E17" s="14"/>
      <c r="F17" s="22">
        <f>IF(D$12=0,0,D17/D$12)</f>
        <v>0</v>
      </c>
      <c r="G17" s="14"/>
      <c r="H17" s="21">
        <f>H12-H15</f>
        <v>0</v>
      </c>
      <c r="I17" s="14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9"/>
      <c r="P17" s="21">
        <f>P12-P15</f>
        <v>0</v>
      </c>
      <c r="Q17" s="14"/>
      <c r="R17" s="22">
        <f>IF(P$12=0,0,P17/P$12)</f>
        <v>0</v>
      </c>
      <c r="S17" s="14"/>
      <c r="T17" s="21">
        <f>T12-T15</f>
        <v>200</v>
      </c>
      <c r="U17" s="14"/>
      <c r="V17" s="22">
        <f>IF(T$12=0,0,T17/T$12)</f>
        <v>1</v>
      </c>
      <c r="W17" s="15"/>
      <c r="X17" s="21">
        <f>+P17-T17</f>
        <v>-200</v>
      </c>
      <c r="Y17" s="15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301907.7</v>
      </c>
      <c r="E19" s="20"/>
      <c r="F19" s="34">
        <f t="shared" ref="F19:F31" si="4">IF(D$12=0,0,D19/D$12)</f>
        <v>0</v>
      </c>
      <c r="G19" s="20"/>
      <c r="H19" s="20">
        <f>SUM(OSRRefH22x_0)</f>
        <v>344743.86507321591</v>
      </c>
      <c r="I19" s="20"/>
      <c r="J19" s="34">
        <f t="shared" ref="J19:J31" si="5">IF(H$12=0,0,H19/H$12)</f>
        <v>0</v>
      </c>
      <c r="K19" s="4"/>
      <c r="L19" s="20">
        <f t="shared" ref="L19:L31" si="6">+D19-H19</f>
        <v>-42836.165073215903</v>
      </c>
      <c r="M19" s="4"/>
      <c r="N19" s="34">
        <f t="shared" ref="N19:N31" si="7">IF(H19=0,0,L19/H19)</f>
        <v>-0.12425504675512777</v>
      </c>
      <c r="O19" s="10"/>
      <c r="P19" s="20">
        <f>SUM(OSRRefP22x_0)</f>
        <v>2568216.0200000005</v>
      </c>
      <c r="Q19" s="20"/>
      <c r="R19" s="34">
        <f t="shared" ref="R19:R31" si="8">IF(P$12=0,0,P19/P$12)</f>
        <v>0</v>
      </c>
      <c r="S19" s="20"/>
      <c r="T19" s="20">
        <f>SUM(OSRRefT22x_0)</f>
        <v>3160442.7326274156</v>
      </c>
      <c r="U19" s="20"/>
      <c r="V19" s="34">
        <f t="shared" ref="V19:V31" si="9">IF(T$12=0,0,T19/T$12)</f>
        <v>15802.213663137078</v>
      </c>
      <c r="W19" s="4"/>
      <c r="X19" s="20">
        <f t="shared" ref="X19:X31" si="10">+P19-T19</f>
        <v>-592226.71262741508</v>
      </c>
      <c r="Y19" s="4"/>
      <c r="Z19" s="34">
        <f t="shared" ref="Z19:Z31" si="11">IF(T19=0,0,X19/T19)</f>
        <v>-0.18738726271273737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86097.700000000012</v>
      </c>
      <c r="E20" s="1"/>
      <c r="F20" s="5">
        <f t="shared" si="4"/>
        <v>0</v>
      </c>
      <c r="G20" s="1"/>
      <c r="H20" s="1">
        <f>SUM(OSRRefH22_0x_0)</f>
        <v>99350.174716292924</v>
      </c>
      <c r="I20" s="1"/>
      <c r="J20" s="5">
        <f t="shared" si="5"/>
        <v>0</v>
      </c>
      <c r="K20" s="1"/>
      <c r="L20" s="1">
        <f t="shared" si="6"/>
        <v>-13252.474716292912</v>
      </c>
      <c r="M20" s="1"/>
      <c r="N20" s="5">
        <f t="shared" si="7"/>
        <v>-0.1333915592412096</v>
      </c>
      <c r="O20" s="13"/>
      <c r="P20" s="1">
        <f>SUM(OSRRefP22_0x_0)</f>
        <v>732512.31999999983</v>
      </c>
      <c r="Q20" s="1"/>
      <c r="R20" s="5">
        <f t="shared" si="8"/>
        <v>0</v>
      </c>
      <c r="S20" s="1"/>
      <c r="T20" s="1">
        <f>SUM(OSRRefT22_0x_0)</f>
        <v>815329.08280433936</v>
      </c>
      <c r="U20" s="1"/>
      <c r="V20" s="5">
        <f t="shared" si="9"/>
        <v>4076.645414021697</v>
      </c>
      <c r="W20" s="1"/>
      <c r="X20" s="1">
        <f t="shared" si="10"/>
        <v>-82816.762804339523</v>
      </c>
      <c r="Y20" s="1"/>
      <c r="Z20" s="5">
        <f t="shared" si="11"/>
        <v>-0.10157464580987317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8791.61</v>
      </c>
      <c r="E21" s="2"/>
      <c r="F21" s="7">
        <f t="shared" si="4"/>
        <v>0</v>
      </c>
      <c r="G21" s="2"/>
      <c r="H21" s="6">
        <v>9820.3524035852261</v>
      </c>
      <c r="I21" s="2"/>
      <c r="J21" s="7">
        <f t="shared" si="5"/>
        <v>0</v>
      </c>
      <c r="K21" s="2"/>
      <c r="L21" s="6">
        <f t="shared" si="6"/>
        <v>-1028.7424035852255</v>
      </c>
      <c r="M21" s="2"/>
      <c r="N21" s="7">
        <f t="shared" si="7"/>
        <v>-0.10475615958645751</v>
      </c>
      <c r="O21" s="11"/>
      <c r="P21" s="6">
        <v>76226.33</v>
      </c>
      <c r="Q21" s="2"/>
      <c r="R21" s="7">
        <f t="shared" si="8"/>
        <v>0</v>
      </c>
      <c r="S21" s="2"/>
      <c r="T21" s="6">
        <v>84342.05139830077</v>
      </c>
      <c r="U21" s="2"/>
      <c r="V21" s="7">
        <f t="shared" si="9"/>
        <v>421.71025699150385</v>
      </c>
      <c r="W21" s="2"/>
      <c r="X21" s="6">
        <f t="shared" si="10"/>
        <v>-8115.7213983007678</v>
      </c>
      <c r="Y21" s="2"/>
      <c r="Z21" s="7">
        <f t="shared" si="11"/>
        <v>-9.6223903305063252E-2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715.74</v>
      </c>
      <c r="E22" s="2"/>
      <c r="F22" s="7">
        <f t="shared" si="4"/>
        <v>0</v>
      </c>
      <c r="G22" s="2"/>
      <c r="H22" s="6">
        <v>758.92539878769287</v>
      </c>
      <c r="I22" s="2"/>
      <c r="J22" s="7">
        <f t="shared" si="5"/>
        <v>0</v>
      </c>
      <c r="K22" s="2"/>
      <c r="L22" s="6">
        <f t="shared" si="6"/>
        <v>-43.185398787692861</v>
      </c>
      <c r="M22" s="2"/>
      <c r="N22" s="7">
        <f t="shared" si="7"/>
        <v>-5.6903351576686197E-2</v>
      </c>
      <c r="O22" s="11"/>
      <c r="P22" s="6">
        <v>5340.62</v>
      </c>
      <c r="Q22" s="2"/>
      <c r="R22" s="7">
        <f t="shared" si="8"/>
        <v>0</v>
      </c>
      <c r="S22" s="2"/>
      <c r="T22" s="6">
        <v>6522.1969347923123</v>
      </c>
      <c r="U22" s="2"/>
      <c r="V22" s="7">
        <f t="shared" si="9"/>
        <v>32.610984673961561</v>
      </c>
      <c r="W22" s="2"/>
      <c r="X22" s="6">
        <f t="shared" si="10"/>
        <v>-1181.5769347923124</v>
      </c>
      <c r="Y22" s="2"/>
      <c r="Z22" s="7">
        <f t="shared" si="11"/>
        <v>-0.1811624130037002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23373.550000000003</v>
      </c>
      <c r="E23" s="2"/>
      <c r="F23" s="7">
        <f t="shared" si="4"/>
        <v>0</v>
      </c>
      <c r="G23" s="2"/>
      <c r="H23" s="6">
        <v>27602.5</v>
      </c>
      <c r="I23" s="2"/>
      <c r="J23" s="7">
        <f t="shared" si="5"/>
        <v>0</v>
      </c>
      <c r="K23" s="2"/>
      <c r="L23" s="6">
        <f t="shared" si="6"/>
        <v>-4228.9499999999971</v>
      </c>
      <c r="M23" s="2"/>
      <c r="N23" s="7">
        <f t="shared" si="7"/>
        <v>-0.15320894846481287</v>
      </c>
      <c r="O23" s="11"/>
      <c r="P23" s="6">
        <v>181969.63999999998</v>
      </c>
      <c r="Q23" s="2"/>
      <c r="R23" s="7">
        <f t="shared" si="8"/>
        <v>0</v>
      </c>
      <c r="S23" s="2"/>
      <c r="T23" s="6">
        <v>220019.34615384616</v>
      </c>
      <c r="U23" s="2"/>
      <c r="V23" s="7">
        <f t="shared" si="9"/>
        <v>1100.0967307692308</v>
      </c>
      <c r="W23" s="2"/>
      <c r="X23" s="6">
        <f t="shared" si="10"/>
        <v>-38049.706153846171</v>
      </c>
      <c r="Y23" s="2"/>
      <c r="Z23" s="7">
        <f t="shared" si="11"/>
        <v>-0.17293800213023233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344.32</v>
      </c>
      <c r="E24" s="2"/>
      <c r="F24" s="7">
        <f t="shared" si="4"/>
        <v>0</v>
      </c>
      <c r="G24" s="2"/>
      <c r="H24" s="6">
        <v>373.85269471999999</v>
      </c>
      <c r="I24" s="2"/>
      <c r="J24" s="7">
        <f t="shared" si="5"/>
        <v>0</v>
      </c>
      <c r="K24" s="2"/>
      <c r="L24" s="6">
        <f t="shared" si="6"/>
        <v>-29.532694719999995</v>
      </c>
      <c r="M24" s="2"/>
      <c r="N24" s="7">
        <f t="shared" si="7"/>
        <v>-7.8995537913987071E-2</v>
      </c>
      <c r="O24" s="11"/>
      <c r="P24" s="6">
        <v>3175.13</v>
      </c>
      <c r="Q24" s="2"/>
      <c r="R24" s="7">
        <f t="shared" si="8"/>
        <v>0</v>
      </c>
      <c r="S24" s="2"/>
      <c r="T24" s="6">
        <v>3180.6696694000002</v>
      </c>
      <c r="U24" s="2"/>
      <c r="V24" s="7">
        <f t="shared" si="9"/>
        <v>15.903348347000001</v>
      </c>
      <c r="W24" s="2"/>
      <c r="X24" s="6">
        <f t="shared" si="10"/>
        <v>-5.5396694000000934</v>
      </c>
      <c r="Y24" s="2"/>
      <c r="Z24" s="7">
        <f t="shared" si="11"/>
        <v>-1.741667628454197E-3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7632.94</v>
      </c>
      <c r="E25" s="2"/>
      <c r="F25" s="7">
        <f t="shared" si="4"/>
        <v>0</v>
      </c>
      <c r="G25" s="2"/>
      <c r="H25" s="6">
        <v>8097.1122453538474</v>
      </c>
      <c r="I25" s="2"/>
      <c r="J25" s="7">
        <f t="shared" si="5"/>
        <v>0</v>
      </c>
      <c r="K25" s="2"/>
      <c r="L25" s="6">
        <f t="shared" si="6"/>
        <v>-464.17224535384776</v>
      </c>
      <c r="M25" s="2"/>
      <c r="N25" s="7">
        <f t="shared" si="7"/>
        <v>-5.7325652811617063E-2</v>
      </c>
      <c r="O25" s="11"/>
      <c r="P25" s="6">
        <v>71560.479999999996</v>
      </c>
      <c r="Q25" s="2"/>
      <c r="R25" s="7">
        <f t="shared" si="8"/>
        <v>0</v>
      </c>
      <c r="S25" s="2"/>
      <c r="T25" s="6">
        <v>70849.732146846189</v>
      </c>
      <c r="U25" s="2"/>
      <c r="V25" s="7">
        <f t="shared" si="9"/>
        <v>354.24866073423095</v>
      </c>
      <c r="W25" s="2"/>
      <c r="X25" s="6">
        <f t="shared" si="10"/>
        <v>710.74785315380723</v>
      </c>
      <c r="Y25" s="2"/>
      <c r="Z25" s="7">
        <f t="shared" si="11"/>
        <v>1.0031764858061577E-2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>
        <v>733</v>
      </c>
      <c r="E26" s="2"/>
      <c r="F26" s="7">
        <f t="shared" si="4"/>
        <v>0</v>
      </c>
      <c r="G26" s="2"/>
      <c r="H26" s="6">
        <v>500</v>
      </c>
      <c r="I26" s="2"/>
      <c r="J26" s="7">
        <f t="shared" si="5"/>
        <v>0</v>
      </c>
      <c r="K26" s="2"/>
      <c r="L26" s="6">
        <f t="shared" si="6"/>
        <v>233</v>
      </c>
      <c r="M26" s="2"/>
      <c r="N26" s="7">
        <f t="shared" si="7"/>
        <v>0.46600000000000003</v>
      </c>
      <c r="O26" s="11"/>
      <c r="P26" s="6">
        <v>5070.88</v>
      </c>
      <c r="Q26" s="2"/>
      <c r="R26" s="7">
        <f t="shared" si="8"/>
        <v>0</v>
      </c>
      <c r="S26" s="2"/>
      <c r="T26" s="6">
        <v>4000</v>
      </c>
      <c r="U26" s="2"/>
      <c r="V26" s="7">
        <f t="shared" si="9"/>
        <v>20</v>
      </c>
      <c r="W26" s="2"/>
      <c r="X26" s="6">
        <f t="shared" si="10"/>
        <v>1070.8800000000001</v>
      </c>
      <c r="Y26" s="2"/>
      <c r="Z26" s="7">
        <f t="shared" si="11"/>
        <v>0.26772000000000001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6">
        <v>429.62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429.62</v>
      </c>
      <c r="M27" s="2"/>
      <c r="N27" s="7">
        <f t="shared" si="7"/>
        <v>0</v>
      </c>
      <c r="O27" s="11"/>
      <c r="P27" s="6">
        <v>6885.58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6885.58</v>
      </c>
      <c r="Y27" s="2"/>
      <c r="Z27" s="7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>
        <v>7058.63</v>
      </c>
      <c r="E28" s="2"/>
      <c r="F28" s="7">
        <f t="shared" si="4"/>
        <v>0</v>
      </c>
      <c r="G28" s="2"/>
      <c r="H28" s="6">
        <v>6941.3003984615407</v>
      </c>
      <c r="I28" s="2"/>
      <c r="J28" s="7">
        <f t="shared" si="5"/>
        <v>0</v>
      </c>
      <c r="K28" s="2"/>
      <c r="L28" s="6">
        <f t="shared" si="6"/>
        <v>117.32960153845943</v>
      </c>
      <c r="M28" s="2"/>
      <c r="N28" s="7">
        <f t="shared" si="7"/>
        <v>1.6903115382308504E-2</v>
      </c>
      <c r="O28" s="11"/>
      <c r="P28" s="6">
        <v>68896.989999999991</v>
      </c>
      <c r="Q28" s="2"/>
      <c r="R28" s="7">
        <f t="shared" si="8"/>
        <v>0</v>
      </c>
      <c r="S28" s="2"/>
      <c r="T28" s="6">
        <v>59975.256286538483</v>
      </c>
      <c r="U28" s="2"/>
      <c r="V28" s="7">
        <f t="shared" si="9"/>
        <v>299.87628143269239</v>
      </c>
      <c r="W28" s="2"/>
      <c r="X28" s="6">
        <f t="shared" si="10"/>
        <v>8921.7337134615082</v>
      </c>
      <c r="Y28" s="2"/>
      <c r="Z28" s="7">
        <f t="shared" si="11"/>
        <v>0.14875690852969314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>
        <v>4791.84</v>
      </c>
      <c r="E29" s="2"/>
      <c r="F29" s="7">
        <f t="shared" si="4"/>
        <v>0</v>
      </c>
      <c r="G29" s="2"/>
      <c r="H29" s="6">
        <v>4906.1315753846166</v>
      </c>
      <c r="I29" s="2"/>
      <c r="J29" s="7">
        <f t="shared" si="5"/>
        <v>0</v>
      </c>
      <c r="K29" s="2"/>
      <c r="L29" s="6">
        <f t="shared" si="6"/>
        <v>-114.29157538461641</v>
      </c>
      <c r="M29" s="2"/>
      <c r="N29" s="7">
        <f t="shared" si="7"/>
        <v>-2.3295660466598169E-2</v>
      </c>
      <c r="O29" s="11"/>
      <c r="P29" s="6">
        <v>57620.729999999996</v>
      </c>
      <c r="Q29" s="2"/>
      <c r="R29" s="7">
        <f t="shared" si="8"/>
        <v>0</v>
      </c>
      <c r="S29" s="2"/>
      <c r="T29" s="6">
        <v>42339.830214615416</v>
      </c>
      <c r="U29" s="2"/>
      <c r="V29" s="7">
        <f t="shared" si="9"/>
        <v>211.69915107307708</v>
      </c>
      <c r="W29" s="2"/>
      <c r="X29" s="6">
        <f t="shared" si="10"/>
        <v>15280.899785384579</v>
      </c>
      <c r="Y29" s="2"/>
      <c r="Z29" s="7">
        <f t="shared" si="11"/>
        <v>0.36091074782132021</v>
      </c>
    </row>
    <row r="30" spans="1:26" s="24" customFormat="1" hidden="1" outlineLevel="2" x14ac:dyDescent="0.25">
      <c r="A30" s="25"/>
      <c r="B30" s="11" t="str">
        <f>CONCATENATE("          ", "6120", " - ", "RETIREES HEALTH INSURANCE")</f>
        <v xml:space="preserve">          6120 - RETIREES HEALTH INSURANCE</v>
      </c>
      <c r="C30" s="11"/>
      <c r="D30" s="6">
        <v>29239.74</v>
      </c>
      <c r="E30" s="2"/>
      <c r="F30" s="7">
        <f t="shared" si="4"/>
        <v>0</v>
      </c>
      <c r="G30" s="2"/>
      <c r="H30" s="6">
        <v>39000</v>
      </c>
      <c r="I30" s="2"/>
      <c r="J30" s="7">
        <f t="shared" si="5"/>
        <v>0</v>
      </c>
      <c r="K30" s="2"/>
      <c r="L30" s="6">
        <f t="shared" si="6"/>
        <v>-9760.2599999999984</v>
      </c>
      <c r="M30" s="2"/>
      <c r="N30" s="7">
        <f t="shared" si="7"/>
        <v>-0.25026307692307687</v>
      </c>
      <c r="O30" s="11"/>
      <c r="P30" s="6">
        <v>235517.99</v>
      </c>
      <c r="Q30" s="2"/>
      <c r="R30" s="7">
        <f t="shared" si="8"/>
        <v>0</v>
      </c>
      <c r="S30" s="2"/>
      <c r="T30" s="6">
        <v>313300</v>
      </c>
      <c r="U30" s="2"/>
      <c r="V30" s="7">
        <f t="shared" si="9"/>
        <v>1566.5</v>
      </c>
      <c r="W30" s="2"/>
      <c r="X30" s="6">
        <f t="shared" si="10"/>
        <v>-77782.010000000009</v>
      </c>
      <c r="Y30" s="2"/>
      <c r="Z30" s="7">
        <f t="shared" si="11"/>
        <v>-0.24826686881583149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2986.71</v>
      </c>
      <c r="E31" s="2"/>
      <c r="F31" s="7">
        <f t="shared" si="4"/>
        <v>0</v>
      </c>
      <c r="G31" s="2"/>
      <c r="H31" s="6">
        <v>1350</v>
      </c>
      <c r="I31" s="2"/>
      <c r="J31" s="7">
        <f t="shared" si="5"/>
        <v>0</v>
      </c>
      <c r="K31" s="2"/>
      <c r="L31" s="6">
        <f t="shared" si="6"/>
        <v>1636.71</v>
      </c>
      <c r="M31" s="2"/>
      <c r="N31" s="7">
        <f t="shared" si="7"/>
        <v>1.2123777777777778</v>
      </c>
      <c r="O31" s="11"/>
      <c r="P31" s="6">
        <v>20247.95</v>
      </c>
      <c r="Q31" s="2"/>
      <c r="R31" s="7">
        <f t="shared" si="8"/>
        <v>0</v>
      </c>
      <c r="S31" s="2"/>
      <c r="T31" s="6">
        <v>10800</v>
      </c>
      <c r="U31" s="2"/>
      <c r="V31" s="7">
        <f t="shared" si="9"/>
        <v>54</v>
      </c>
      <c r="W31" s="2"/>
      <c r="X31" s="6">
        <f t="shared" si="10"/>
        <v>9447.9500000000007</v>
      </c>
      <c r="Y31" s="2"/>
      <c r="Z31" s="7">
        <f t="shared" si="11"/>
        <v>0.87481018518518527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123554.83999999998</v>
      </c>
      <c r="E32" s="1"/>
      <c r="F32" s="5">
        <f t="shared" ref="F32:F42" si="12">IF(D$12=0,0,D32/D$12)</f>
        <v>0</v>
      </c>
      <c r="G32" s="1"/>
      <c r="H32" s="1">
        <f>SUM(OSRRefH22_1x_0)</f>
        <v>133670.69035692295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-10115.850356922965</v>
      </c>
      <c r="M32" s="1"/>
      <c r="N32" s="5">
        <f t="shared" ref="N32:N42" si="15">IF(H32=0,0,L32/H32)</f>
        <v>-7.5677400407763024E-2</v>
      </c>
      <c r="O32" s="13"/>
      <c r="P32" s="1">
        <f>SUM(OSRRefP22_1x_0)</f>
        <v>917775.11</v>
      </c>
      <c r="Q32" s="1"/>
      <c r="R32" s="5">
        <f t="shared" ref="R32:R42" si="16">IF(P$12=0,0,P32/P$12)</f>
        <v>0</v>
      </c>
      <c r="S32" s="1"/>
      <c r="T32" s="1">
        <f>SUM(OSRRefT22_1x_0)</f>
        <v>1134998.6498230761</v>
      </c>
      <c r="U32" s="1"/>
      <c r="V32" s="5">
        <f t="shared" ref="V32:V42" si="17">IF(T$12=0,0,T32/T$12)</f>
        <v>5674.9932491153804</v>
      </c>
      <c r="W32" s="1"/>
      <c r="X32" s="1">
        <f t="shared" ref="X32:X42" si="18">+P32-T32</f>
        <v>-217223.53982307611</v>
      </c>
      <c r="Y32" s="1"/>
      <c r="Z32" s="5">
        <f t="shared" ref="Z32:Z42" si="19">IF(T32=0,0,X32/T32)</f>
        <v>-0.19138660636903573</v>
      </c>
    </row>
    <row r="33" spans="1:26" s="24" customFormat="1" hidden="1" outlineLevel="2" x14ac:dyDescent="0.25">
      <c r="A33" s="25"/>
      <c r="B33" s="11" t="str">
        <f>CONCATENATE("          ", "6001", " - ", "ADMINISTRATIVE SALARIES")</f>
        <v xml:space="preserve">          6001 - ADMINISTRATIVE SALARIES</v>
      </c>
      <c r="C33" s="11"/>
      <c r="D33" s="6">
        <v>23360.44</v>
      </c>
      <c r="E33" s="2"/>
      <c r="F33" s="7">
        <f t="shared" si="12"/>
        <v>0</v>
      </c>
      <c r="G33" s="2"/>
      <c r="H33" s="6">
        <v>42696.154864615339</v>
      </c>
      <c r="I33" s="2"/>
      <c r="J33" s="7">
        <f t="shared" si="13"/>
        <v>0</v>
      </c>
      <c r="K33" s="2"/>
      <c r="L33" s="6">
        <f t="shared" si="14"/>
        <v>-19335.71486461534</v>
      </c>
      <c r="M33" s="2"/>
      <c r="N33" s="7">
        <f t="shared" si="15"/>
        <v>-0.45286782676160647</v>
      </c>
      <c r="O33" s="11"/>
      <c r="P33" s="6">
        <v>198260.73</v>
      </c>
      <c r="Q33" s="2"/>
      <c r="R33" s="7">
        <f t="shared" si="16"/>
        <v>0</v>
      </c>
      <c r="S33" s="2"/>
      <c r="T33" s="6">
        <v>373591.35506538436</v>
      </c>
      <c r="U33" s="2"/>
      <c r="V33" s="7">
        <f t="shared" si="17"/>
        <v>1867.9567753269218</v>
      </c>
      <c r="W33" s="2"/>
      <c r="X33" s="6">
        <f t="shared" si="18"/>
        <v>-175330.62506538435</v>
      </c>
      <c r="Y33" s="2"/>
      <c r="Z33" s="7">
        <f t="shared" si="19"/>
        <v>-0.46931124794014234</v>
      </c>
    </row>
    <row r="34" spans="1:26" s="24" customFormat="1" hidden="1" outlineLevel="2" x14ac:dyDescent="0.25">
      <c r="A34" s="25"/>
      <c r="B34" s="11" t="str">
        <f>CONCATENATE("          ", "6002", " - ", "STAFF SALARIES")</f>
        <v xml:space="preserve">          6002 - STAFF SALARIES</v>
      </c>
      <c r="C34" s="11"/>
      <c r="D34" s="6">
        <v>52340.32</v>
      </c>
      <c r="E34" s="2"/>
      <c r="F34" s="7">
        <f t="shared" si="12"/>
        <v>0</v>
      </c>
      <c r="G34" s="2"/>
      <c r="H34" s="6">
        <v>44196.157492307611</v>
      </c>
      <c r="I34" s="2"/>
      <c r="J34" s="7">
        <f t="shared" si="13"/>
        <v>0</v>
      </c>
      <c r="K34" s="2"/>
      <c r="L34" s="6">
        <f t="shared" si="14"/>
        <v>8144.1625076923883</v>
      </c>
      <c r="M34" s="2"/>
      <c r="N34" s="7">
        <f t="shared" si="15"/>
        <v>0.18427309001036773</v>
      </c>
      <c r="O34" s="11"/>
      <c r="P34" s="6">
        <v>388222.78</v>
      </c>
      <c r="Q34" s="2"/>
      <c r="R34" s="7">
        <f t="shared" si="16"/>
        <v>0</v>
      </c>
      <c r="S34" s="2"/>
      <c r="T34" s="6">
        <v>386716.37805769185</v>
      </c>
      <c r="U34" s="2"/>
      <c r="V34" s="7">
        <f t="shared" si="17"/>
        <v>1933.5818902884594</v>
      </c>
      <c r="W34" s="2"/>
      <c r="X34" s="6">
        <f t="shared" si="18"/>
        <v>1506.4019423081772</v>
      </c>
      <c r="Y34" s="2"/>
      <c r="Z34" s="7">
        <f t="shared" si="19"/>
        <v>3.8953662885295392E-3</v>
      </c>
    </row>
    <row r="35" spans="1:26" s="24" customFormat="1" hidden="1" outlineLevel="2" x14ac:dyDescent="0.25">
      <c r="A35" s="25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21598.289999999997</v>
      </c>
      <c r="E36" s="2"/>
      <c r="F36" s="7">
        <f t="shared" si="12"/>
        <v>0</v>
      </c>
      <c r="G36" s="2"/>
      <c r="H36" s="6">
        <v>24524.763999999999</v>
      </c>
      <c r="I36" s="2"/>
      <c r="J36" s="7">
        <f t="shared" si="13"/>
        <v>0</v>
      </c>
      <c r="K36" s="2"/>
      <c r="L36" s="6">
        <f t="shared" si="14"/>
        <v>-2926.474000000002</v>
      </c>
      <c r="M36" s="2"/>
      <c r="N36" s="7">
        <f t="shared" si="15"/>
        <v>-0.11932730524950218</v>
      </c>
      <c r="O36" s="11"/>
      <c r="P36" s="6">
        <v>182353.31</v>
      </c>
      <c r="Q36" s="2"/>
      <c r="R36" s="7">
        <f t="shared" si="16"/>
        <v>0</v>
      </c>
      <c r="S36" s="2"/>
      <c r="T36" s="6">
        <v>200217.81019999998</v>
      </c>
      <c r="U36" s="2"/>
      <c r="V36" s="7">
        <f t="shared" si="17"/>
        <v>1001.0890509999999</v>
      </c>
      <c r="W36" s="2"/>
      <c r="X36" s="6">
        <f t="shared" si="18"/>
        <v>-17864.50019999998</v>
      </c>
      <c r="Y36" s="2"/>
      <c r="Z36" s="7">
        <f t="shared" si="19"/>
        <v>-8.9225330065067221E-2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>
        <v>10550.53</v>
      </c>
      <c r="E37" s="2"/>
      <c r="F37" s="7">
        <f t="shared" si="12"/>
        <v>0</v>
      </c>
      <c r="G37" s="2"/>
      <c r="H37" s="6">
        <v>8990</v>
      </c>
      <c r="I37" s="2"/>
      <c r="J37" s="7">
        <f t="shared" si="13"/>
        <v>0</v>
      </c>
      <c r="K37" s="2"/>
      <c r="L37" s="6">
        <f t="shared" si="14"/>
        <v>1560.5300000000007</v>
      </c>
      <c r="M37" s="2"/>
      <c r="N37" s="7">
        <f t="shared" si="15"/>
        <v>0.17358509454949952</v>
      </c>
      <c r="O37" s="11"/>
      <c r="P37" s="6">
        <v>78586.179999999993</v>
      </c>
      <c r="Q37" s="2"/>
      <c r="R37" s="7">
        <f t="shared" si="16"/>
        <v>0</v>
      </c>
      <c r="S37" s="2"/>
      <c r="T37" s="6">
        <v>64728</v>
      </c>
      <c r="U37" s="2"/>
      <c r="V37" s="7">
        <f t="shared" si="17"/>
        <v>323.64</v>
      </c>
      <c r="W37" s="2"/>
      <c r="X37" s="6">
        <f t="shared" si="18"/>
        <v>13858.179999999993</v>
      </c>
      <c r="Y37" s="2"/>
      <c r="Z37" s="7">
        <f t="shared" si="19"/>
        <v>0.21409868990236053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2361.4299999999998</v>
      </c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2361.4299999999998</v>
      </c>
      <c r="Y38" s="2"/>
      <c r="Z38" s="7">
        <f t="shared" si="19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13601.48</v>
      </c>
      <c r="E39" s="2"/>
      <c r="F39" s="7">
        <f t="shared" si="12"/>
        <v>0</v>
      </c>
      <c r="G39" s="2"/>
      <c r="H39" s="6">
        <v>6738.55</v>
      </c>
      <c r="I39" s="2"/>
      <c r="J39" s="7">
        <f t="shared" si="13"/>
        <v>0</v>
      </c>
      <c r="K39" s="2"/>
      <c r="L39" s="6">
        <f t="shared" si="14"/>
        <v>6862.9299999999994</v>
      </c>
      <c r="M39" s="2"/>
      <c r="N39" s="7">
        <f t="shared" si="15"/>
        <v>1.0184579768644588</v>
      </c>
      <c r="O39" s="11"/>
      <c r="P39" s="6">
        <v>54286.080000000002</v>
      </c>
      <c r="Q39" s="2"/>
      <c r="R39" s="7">
        <f t="shared" si="16"/>
        <v>0</v>
      </c>
      <c r="S39" s="2"/>
      <c r="T39" s="6">
        <v>52904.237499999996</v>
      </c>
      <c r="U39" s="2"/>
      <c r="V39" s="7">
        <f t="shared" si="17"/>
        <v>264.5211875</v>
      </c>
      <c r="W39" s="2"/>
      <c r="X39" s="6">
        <f t="shared" si="18"/>
        <v>1381.8425000000061</v>
      </c>
      <c r="Y39" s="2"/>
      <c r="Z39" s="7">
        <f t="shared" si="19"/>
        <v>2.611969409822807E-2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>
        <v>2103.7800000000002</v>
      </c>
      <c r="E40" s="2"/>
      <c r="F40" s="7">
        <f t="shared" si="12"/>
        <v>0</v>
      </c>
      <c r="G40" s="2"/>
      <c r="H40" s="6">
        <v>6525.0640000000003</v>
      </c>
      <c r="I40" s="2"/>
      <c r="J40" s="7">
        <f t="shared" si="13"/>
        <v>0</v>
      </c>
      <c r="K40" s="2"/>
      <c r="L40" s="6">
        <f t="shared" si="14"/>
        <v>-4421.2839999999997</v>
      </c>
      <c r="M40" s="2"/>
      <c r="N40" s="7">
        <f t="shared" si="15"/>
        <v>-0.677584771582317</v>
      </c>
      <c r="O40" s="11"/>
      <c r="P40" s="6">
        <v>13704.6</v>
      </c>
      <c r="Q40" s="2"/>
      <c r="R40" s="7">
        <f t="shared" si="16"/>
        <v>0</v>
      </c>
      <c r="S40" s="2"/>
      <c r="T40" s="6">
        <v>56840.868999999999</v>
      </c>
      <c r="U40" s="2"/>
      <c r="V40" s="7">
        <f t="shared" si="17"/>
        <v>284.20434499999999</v>
      </c>
      <c r="W40" s="2"/>
      <c r="X40" s="6">
        <f t="shared" si="18"/>
        <v>-43136.269</v>
      </c>
      <c r="Y40" s="2"/>
      <c r="Z40" s="7">
        <f t="shared" si="19"/>
        <v>-0.75889531175183123</v>
      </c>
    </row>
    <row r="41" spans="1:26" s="24" customFormat="1" hidden="1" outlineLevel="2" x14ac:dyDescent="0.25">
      <c r="A41" s="25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5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7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-3771.28</v>
      </c>
      <c r="E43" s="1"/>
      <c r="F43" s="5">
        <f t="shared" ref="F43:F51" si="20">IF(D$12=0,0,D43/D$12)</f>
        <v>0</v>
      </c>
      <c r="G43" s="1"/>
      <c r="H43" s="1">
        <f>SUM(OSRRefH22_2x_0)</f>
        <v>260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-4031.28</v>
      </c>
      <c r="M43" s="1"/>
      <c r="N43" s="5">
        <f t="shared" ref="N43:N51" si="23">IF(H43=0,0,L43/H43)</f>
        <v>-15.504923076923077</v>
      </c>
      <c r="O43" s="13"/>
      <c r="P43" s="1">
        <f>SUM(OSRRefP22_2x_0)</f>
        <v>-33560.94</v>
      </c>
      <c r="Q43" s="1"/>
      <c r="R43" s="5">
        <f t="shared" ref="R43:R51" si="24">IF(P$12=0,0,P43/P$12)</f>
        <v>0</v>
      </c>
      <c r="S43" s="1"/>
      <c r="T43" s="1">
        <f>SUM(OSRRefT22_2x_0)</f>
        <v>2105</v>
      </c>
      <c r="U43" s="1"/>
      <c r="V43" s="5">
        <f t="shared" ref="V43:V51" si="25">IF(T$12=0,0,T43/T$12)</f>
        <v>10.525</v>
      </c>
      <c r="W43" s="1"/>
      <c r="X43" s="1">
        <f t="shared" ref="X43:X51" si="26">+P43-T43</f>
        <v>-35665.94</v>
      </c>
      <c r="Y43" s="1"/>
      <c r="Z43" s="5">
        <f t="shared" ref="Z43:Z51" si="27">IF(T43=0,0,X43/T43)</f>
        <v>-16.943439429928741</v>
      </c>
    </row>
    <row r="44" spans="1:26" s="24" customFormat="1" hidden="1" outlineLevel="2" x14ac:dyDescent="0.25">
      <c r="A44" s="25"/>
      <c r="B44" s="11" t="str">
        <f>CONCATENATE("          ", "6362", " - ", "ADVERTISING EXPENSE")</f>
        <v xml:space="preserve">          6362 - ADVERTISING EXPENSE</v>
      </c>
      <c r="C44" s="11"/>
      <c r="D44" s="6">
        <v>-3771.28</v>
      </c>
      <c r="E44" s="2"/>
      <c r="F44" s="7">
        <f t="shared" si="20"/>
        <v>0</v>
      </c>
      <c r="G44" s="2"/>
      <c r="H44" s="6">
        <v>260</v>
      </c>
      <c r="I44" s="2"/>
      <c r="J44" s="7">
        <f t="shared" si="21"/>
        <v>0</v>
      </c>
      <c r="K44" s="2"/>
      <c r="L44" s="6">
        <f t="shared" si="22"/>
        <v>-4031.28</v>
      </c>
      <c r="M44" s="2"/>
      <c r="N44" s="7">
        <f t="shared" si="23"/>
        <v>-15.504923076923077</v>
      </c>
      <c r="O44" s="11"/>
      <c r="P44" s="6">
        <v>-33560.94</v>
      </c>
      <c r="Q44" s="2"/>
      <c r="R44" s="7">
        <f t="shared" si="24"/>
        <v>0</v>
      </c>
      <c r="S44" s="2"/>
      <c r="T44" s="6">
        <v>2105</v>
      </c>
      <c r="U44" s="2"/>
      <c r="V44" s="7">
        <f t="shared" si="25"/>
        <v>10.525</v>
      </c>
      <c r="W44" s="2"/>
      <c r="X44" s="6">
        <f t="shared" si="26"/>
        <v>-35665.94</v>
      </c>
      <c r="Y44" s="2"/>
      <c r="Z44" s="7">
        <f t="shared" si="27"/>
        <v>-16.943439429928741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1218.07</v>
      </c>
      <c r="E45" s="1"/>
      <c r="F45" s="5">
        <f t="shared" si="20"/>
        <v>0</v>
      </c>
      <c r="G45" s="1"/>
      <c r="H45" s="1">
        <f>SUM(OSRRefH22_3x_0)</f>
        <v>1000</v>
      </c>
      <c r="I45" s="1"/>
      <c r="J45" s="5">
        <f t="shared" si="21"/>
        <v>0</v>
      </c>
      <c r="K45" s="1"/>
      <c r="L45" s="1">
        <f t="shared" si="22"/>
        <v>218.06999999999994</v>
      </c>
      <c r="M45" s="1"/>
      <c r="N45" s="5">
        <f t="shared" si="23"/>
        <v>0.21806999999999993</v>
      </c>
      <c r="O45" s="13"/>
      <c r="P45" s="1">
        <f>SUM(OSRRefP22_3x_0)</f>
        <v>39562.39</v>
      </c>
      <c r="Q45" s="1"/>
      <c r="R45" s="5">
        <f t="shared" si="24"/>
        <v>0</v>
      </c>
      <c r="S45" s="1"/>
      <c r="T45" s="1">
        <f>SUM(OSRRefT22_3x_0)</f>
        <v>52000</v>
      </c>
      <c r="U45" s="1"/>
      <c r="V45" s="5">
        <f t="shared" si="25"/>
        <v>260</v>
      </c>
      <c r="W45" s="1"/>
      <c r="X45" s="1">
        <f t="shared" si="26"/>
        <v>-12437.61</v>
      </c>
      <c r="Y45" s="1"/>
      <c r="Z45" s="5">
        <f t="shared" si="27"/>
        <v>-0.23918480769230771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1218.07</v>
      </c>
      <c r="E46" s="2"/>
      <c r="F46" s="7">
        <f t="shared" si="20"/>
        <v>0</v>
      </c>
      <c r="G46" s="2"/>
      <c r="H46" s="6">
        <v>1000</v>
      </c>
      <c r="I46" s="2"/>
      <c r="J46" s="7">
        <f t="shared" si="21"/>
        <v>0</v>
      </c>
      <c r="K46" s="2"/>
      <c r="L46" s="6">
        <f t="shared" si="22"/>
        <v>218.06999999999994</v>
      </c>
      <c r="M46" s="2"/>
      <c r="N46" s="7">
        <f t="shared" si="23"/>
        <v>0.21806999999999993</v>
      </c>
      <c r="O46" s="11"/>
      <c r="P46" s="6">
        <v>39562.39</v>
      </c>
      <c r="Q46" s="2"/>
      <c r="R46" s="7">
        <f t="shared" si="24"/>
        <v>0</v>
      </c>
      <c r="S46" s="2"/>
      <c r="T46" s="6">
        <v>52000</v>
      </c>
      <c r="U46" s="2"/>
      <c r="V46" s="7">
        <f t="shared" si="25"/>
        <v>260</v>
      </c>
      <c r="W46" s="2"/>
      <c r="X46" s="6">
        <f t="shared" si="26"/>
        <v>-12437.61</v>
      </c>
      <c r="Y46" s="2"/>
      <c r="Z46" s="7">
        <f t="shared" si="27"/>
        <v>-0.23918480769230771</v>
      </c>
    </row>
    <row r="47" spans="1:26" s="27" customFormat="1" outlineLevel="1" collapsed="1" x14ac:dyDescent="0.25">
      <c r="A47" s="26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17285.14</v>
      </c>
      <c r="E47" s="1"/>
      <c r="F47" s="5">
        <f t="shared" si="20"/>
        <v>0</v>
      </c>
      <c r="G47" s="1"/>
      <c r="H47" s="1">
        <f>SUM(OSRRefH22_4x_0)</f>
        <v>17000</v>
      </c>
      <c r="I47" s="1"/>
      <c r="J47" s="5">
        <f t="shared" si="21"/>
        <v>0</v>
      </c>
      <c r="K47" s="1"/>
      <c r="L47" s="1">
        <f t="shared" si="22"/>
        <v>285.13999999999942</v>
      </c>
      <c r="M47" s="1"/>
      <c r="N47" s="5">
        <f t="shared" si="23"/>
        <v>1.6772941176470553E-2</v>
      </c>
      <c r="O47" s="13"/>
      <c r="P47" s="1">
        <f>SUM(OSRRefP22_4x_0)</f>
        <v>36365.85</v>
      </c>
      <c r="Q47" s="1"/>
      <c r="R47" s="5">
        <f t="shared" si="24"/>
        <v>0</v>
      </c>
      <c r="S47" s="1"/>
      <c r="T47" s="1">
        <f>SUM(OSRRefT22_4x_0)</f>
        <v>42700</v>
      </c>
      <c r="U47" s="1"/>
      <c r="V47" s="5">
        <f t="shared" si="25"/>
        <v>213.5</v>
      </c>
      <c r="W47" s="1"/>
      <c r="X47" s="1">
        <f t="shared" si="26"/>
        <v>-6334.1500000000015</v>
      </c>
      <c r="Y47" s="1"/>
      <c r="Z47" s="5">
        <f t="shared" si="27"/>
        <v>-0.14834074941451994</v>
      </c>
    </row>
    <row r="48" spans="1:26" s="24" customFormat="1" hidden="1" outlineLevel="2" x14ac:dyDescent="0.25">
      <c r="A48" s="25"/>
      <c r="B48" s="11" t="str">
        <f>CONCATENATE("          ", "6397", " - ", "BOARD EXPENSES")</f>
        <v xml:space="preserve">          6397 - BOARD EXPENSES</v>
      </c>
      <c r="C48" s="11"/>
      <c r="D48" s="6">
        <v>17285.14</v>
      </c>
      <c r="E48" s="2"/>
      <c r="F48" s="7">
        <f t="shared" si="20"/>
        <v>0</v>
      </c>
      <c r="G48" s="2"/>
      <c r="H48" s="6">
        <v>17000</v>
      </c>
      <c r="I48" s="2"/>
      <c r="J48" s="7">
        <f t="shared" si="21"/>
        <v>0</v>
      </c>
      <c r="K48" s="2"/>
      <c r="L48" s="6">
        <f t="shared" si="22"/>
        <v>285.13999999999942</v>
      </c>
      <c r="M48" s="2"/>
      <c r="N48" s="7">
        <f t="shared" si="23"/>
        <v>1.6772941176470553E-2</v>
      </c>
      <c r="O48" s="11"/>
      <c r="P48" s="6">
        <v>36365.85</v>
      </c>
      <c r="Q48" s="2"/>
      <c r="R48" s="7">
        <f t="shared" si="24"/>
        <v>0</v>
      </c>
      <c r="S48" s="2"/>
      <c r="T48" s="6">
        <v>42700</v>
      </c>
      <c r="U48" s="2"/>
      <c r="V48" s="7">
        <f t="shared" si="25"/>
        <v>213.5</v>
      </c>
      <c r="W48" s="2"/>
      <c r="X48" s="6">
        <f t="shared" si="26"/>
        <v>-6334.1500000000015</v>
      </c>
      <c r="Y48" s="2"/>
      <c r="Z48" s="7">
        <f t="shared" si="27"/>
        <v>-0.14834074941451994</v>
      </c>
    </row>
    <row r="49" spans="1:26" s="27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8599.93</v>
      </c>
      <c r="E49" s="1"/>
      <c r="F49" s="5">
        <f t="shared" si="20"/>
        <v>0</v>
      </c>
      <c r="G49" s="1"/>
      <c r="H49" s="1">
        <f>SUM(OSRRefH22_5x_0)</f>
        <v>8893</v>
      </c>
      <c r="I49" s="1"/>
      <c r="J49" s="5">
        <f t="shared" si="21"/>
        <v>0</v>
      </c>
      <c r="K49" s="1"/>
      <c r="L49" s="1">
        <f t="shared" si="22"/>
        <v>-293.06999999999971</v>
      </c>
      <c r="M49" s="1"/>
      <c r="N49" s="5">
        <f t="shared" si="23"/>
        <v>-3.2955133250871439E-2</v>
      </c>
      <c r="O49" s="13"/>
      <c r="P49" s="1">
        <f>SUM(OSRRefP22_5x_0)</f>
        <v>68799.44</v>
      </c>
      <c r="Q49" s="1"/>
      <c r="R49" s="5">
        <f t="shared" si="24"/>
        <v>0</v>
      </c>
      <c r="S49" s="1"/>
      <c r="T49" s="1">
        <f>SUM(OSRRefT22_5x_0)</f>
        <v>69527</v>
      </c>
      <c r="U49" s="1"/>
      <c r="V49" s="5">
        <f t="shared" si="25"/>
        <v>347.63499999999999</v>
      </c>
      <c r="W49" s="1"/>
      <c r="X49" s="1">
        <f t="shared" si="26"/>
        <v>-727.55999999999767</v>
      </c>
      <c r="Y49" s="1"/>
      <c r="Z49" s="5">
        <f t="shared" si="27"/>
        <v>-1.0464423892876116E-2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8599.93</v>
      </c>
      <c r="E50" s="2"/>
      <c r="F50" s="7">
        <f t="shared" si="20"/>
        <v>0</v>
      </c>
      <c r="G50" s="2"/>
      <c r="H50" s="6">
        <v>8593</v>
      </c>
      <c r="I50" s="2"/>
      <c r="J50" s="7">
        <f t="shared" si="21"/>
        <v>0</v>
      </c>
      <c r="K50" s="2"/>
      <c r="L50" s="6">
        <f t="shared" si="22"/>
        <v>6.930000000000291</v>
      </c>
      <c r="M50" s="2"/>
      <c r="N50" s="7">
        <f t="shared" si="23"/>
        <v>8.0647038286981159E-4</v>
      </c>
      <c r="O50" s="11"/>
      <c r="P50" s="6">
        <v>68799.44</v>
      </c>
      <c r="Q50" s="2"/>
      <c r="R50" s="7">
        <f t="shared" si="24"/>
        <v>0</v>
      </c>
      <c r="S50" s="2"/>
      <c r="T50" s="6">
        <v>68744</v>
      </c>
      <c r="U50" s="2"/>
      <c r="V50" s="7">
        <f t="shared" si="25"/>
        <v>343.72</v>
      </c>
      <c r="W50" s="2"/>
      <c r="X50" s="6">
        <f t="shared" si="26"/>
        <v>55.440000000002328</v>
      </c>
      <c r="Y50" s="2"/>
      <c r="Z50" s="7">
        <f t="shared" si="27"/>
        <v>8.0647038286981159E-4</v>
      </c>
    </row>
    <row r="51" spans="1:26" s="24" customFormat="1" hidden="1" outlineLevel="2" x14ac:dyDescent="0.25">
      <c r="A51" s="25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>
        <v>300</v>
      </c>
      <c r="I51" s="2"/>
      <c r="J51" s="7">
        <f t="shared" si="21"/>
        <v>0</v>
      </c>
      <c r="K51" s="2"/>
      <c r="L51" s="6">
        <f t="shared" si="22"/>
        <v>-300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783</v>
      </c>
      <c r="U51" s="2"/>
      <c r="V51" s="7">
        <f t="shared" si="25"/>
        <v>3.915</v>
      </c>
      <c r="W51" s="2"/>
      <c r="X51" s="6">
        <f t="shared" si="26"/>
        <v>-783</v>
      </c>
      <c r="Y51" s="2"/>
      <c r="Z51" s="7">
        <f t="shared" si="27"/>
        <v>-1</v>
      </c>
    </row>
    <row r="52" spans="1:26" s="27" customFormat="1" outlineLevel="1" collapsed="1" x14ac:dyDescent="0.25">
      <c r="A52" s="26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5628.19</v>
      </c>
      <c r="E52" s="1"/>
      <c r="F52" s="5">
        <f t="shared" ref="F52:F54" si="28">IF(D$12=0,0,D52/D$12)</f>
        <v>0</v>
      </c>
      <c r="G52" s="1"/>
      <c r="H52" s="1">
        <f>SUM(OSRRefH22_6x_0)</f>
        <v>11500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-5871.81</v>
      </c>
      <c r="M52" s="1"/>
      <c r="N52" s="5">
        <f t="shared" ref="N52:N54" si="31">IF(H52=0,0,L52/H52)</f>
        <v>-0.51059217391304357</v>
      </c>
      <c r="O52" s="13"/>
      <c r="P52" s="1">
        <f>SUM(OSRRefP22_6x_0)</f>
        <v>248773.19</v>
      </c>
      <c r="Q52" s="1"/>
      <c r="R52" s="5">
        <f t="shared" ref="R52:R54" si="32">IF(P$12=0,0,P52/P$12)</f>
        <v>0</v>
      </c>
      <c r="S52" s="1"/>
      <c r="T52" s="1">
        <f>SUM(OSRRefT22_6x_0)</f>
        <v>465300</v>
      </c>
      <c r="U52" s="1"/>
      <c r="V52" s="5">
        <f t="shared" ref="V52:V54" si="33">IF(T$12=0,0,T52/T$12)</f>
        <v>2326.5</v>
      </c>
      <c r="W52" s="1"/>
      <c r="X52" s="1">
        <f t="shared" ref="X52:X54" si="34">+P52-T52</f>
        <v>-216526.81</v>
      </c>
      <c r="Y52" s="1"/>
      <c r="Z52" s="5">
        <f t="shared" ref="Z52:Z54" si="35">IF(T52=0,0,X52/T52)</f>
        <v>-0.46534882871265848</v>
      </c>
    </row>
    <row r="53" spans="1:26" s="24" customFormat="1" hidden="1" outlineLevel="2" x14ac:dyDescent="0.25">
      <c r="A53" s="25"/>
      <c r="B53" s="11" t="str">
        <f>CONCATENATE("          ", "6395", " - ", "DONATION-OFF CAMPUS")</f>
        <v xml:space="preserve">          6395 - DONATION-OFF CAMPUS</v>
      </c>
      <c r="C53" s="11"/>
      <c r="D53" s="6"/>
      <c r="E53" s="2"/>
      <c r="F53" s="7">
        <f t="shared" si="28"/>
        <v>0</v>
      </c>
      <c r="G53" s="2"/>
      <c r="H53" s="6">
        <v>1500</v>
      </c>
      <c r="I53" s="2"/>
      <c r="J53" s="7">
        <f t="shared" si="29"/>
        <v>0</v>
      </c>
      <c r="K53" s="2"/>
      <c r="L53" s="6">
        <f t="shared" si="30"/>
        <v>-1500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2300</v>
      </c>
      <c r="U53" s="2"/>
      <c r="V53" s="7">
        <f t="shared" si="33"/>
        <v>11.5</v>
      </c>
      <c r="W53" s="2"/>
      <c r="X53" s="6">
        <f t="shared" si="34"/>
        <v>-2300</v>
      </c>
      <c r="Y53" s="2"/>
      <c r="Z53" s="7">
        <f t="shared" si="35"/>
        <v>-1</v>
      </c>
    </row>
    <row r="54" spans="1:26" s="24" customFormat="1" hidden="1" outlineLevel="2" x14ac:dyDescent="0.25">
      <c r="A54" s="25"/>
      <c r="B54" s="11" t="str">
        <f>CONCATENATE("          ", "6399", " - ", "DONATION-ON CAMPUS")</f>
        <v xml:space="preserve">          6399 - DONATION-ON CAMPUS</v>
      </c>
      <c r="C54" s="11"/>
      <c r="D54" s="6">
        <v>5628.19</v>
      </c>
      <c r="E54" s="2"/>
      <c r="F54" s="7">
        <f t="shared" si="28"/>
        <v>0</v>
      </c>
      <c r="G54" s="2"/>
      <c r="H54" s="6">
        <v>10000</v>
      </c>
      <c r="I54" s="2"/>
      <c r="J54" s="7">
        <f t="shared" si="29"/>
        <v>0</v>
      </c>
      <c r="K54" s="2"/>
      <c r="L54" s="6">
        <f t="shared" si="30"/>
        <v>-4371.8100000000004</v>
      </c>
      <c r="M54" s="2"/>
      <c r="N54" s="7">
        <f t="shared" si="31"/>
        <v>-0.43718100000000004</v>
      </c>
      <c r="O54" s="11"/>
      <c r="P54" s="6">
        <v>248773.19</v>
      </c>
      <c r="Q54" s="2"/>
      <c r="R54" s="7">
        <f t="shared" si="32"/>
        <v>0</v>
      </c>
      <c r="S54" s="2"/>
      <c r="T54" s="6">
        <v>463000</v>
      </c>
      <c r="U54" s="2"/>
      <c r="V54" s="7">
        <f t="shared" si="33"/>
        <v>2315</v>
      </c>
      <c r="W54" s="2"/>
      <c r="X54" s="6">
        <f t="shared" si="34"/>
        <v>-214226.81</v>
      </c>
      <c r="Y54" s="2"/>
      <c r="Z54" s="7">
        <f t="shared" si="35"/>
        <v>-0.46269289416846654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1501.18</v>
      </c>
      <c r="E55" s="1"/>
      <c r="F55" s="5">
        <f t="shared" ref="F55:F68" si="36">IF(D$12=0,0,D55/D$12)</f>
        <v>0</v>
      </c>
      <c r="G55" s="1"/>
      <c r="H55" s="1">
        <f>SUM(OSRRefH22_7x_0)</f>
        <v>908</v>
      </c>
      <c r="I55" s="1"/>
      <c r="J55" s="5">
        <f t="shared" ref="J55:J68" si="37">IF(H$12=0,0,H55/H$12)</f>
        <v>0</v>
      </c>
      <c r="K55" s="1"/>
      <c r="L55" s="1">
        <f t="shared" ref="L55:L68" si="38">+D55-H55</f>
        <v>593.18000000000006</v>
      </c>
      <c r="M55" s="1"/>
      <c r="N55" s="5">
        <f t="shared" ref="N55:N68" si="39">IF(H55=0,0,L55/H55)</f>
        <v>0.65328193832599124</v>
      </c>
      <c r="O55" s="13"/>
      <c r="P55" s="1">
        <f>SUM(OSRRefP22_7x_0)</f>
        <v>28519.22</v>
      </c>
      <c r="Q55" s="1"/>
      <c r="R55" s="5">
        <f t="shared" ref="R55:R68" si="40">IF(P$12=0,0,P55/P$12)</f>
        <v>0</v>
      </c>
      <c r="S55" s="1"/>
      <c r="T55" s="1">
        <f>SUM(OSRRefT22_7x_0)</f>
        <v>37264</v>
      </c>
      <c r="U55" s="1"/>
      <c r="V55" s="5">
        <f t="shared" ref="V55:V68" si="41">IF(T$12=0,0,T55/T$12)</f>
        <v>186.32</v>
      </c>
      <c r="W55" s="1"/>
      <c r="X55" s="1">
        <f t="shared" ref="X55:X68" si="42">+P55-T55</f>
        <v>-8744.7799999999988</v>
      </c>
      <c r="Y55" s="1"/>
      <c r="Z55" s="5">
        <f t="shared" ref="Z55:Z68" si="43">IF(T55=0,0,X55/T55)</f>
        <v>-0.23467099613568052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>
        <v>1501.18</v>
      </c>
      <c r="E56" s="2"/>
      <c r="F56" s="7">
        <f t="shared" si="36"/>
        <v>0</v>
      </c>
      <c r="G56" s="2"/>
      <c r="H56" s="6">
        <v>908</v>
      </c>
      <c r="I56" s="2"/>
      <c r="J56" s="7">
        <f t="shared" si="37"/>
        <v>0</v>
      </c>
      <c r="K56" s="2"/>
      <c r="L56" s="6">
        <f t="shared" si="38"/>
        <v>593.18000000000006</v>
      </c>
      <c r="M56" s="2"/>
      <c r="N56" s="7">
        <f t="shared" si="39"/>
        <v>0.65328193832599124</v>
      </c>
      <c r="O56" s="11"/>
      <c r="P56" s="6">
        <v>28519.22</v>
      </c>
      <c r="Q56" s="2"/>
      <c r="R56" s="7">
        <f t="shared" si="40"/>
        <v>0</v>
      </c>
      <c r="S56" s="2"/>
      <c r="T56" s="6">
        <v>37264</v>
      </c>
      <c r="U56" s="2"/>
      <c r="V56" s="7">
        <f t="shared" si="41"/>
        <v>186.32</v>
      </c>
      <c r="W56" s="2"/>
      <c r="X56" s="6">
        <f t="shared" si="42"/>
        <v>-8744.7799999999988</v>
      </c>
      <c r="Y56" s="2"/>
      <c r="Z56" s="7">
        <f t="shared" si="43"/>
        <v>-0.23467099613568052</v>
      </c>
    </row>
    <row r="57" spans="1:26" s="27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208.98</v>
      </c>
      <c r="E57" s="1"/>
      <c r="F57" s="5">
        <f t="shared" si="36"/>
        <v>0</v>
      </c>
      <c r="G57" s="1"/>
      <c r="H57" s="1">
        <f>SUM(OSRRefH22_8x_0)</f>
        <v>299</v>
      </c>
      <c r="I57" s="1"/>
      <c r="J57" s="5">
        <f t="shared" si="37"/>
        <v>0</v>
      </c>
      <c r="K57" s="1"/>
      <c r="L57" s="1">
        <f t="shared" si="38"/>
        <v>-90.02000000000001</v>
      </c>
      <c r="M57" s="1"/>
      <c r="N57" s="5">
        <f t="shared" si="39"/>
        <v>-0.30107023411371242</v>
      </c>
      <c r="O57" s="13"/>
      <c r="P57" s="1">
        <f>SUM(OSRRefP22_8x_0)</f>
        <v>1945.62</v>
      </c>
      <c r="Q57" s="1"/>
      <c r="R57" s="5">
        <f t="shared" si="40"/>
        <v>0</v>
      </c>
      <c r="S57" s="1"/>
      <c r="T57" s="1">
        <f>SUM(OSRRefT22_8x_0)</f>
        <v>2302</v>
      </c>
      <c r="U57" s="1"/>
      <c r="V57" s="5">
        <f t="shared" si="41"/>
        <v>11.51</v>
      </c>
      <c r="W57" s="1"/>
      <c r="X57" s="1">
        <f t="shared" si="42"/>
        <v>-356.38000000000011</v>
      </c>
      <c r="Y57" s="1"/>
      <c r="Z57" s="5">
        <f t="shared" si="43"/>
        <v>-0.1548132059079062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6">
        <v>208.98</v>
      </c>
      <c r="E58" s="2"/>
      <c r="F58" s="7">
        <f t="shared" si="36"/>
        <v>0</v>
      </c>
      <c r="G58" s="2"/>
      <c r="H58" s="6">
        <v>299</v>
      </c>
      <c r="I58" s="2"/>
      <c r="J58" s="7">
        <f t="shared" si="37"/>
        <v>0</v>
      </c>
      <c r="K58" s="2"/>
      <c r="L58" s="6">
        <f t="shared" si="38"/>
        <v>-90.02000000000001</v>
      </c>
      <c r="M58" s="2"/>
      <c r="N58" s="7">
        <f t="shared" si="39"/>
        <v>-0.30107023411371242</v>
      </c>
      <c r="O58" s="11"/>
      <c r="P58" s="6">
        <v>1945.62</v>
      </c>
      <c r="Q58" s="2"/>
      <c r="R58" s="7">
        <f t="shared" si="40"/>
        <v>0</v>
      </c>
      <c r="S58" s="2"/>
      <c r="T58" s="6">
        <v>2302</v>
      </c>
      <c r="U58" s="2"/>
      <c r="V58" s="7">
        <f t="shared" si="41"/>
        <v>11.51</v>
      </c>
      <c r="W58" s="2"/>
      <c r="X58" s="6">
        <f t="shared" si="42"/>
        <v>-356.38000000000011</v>
      </c>
      <c r="Y58" s="2"/>
      <c r="Z58" s="7">
        <f t="shared" si="43"/>
        <v>-0.1548132059079062</v>
      </c>
    </row>
    <row r="59" spans="1:26" s="27" customFormat="1" outlineLevel="1" collapsed="1" x14ac:dyDescent="0.25">
      <c r="A59" s="26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305.98</v>
      </c>
      <c r="E59" s="1"/>
      <c r="F59" s="5">
        <f t="shared" si="36"/>
        <v>0</v>
      </c>
      <c r="G59" s="1"/>
      <c r="H59" s="1">
        <f>SUM(OSRRefH22_9x_0)</f>
        <v>245</v>
      </c>
      <c r="I59" s="1"/>
      <c r="J59" s="5">
        <f t="shared" si="37"/>
        <v>0</v>
      </c>
      <c r="K59" s="1"/>
      <c r="L59" s="1">
        <f t="shared" si="38"/>
        <v>60.980000000000018</v>
      </c>
      <c r="M59" s="1"/>
      <c r="N59" s="5">
        <f t="shared" si="39"/>
        <v>0.24889795918367355</v>
      </c>
      <c r="O59" s="13"/>
      <c r="P59" s="1">
        <f>SUM(OSRRefP22_9x_0)</f>
        <v>2162.48</v>
      </c>
      <c r="Q59" s="1"/>
      <c r="R59" s="5">
        <f t="shared" si="40"/>
        <v>0</v>
      </c>
      <c r="S59" s="1"/>
      <c r="T59" s="1">
        <f>SUM(OSRRefT22_9x_0)</f>
        <v>1865</v>
      </c>
      <c r="U59" s="1"/>
      <c r="V59" s="5">
        <f t="shared" si="41"/>
        <v>9.3249999999999993</v>
      </c>
      <c r="W59" s="1"/>
      <c r="X59" s="1">
        <f t="shared" si="42"/>
        <v>297.48</v>
      </c>
      <c r="Y59" s="1"/>
      <c r="Z59" s="5">
        <f t="shared" si="43"/>
        <v>0.15950670241286866</v>
      </c>
    </row>
    <row r="60" spans="1:26" s="24" customFormat="1" hidden="1" outlineLevel="2" x14ac:dyDescent="0.25">
      <c r="A60" s="25"/>
      <c r="B60" s="11" t="str">
        <f>CONCATENATE("          ", "6307", " - ", "POSTAGE")</f>
        <v xml:space="preserve">          6307 - POSTAGE</v>
      </c>
      <c r="C60" s="11"/>
      <c r="D60" s="6">
        <v>305.98</v>
      </c>
      <c r="E60" s="2"/>
      <c r="F60" s="7">
        <f t="shared" si="36"/>
        <v>0</v>
      </c>
      <c r="G60" s="2"/>
      <c r="H60" s="6">
        <v>245</v>
      </c>
      <c r="I60" s="2"/>
      <c r="J60" s="7">
        <f t="shared" si="37"/>
        <v>0</v>
      </c>
      <c r="K60" s="2"/>
      <c r="L60" s="6">
        <f t="shared" si="38"/>
        <v>60.980000000000018</v>
      </c>
      <c r="M60" s="2"/>
      <c r="N60" s="7">
        <f t="shared" si="39"/>
        <v>0.24889795918367355</v>
      </c>
      <c r="O60" s="11"/>
      <c r="P60" s="6">
        <v>2162.48</v>
      </c>
      <c r="Q60" s="2"/>
      <c r="R60" s="7">
        <f t="shared" si="40"/>
        <v>0</v>
      </c>
      <c r="S60" s="2"/>
      <c r="T60" s="6">
        <v>1865</v>
      </c>
      <c r="U60" s="2"/>
      <c r="V60" s="7">
        <f t="shared" si="41"/>
        <v>9.3249999999999993</v>
      </c>
      <c r="W60" s="2"/>
      <c r="X60" s="6">
        <f t="shared" si="42"/>
        <v>297.48</v>
      </c>
      <c r="Y60" s="2"/>
      <c r="Z60" s="7">
        <f t="shared" si="43"/>
        <v>0.15950670241286866</v>
      </c>
    </row>
    <row r="61" spans="1:26" s="27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82.38</v>
      </c>
      <c r="E61" s="1"/>
      <c r="F61" s="5">
        <f t="shared" si="36"/>
        <v>0</v>
      </c>
      <c r="G61" s="1"/>
      <c r="H61" s="1">
        <f>SUM(OSRRefH22_10x_0)</f>
        <v>-85</v>
      </c>
      <c r="I61" s="1"/>
      <c r="J61" s="5">
        <f t="shared" si="37"/>
        <v>0</v>
      </c>
      <c r="K61" s="1"/>
      <c r="L61" s="1">
        <f t="shared" si="38"/>
        <v>167.38</v>
      </c>
      <c r="M61" s="1"/>
      <c r="N61" s="5">
        <f t="shared" si="39"/>
        <v>-1.9691764705882353</v>
      </c>
      <c r="O61" s="13"/>
      <c r="P61" s="1">
        <f>SUM(OSRRefP22_10x_0)</f>
        <v>12891.02</v>
      </c>
      <c r="Q61" s="1"/>
      <c r="R61" s="5">
        <f t="shared" si="40"/>
        <v>0</v>
      </c>
      <c r="S61" s="1"/>
      <c r="T61" s="1">
        <f>SUM(OSRRefT22_10x_0)</f>
        <v>3930</v>
      </c>
      <c r="U61" s="1"/>
      <c r="V61" s="5">
        <f t="shared" si="41"/>
        <v>19.649999999999999</v>
      </c>
      <c r="W61" s="1"/>
      <c r="X61" s="1">
        <f t="shared" si="42"/>
        <v>8961.02</v>
      </c>
      <c r="Y61" s="1"/>
      <c r="Z61" s="5">
        <f t="shared" si="43"/>
        <v>2.2801577608142494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6">
        <v>82.38</v>
      </c>
      <c r="E62" s="2"/>
      <c r="F62" s="7">
        <f t="shared" si="36"/>
        <v>0</v>
      </c>
      <c r="G62" s="2"/>
      <c r="H62" s="6">
        <v>-85</v>
      </c>
      <c r="I62" s="2"/>
      <c r="J62" s="7">
        <f t="shared" si="37"/>
        <v>0</v>
      </c>
      <c r="K62" s="2"/>
      <c r="L62" s="6">
        <f t="shared" si="38"/>
        <v>167.38</v>
      </c>
      <c r="M62" s="2"/>
      <c r="N62" s="7">
        <f t="shared" si="39"/>
        <v>-1.9691764705882353</v>
      </c>
      <c r="O62" s="11"/>
      <c r="P62" s="6">
        <v>12891.02</v>
      </c>
      <c r="Q62" s="2"/>
      <c r="R62" s="7">
        <f t="shared" si="40"/>
        <v>0</v>
      </c>
      <c r="S62" s="2"/>
      <c r="T62" s="6">
        <v>3930</v>
      </c>
      <c r="U62" s="2"/>
      <c r="V62" s="7">
        <f t="shared" si="41"/>
        <v>19.649999999999999</v>
      </c>
      <c r="W62" s="2"/>
      <c r="X62" s="6">
        <f t="shared" si="42"/>
        <v>8961.02</v>
      </c>
      <c r="Y62" s="2"/>
      <c r="Z62" s="7">
        <f t="shared" si="43"/>
        <v>2.2801577608142494</v>
      </c>
    </row>
    <row r="63" spans="1:26" s="27" customFormat="1" outlineLevel="1" collapsed="1" x14ac:dyDescent="0.25">
      <c r="A63" s="26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380</v>
      </c>
      <c r="I63" s="1"/>
      <c r="J63" s="5">
        <f t="shared" si="37"/>
        <v>0</v>
      </c>
      <c r="K63" s="1"/>
      <c r="L63" s="1">
        <f t="shared" si="38"/>
        <v>13.670000000000016</v>
      </c>
      <c r="M63" s="1"/>
      <c r="N63" s="5">
        <f t="shared" si="39"/>
        <v>3.5973684210526359E-2</v>
      </c>
      <c r="O63" s="13"/>
      <c r="P63" s="1">
        <f>SUM(OSRRefP22_11x_0)</f>
        <v>3149.36</v>
      </c>
      <c r="Q63" s="1"/>
      <c r="R63" s="5">
        <f t="shared" si="40"/>
        <v>0</v>
      </c>
      <c r="S63" s="1"/>
      <c r="T63" s="1">
        <f>SUM(OSRRefT22_11x_0)</f>
        <v>3040</v>
      </c>
      <c r="U63" s="1"/>
      <c r="V63" s="5">
        <f t="shared" si="41"/>
        <v>15.2</v>
      </c>
      <c r="W63" s="1"/>
      <c r="X63" s="1">
        <f t="shared" si="42"/>
        <v>109.36000000000013</v>
      </c>
      <c r="Y63" s="1"/>
      <c r="Z63" s="5">
        <f t="shared" si="43"/>
        <v>3.5973684210526359E-2</v>
      </c>
    </row>
    <row r="64" spans="1:26" s="24" customFormat="1" hidden="1" outlineLevel="2" x14ac:dyDescent="0.25">
      <c r="A64" s="25"/>
      <c r="B64" s="11" t="str">
        <f>CONCATENATE("          ", "6314", " - ", "LIABILITY INSURANCE")</f>
        <v xml:space="preserve">          6314 - LIABILITY INSURANCE</v>
      </c>
      <c r="C64" s="11"/>
      <c r="D64" s="6">
        <v>393.67</v>
      </c>
      <c r="E64" s="2"/>
      <c r="F64" s="7">
        <f t="shared" si="36"/>
        <v>0</v>
      </c>
      <c r="G64" s="2"/>
      <c r="H64" s="6">
        <v>380</v>
      </c>
      <c r="I64" s="2"/>
      <c r="J64" s="7">
        <f t="shared" si="37"/>
        <v>0</v>
      </c>
      <c r="K64" s="2"/>
      <c r="L64" s="6">
        <f t="shared" si="38"/>
        <v>13.670000000000016</v>
      </c>
      <c r="M64" s="2"/>
      <c r="N64" s="7">
        <f t="shared" si="39"/>
        <v>3.5973684210526359E-2</v>
      </c>
      <c r="O64" s="11"/>
      <c r="P64" s="6">
        <v>3149.36</v>
      </c>
      <c r="Q64" s="2"/>
      <c r="R64" s="7">
        <f t="shared" si="40"/>
        <v>0</v>
      </c>
      <c r="S64" s="2"/>
      <c r="T64" s="6">
        <v>3040</v>
      </c>
      <c r="U64" s="2"/>
      <c r="V64" s="7">
        <f t="shared" si="41"/>
        <v>15.2</v>
      </c>
      <c r="W64" s="2"/>
      <c r="X64" s="6">
        <f t="shared" si="42"/>
        <v>109.36000000000013</v>
      </c>
      <c r="Y64" s="2"/>
      <c r="Z64" s="7">
        <f t="shared" si="43"/>
        <v>3.5973684210526359E-2</v>
      </c>
    </row>
    <row r="65" spans="1:26" s="27" customFormat="1" outlineLevel="1" collapsed="1" x14ac:dyDescent="0.25">
      <c r="A65" s="26"/>
      <c r="B65" s="13" t="str">
        <f>CONCATENATE("     ","Interest                                          ")</f>
        <v xml:space="preserve">     Interest                                          </v>
      </c>
      <c r="C65" s="13"/>
      <c r="D65" s="1">
        <f>SUM(OSRRefD22_12x_0)</f>
        <v>0</v>
      </c>
      <c r="E65" s="1"/>
      <c r="F65" s="5">
        <f t="shared" si="36"/>
        <v>0</v>
      </c>
      <c r="G65" s="1"/>
      <c r="H65" s="1">
        <f>SUM(OSRRefH22_12x_0)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3"/>
      <c r="P65" s="1">
        <f>SUM(OSRRefP22_12x_0)</f>
        <v>0</v>
      </c>
      <c r="Q65" s="1"/>
      <c r="R65" s="5">
        <f t="shared" si="40"/>
        <v>0</v>
      </c>
      <c r="S65" s="1"/>
      <c r="T65" s="1">
        <f>SUM(OSRRefT22_12x_0)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5"/>
      <c r="B66" s="11" t="str">
        <f>CONCATENATE("          ", "6401", " - ", "INTEREST EXPENSE")</f>
        <v xml:space="preserve">          6401 - INTEREST EXPENSE</v>
      </c>
      <c r="C66" s="11"/>
      <c r="D66" s="6"/>
      <c r="E66" s="2"/>
      <c r="F66" s="7">
        <f t="shared" si="36"/>
        <v>0</v>
      </c>
      <c r="G66" s="2"/>
      <c r="H66" s="6">
        <v>0</v>
      </c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/>
      <c r="Q66" s="2"/>
      <c r="R66" s="7">
        <f t="shared" si="40"/>
        <v>0</v>
      </c>
      <c r="S66" s="2"/>
      <c r="T66" s="6">
        <v>0</v>
      </c>
      <c r="U66" s="2"/>
      <c r="V66" s="7">
        <f t="shared" si="41"/>
        <v>0</v>
      </c>
      <c r="W66" s="2"/>
      <c r="X66" s="6">
        <f t="shared" si="42"/>
        <v>0</v>
      </c>
      <c r="Y66" s="2"/>
      <c r="Z66" s="7">
        <f t="shared" si="43"/>
        <v>0</v>
      </c>
    </row>
    <row r="67" spans="1:26" s="24" customFormat="1" hidden="1" outlineLevel="2" x14ac:dyDescent="0.25">
      <c r="A67" s="25"/>
      <c r="B67" s="11" t="str">
        <f>CONCATENATE("          ", "6402", " - ", "INTEREST EXPENSE BOND ISSUANCE")</f>
        <v xml:space="preserve">          6402 - INTEREST EXPENSE BOND ISSUANCE</v>
      </c>
      <c r="C67" s="11"/>
      <c r="D67" s="6"/>
      <c r="E67" s="2"/>
      <c r="F67" s="7">
        <f t="shared" si="36"/>
        <v>0</v>
      </c>
      <c r="G67" s="2"/>
      <c r="H67" s="6">
        <v>0</v>
      </c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0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"6403", " - ", "INTEREST EXPENSE LEASE EQUIP")</f>
        <v xml:space="preserve">          6403 - INTEREST EXPENSE LEASE EQUIP</v>
      </c>
      <c r="C68" s="11"/>
      <c r="D68" s="6"/>
      <c r="E68" s="2"/>
      <c r="F68" s="7">
        <f t="shared" si="36"/>
        <v>0</v>
      </c>
      <c r="G68" s="2"/>
      <c r="H68" s="6">
        <v>0</v>
      </c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0</v>
      </c>
      <c r="U68" s="2"/>
      <c r="V68" s="7">
        <f t="shared" si="41"/>
        <v>0</v>
      </c>
      <c r="W68" s="2"/>
      <c r="X68" s="6">
        <f t="shared" si="42"/>
        <v>0</v>
      </c>
      <c r="Y68" s="2"/>
      <c r="Z68" s="7">
        <f t="shared" si="43"/>
        <v>0</v>
      </c>
    </row>
    <row r="69" spans="1:26" s="27" customFormat="1" outlineLevel="1" collapsed="1" x14ac:dyDescent="0.25">
      <c r="A69" s="26"/>
      <c r="B69" s="13" t="str">
        <f>CONCATENATE("     ","Professional Services                             ")</f>
        <v xml:space="preserve">     Professional Services                             </v>
      </c>
      <c r="C69" s="13"/>
      <c r="D69" s="1">
        <f>SUM(OSRRefD22_13x_0)</f>
        <v>2952.53</v>
      </c>
      <c r="E69" s="1"/>
      <c r="F69" s="5">
        <f t="shared" ref="F69:F73" si="44">IF(D$12=0,0,D69/D$12)</f>
        <v>0</v>
      </c>
      <c r="G69" s="1"/>
      <c r="H69" s="1">
        <f>SUM(OSRRefH22_13x_0)</f>
        <v>14433</v>
      </c>
      <c r="I69" s="1"/>
      <c r="J69" s="5">
        <f t="shared" ref="J69:J73" si="45">IF(H$12=0,0,H69/H$12)</f>
        <v>0</v>
      </c>
      <c r="K69" s="1"/>
      <c r="L69" s="1">
        <f t="shared" ref="L69:L73" si="46">+D69-H69</f>
        <v>-11480.47</v>
      </c>
      <c r="M69" s="1"/>
      <c r="N69" s="5">
        <f t="shared" ref="N69:N73" si="47">IF(H69=0,0,L69/H69)</f>
        <v>-0.7954319961200027</v>
      </c>
      <c r="O69" s="13"/>
      <c r="P69" s="1">
        <f>SUM(OSRRefP22_13x_0)</f>
        <v>158999.25999999998</v>
      </c>
      <c r="Q69" s="1"/>
      <c r="R69" s="5">
        <f t="shared" ref="R69:R73" si="48">IF(P$12=0,0,P69/P$12)</f>
        <v>0</v>
      </c>
      <c r="S69" s="1"/>
      <c r="T69" s="1">
        <f>SUM(OSRRefT22_13x_0)</f>
        <v>169164</v>
      </c>
      <c r="U69" s="1"/>
      <c r="V69" s="5">
        <f t="shared" ref="V69:V73" si="49">IF(T$12=0,0,T69/T$12)</f>
        <v>845.82</v>
      </c>
      <c r="W69" s="1"/>
      <c r="X69" s="1">
        <f t="shared" ref="X69:X73" si="50">+P69-T69</f>
        <v>-10164.74000000002</v>
      </c>
      <c r="Y69" s="1"/>
      <c r="Z69" s="5">
        <f t="shared" ref="Z69:Z73" si="51">IF(T69=0,0,X69/T69)</f>
        <v>-6.008808020619056E-2</v>
      </c>
    </row>
    <row r="70" spans="1:26" s="24" customFormat="1" hidden="1" outlineLevel="2" x14ac:dyDescent="0.25">
      <c r="A70" s="25"/>
      <c r="B70" s="11" t="str">
        <f>CONCATENATE("          ", "6331", " - ", "INDIRECT COSTS-AUXILIARY ORGAN")</f>
        <v xml:space="preserve">          6331 - INDIRECT COSTS-AUXILIARY ORGAN</v>
      </c>
      <c r="C70" s="11"/>
      <c r="D70" s="6"/>
      <c r="E70" s="2"/>
      <c r="F70" s="7">
        <f t="shared" si="44"/>
        <v>0</v>
      </c>
      <c r="G70" s="2"/>
      <c r="H70" s="6">
        <v>3000</v>
      </c>
      <c r="I70" s="2"/>
      <c r="J70" s="7">
        <f t="shared" si="45"/>
        <v>0</v>
      </c>
      <c r="K70" s="2"/>
      <c r="L70" s="6">
        <f t="shared" si="46"/>
        <v>-3000</v>
      </c>
      <c r="M70" s="2"/>
      <c r="N70" s="7">
        <f t="shared" si="47"/>
        <v>-1</v>
      </c>
      <c r="O70" s="11"/>
      <c r="P70" s="6">
        <v>80236</v>
      </c>
      <c r="Q70" s="2"/>
      <c r="R70" s="7">
        <f t="shared" si="48"/>
        <v>0</v>
      </c>
      <c r="S70" s="2"/>
      <c r="T70" s="6">
        <v>85500</v>
      </c>
      <c r="U70" s="2"/>
      <c r="V70" s="7">
        <f t="shared" si="49"/>
        <v>427.5</v>
      </c>
      <c r="W70" s="2"/>
      <c r="X70" s="6">
        <f t="shared" si="50"/>
        <v>-5264</v>
      </c>
      <c r="Y70" s="2"/>
      <c r="Z70" s="7">
        <f t="shared" si="51"/>
        <v>-6.1567251461988305E-2</v>
      </c>
    </row>
    <row r="71" spans="1:26" s="24" customFormat="1" hidden="1" outlineLevel="2" x14ac:dyDescent="0.25">
      <c r="A71" s="25"/>
      <c r="B71" s="11" t="str">
        <f>CONCATENATE("          ", "6332", " - ", "CONSULTANT FEES")</f>
        <v xml:space="preserve">          6332 - CONSULTANT FEES</v>
      </c>
      <c r="C71" s="11"/>
      <c r="D71" s="6"/>
      <c r="E71" s="2"/>
      <c r="F71" s="7">
        <f t="shared" si="44"/>
        <v>0</v>
      </c>
      <c r="G71" s="2"/>
      <c r="H71" s="6">
        <v>10600</v>
      </c>
      <c r="I71" s="2"/>
      <c r="J71" s="7">
        <f t="shared" si="45"/>
        <v>0</v>
      </c>
      <c r="K71" s="2"/>
      <c r="L71" s="6">
        <f t="shared" si="46"/>
        <v>-10600</v>
      </c>
      <c r="M71" s="2"/>
      <c r="N71" s="7">
        <f t="shared" si="47"/>
        <v>-1</v>
      </c>
      <c r="O71" s="11"/>
      <c r="P71" s="6">
        <v>15144.74</v>
      </c>
      <c r="Q71" s="2"/>
      <c r="R71" s="7">
        <f t="shared" si="48"/>
        <v>0</v>
      </c>
      <c r="S71" s="2"/>
      <c r="T71" s="6">
        <v>32800</v>
      </c>
      <c r="U71" s="2"/>
      <c r="V71" s="7">
        <f t="shared" si="49"/>
        <v>164</v>
      </c>
      <c r="W71" s="2"/>
      <c r="X71" s="6">
        <f t="shared" si="50"/>
        <v>-17655.260000000002</v>
      </c>
      <c r="Y71" s="2"/>
      <c r="Z71" s="7">
        <f t="shared" si="51"/>
        <v>-0.53827012195121959</v>
      </c>
    </row>
    <row r="72" spans="1:26" s="24" customFormat="1" hidden="1" outlineLevel="2" x14ac:dyDescent="0.25">
      <c r="A72" s="25"/>
      <c r="B72" s="11" t="str">
        <f>CONCATENATE("          ", "6334", " - ", "LEGAL COUNCIL EXPENSE")</f>
        <v xml:space="preserve">          6334 - LEGAL COUNCIL EXPENSE</v>
      </c>
      <c r="C72" s="11"/>
      <c r="D72" s="6">
        <v>875</v>
      </c>
      <c r="E72" s="2"/>
      <c r="F72" s="7">
        <f t="shared" si="44"/>
        <v>0</v>
      </c>
      <c r="G72" s="2"/>
      <c r="H72" s="6">
        <v>833</v>
      </c>
      <c r="I72" s="2"/>
      <c r="J72" s="7">
        <f t="shared" si="45"/>
        <v>0</v>
      </c>
      <c r="K72" s="2"/>
      <c r="L72" s="6">
        <f t="shared" si="46"/>
        <v>42</v>
      </c>
      <c r="M72" s="2"/>
      <c r="N72" s="7">
        <f t="shared" si="47"/>
        <v>5.0420168067226892E-2</v>
      </c>
      <c r="O72" s="11"/>
      <c r="P72" s="6">
        <v>39175</v>
      </c>
      <c r="Q72" s="2"/>
      <c r="R72" s="7">
        <f t="shared" si="48"/>
        <v>0</v>
      </c>
      <c r="S72" s="2"/>
      <c r="T72" s="6">
        <v>9364</v>
      </c>
      <c r="U72" s="2"/>
      <c r="V72" s="7">
        <f t="shared" si="49"/>
        <v>46.82</v>
      </c>
      <c r="W72" s="2"/>
      <c r="X72" s="6">
        <f t="shared" si="50"/>
        <v>29811</v>
      </c>
      <c r="Y72" s="2"/>
      <c r="Z72" s="7">
        <f t="shared" si="51"/>
        <v>3.1835753951302861</v>
      </c>
    </row>
    <row r="73" spans="1:26" s="24" customFormat="1" hidden="1" outlineLevel="2" x14ac:dyDescent="0.25">
      <c r="A73" s="25"/>
      <c r="B73" s="11" t="str">
        <f>CONCATENATE("          ", "6336", " - ", "PROFESSIONAL SERVICES")</f>
        <v xml:space="preserve">          6336 - PROFESSIONAL SERVICES</v>
      </c>
      <c r="C73" s="11"/>
      <c r="D73" s="6">
        <v>2077.5300000000002</v>
      </c>
      <c r="E73" s="2"/>
      <c r="F73" s="7">
        <f t="shared" si="44"/>
        <v>0</v>
      </c>
      <c r="G73" s="2"/>
      <c r="H73" s="6">
        <v>0</v>
      </c>
      <c r="I73" s="2"/>
      <c r="J73" s="7">
        <f t="shared" si="45"/>
        <v>0</v>
      </c>
      <c r="K73" s="2"/>
      <c r="L73" s="6">
        <f t="shared" si="46"/>
        <v>2077.5300000000002</v>
      </c>
      <c r="M73" s="2"/>
      <c r="N73" s="7">
        <f t="shared" si="47"/>
        <v>0</v>
      </c>
      <c r="O73" s="11"/>
      <c r="P73" s="6">
        <v>24443.52</v>
      </c>
      <c r="Q73" s="2"/>
      <c r="R73" s="7">
        <f t="shared" si="48"/>
        <v>0</v>
      </c>
      <c r="S73" s="2"/>
      <c r="T73" s="6">
        <v>41500</v>
      </c>
      <c r="U73" s="2"/>
      <c r="V73" s="7">
        <f t="shared" si="49"/>
        <v>207.5</v>
      </c>
      <c r="W73" s="2"/>
      <c r="X73" s="6">
        <f t="shared" si="50"/>
        <v>-17056.48</v>
      </c>
      <c r="Y73" s="2"/>
      <c r="Z73" s="7">
        <f t="shared" si="51"/>
        <v>-0.41099951807228913</v>
      </c>
    </row>
    <row r="74" spans="1:26" s="27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45760.71</v>
      </c>
      <c r="E74" s="1"/>
      <c r="F74" s="5">
        <f t="shared" ref="F74:F78" si="52">IF(D$12=0,0,D74/D$12)</f>
        <v>0</v>
      </c>
      <c r="G74" s="1"/>
      <c r="H74" s="1">
        <f>SUM(OSRRefH22_14x_0)</f>
        <v>45415</v>
      </c>
      <c r="I74" s="1"/>
      <c r="J74" s="5">
        <f t="shared" ref="J74:J78" si="53">IF(H$12=0,0,H74/H$12)</f>
        <v>0</v>
      </c>
      <c r="K74" s="1"/>
      <c r="L74" s="1">
        <f t="shared" ref="L74:L78" si="54">+D74-H74</f>
        <v>345.70999999999913</v>
      </c>
      <c r="M74" s="1"/>
      <c r="N74" s="5">
        <f t="shared" ref="N74:N78" si="55">IF(H74=0,0,L74/H74)</f>
        <v>7.612242651106443E-3</v>
      </c>
      <c r="O74" s="13"/>
      <c r="P74" s="1">
        <f>SUM(OSRRefP22_14x_0)</f>
        <v>236009.30000000002</v>
      </c>
      <c r="Q74" s="1"/>
      <c r="R74" s="5">
        <f t="shared" ref="R74:R78" si="56">IF(P$12=0,0,P74/P$12)</f>
        <v>0</v>
      </c>
      <c r="S74" s="1"/>
      <c r="T74" s="1">
        <f>SUM(OSRRefT22_14x_0)</f>
        <v>241780</v>
      </c>
      <c r="U74" s="1"/>
      <c r="V74" s="5">
        <f t="shared" ref="V74:V78" si="57">IF(T$12=0,0,T74/T$12)</f>
        <v>1208.9000000000001</v>
      </c>
      <c r="W74" s="1"/>
      <c r="X74" s="1">
        <f t="shared" ref="X74:X78" si="58">+P74-T74</f>
        <v>-5770.6999999999825</v>
      </c>
      <c r="Y74" s="1"/>
      <c r="Z74" s="5">
        <f t="shared" ref="Z74:Z78" si="59">IF(T74=0,0,X74/T74)</f>
        <v>-2.3867565555463571E-2</v>
      </c>
    </row>
    <row r="75" spans="1:26" s="24" customFormat="1" hidden="1" outlineLevel="2" x14ac:dyDescent="0.25">
      <c r="A75" s="25"/>
      <c r="B75" s="11" t="str">
        <f>CONCATENATE("          ", "6371", " - ", "COMPUTER SOFTWARE MAINTENANCE")</f>
        <v xml:space="preserve">          6371 - COMPUTER SOFTWARE MAINTENANCE</v>
      </c>
      <c r="C75" s="11"/>
      <c r="D75" s="6">
        <v>31486.21</v>
      </c>
      <c r="E75" s="2"/>
      <c r="F75" s="7">
        <f t="shared" si="52"/>
        <v>0</v>
      </c>
      <c r="G75" s="2"/>
      <c r="H75" s="6">
        <v>28820</v>
      </c>
      <c r="I75" s="2"/>
      <c r="J75" s="7">
        <f t="shared" si="53"/>
        <v>0</v>
      </c>
      <c r="K75" s="2"/>
      <c r="L75" s="6">
        <f t="shared" si="54"/>
        <v>2666.2099999999991</v>
      </c>
      <c r="M75" s="2"/>
      <c r="N75" s="7">
        <f t="shared" si="55"/>
        <v>9.2512491325468391E-2</v>
      </c>
      <c r="O75" s="11"/>
      <c r="P75" s="6">
        <v>118302.25000000001</v>
      </c>
      <c r="Q75" s="2"/>
      <c r="R75" s="7">
        <f t="shared" si="56"/>
        <v>0</v>
      </c>
      <c r="S75" s="2"/>
      <c r="T75" s="6">
        <v>113640</v>
      </c>
      <c r="U75" s="2"/>
      <c r="V75" s="7">
        <f t="shared" si="57"/>
        <v>568.20000000000005</v>
      </c>
      <c r="W75" s="2"/>
      <c r="X75" s="6">
        <f t="shared" si="58"/>
        <v>4662.2500000000146</v>
      </c>
      <c r="Y75" s="2"/>
      <c r="Z75" s="7">
        <f t="shared" si="59"/>
        <v>4.1026487152411251E-2</v>
      </c>
    </row>
    <row r="76" spans="1:26" s="24" customFormat="1" hidden="1" outlineLevel="2" x14ac:dyDescent="0.25">
      <c r="A76" s="25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52"/>
        <v>0</v>
      </c>
      <c r="G76" s="2"/>
      <c r="H76" s="6">
        <v>500</v>
      </c>
      <c r="I76" s="2"/>
      <c r="J76" s="7">
        <f t="shared" si="53"/>
        <v>0</v>
      </c>
      <c r="K76" s="2"/>
      <c r="L76" s="6">
        <f t="shared" si="54"/>
        <v>-500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6500</v>
      </c>
      <c r="U76" s="2"/>
      <c r="V76" s="7">
        <f t="shared" si="57"/>
        <v>32.5</v>
      </c>
      <c r="W76" s="2"/>
      <c r="X76" s="6">
        <f t="shared" si="58"/>
        <v>-6500</v>
      </c>
      <c r="Y76" s="2"/>
      <c r="Z76" s="7">
        <f t="shared" si="59"/>
        <v>-1</v>
      </c>
    </row>
    <row r="77" spans="1:26" s="24" customFormat="1" hidden="1" outlineLevel="2" x14ac:dyDescent="0.25">
      <c r="A77" s="25"/>
      <c r="B77" s="11" t="str">
        <f>CONCATENATE("          ", "6373", " - ", "MAINTENANCE CONTRACTS")</f>
        <v xml:space="preserve">          6373 - MAINTENANCE CONTRACTS</v>
      </c>
      <c r="C77" s="11"/>
      <c r="D77" s="6">
        <v>14274.5</v>
      </c>
      <c r="E77" s="2"/>
      <c r="F77" s="7">
        <f t="shared" si="52"/>
        <v>0</v>
      </c>
      <c r="G77" s="2"/>
      <c r="H77" s="6">
        <v>16095</v>
      </c>
      <c r="I77" s="2"/>
      <c r="J77" s="7">
        <f t="shared" si="53"/>
        <v>0</v>
      </c>
      <c r="K77" s="2"/>
      <c r="L77" s="6">
        <f t="shared" si="54"/>
        <v>-1820.5</v>
      </c>
      <c r="M77" s="2"/>
      <c r="N77" s="7">
        <f t="shared" si="55"/>
        <v>-0.11310966138552346</v>
      </c>
      <c r="O77" s="11"/>
      <c r="P77" s="6">
        <v>115997.97</v>
      </c>
      <c r="Q77" s="2"/>
      <c r="R77" s="7">
        <f t="shared" si="56"/>
        <v>0</v>
      </c>
      <c r="S77" s="2"/>
      <c r="T77" s="6">
        <v>121640</v>
      </c>
      <c r="U77" s="2"/>
      <c r="V77" s="7">
        <f t="shared" si="57"/>
        <v>608.20000000000005</v>
      </c>
      <c r="W77" s="2"/>
      <c r="X77" s="6">
        <f t="shared" si="58"/>
        <v>-5642.0299999999988</v>
      </c>
      <c r="Y77" s="2"/>
      <c r="Z77" s="7">
        <f t="shared" si="59"/>
        <v>-4.6383015455442281E-2</v>
      </c>
    </row>
    <row r="78" spans="1:26" s="24" customFormat="1" hidden="1" outlineLevel="2" x14ac:dyDescent="0.25">
      <c r="A78" s="25"/>
      <c r="B78" s="11" t="str">
        <f>CONCATENATE("          ", "6375", " - ", "OUTSIDE REPAIRS &amp; MAINTENANCE")</f>
        <v xml:space="preserve">          6375 - OUTSIDE REPAIRS &amp; MAINTENANCE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1709.08</v>
      </c>
      <c r="Q78" s="2"/>
      <c r="R78" s="7">
        <f t="shared" si="56"/>
        <v>0</v>
      </c>
      <c r="S78" s="2"/>
      <c r="T78" s="6"/>
      <c r="U78" s="2"/>
      <c r="V78" s="7">
        <f t="shared" si="57"/>
        <v>0</v>
      </c>
      <c r="W78" s="2"/>
      <c r="X78" s="6">
        <f t="shared" si="58"/>
        <v>1709.08</v>
      </c>
      <c r="Y78" s="2"/>
      <c r="Z78" s="7">
        <f t="shared" si="59"/>
        <v>0</v>
      </c>
    </row>
    <row r="79" spans="1:26" s="27" customFormat="1" outlineLevel="1" collapsed="1" x14ac:dyDescent="0.25">
      <c r="A79" s="26"/>
      <c r="B79" s="13" t="str">
        <f>CONCATENATE("     ","Services                                          ")</f>
        <v xml:space="preserve">     Services                                          </v>
      </c>
      <c r="C79" s="13"/>
      <c r="D79" s="1">
        <f>SUM(OSRRefD22_15x_0)</f>
        <v>744.22</v>
      </c>
      <c r="E79" s="1"/>
      <c r="F79" s="5">
        <f t="shared" ref="F79:F81" si="60">IF(D$12=0,0,D79/D$12)</f>
        <v>0</v>
      </c>
      <c r="G79" s="1"/>
      <c r="H79" s="1">
        <f>SUM(OSRRefH22_15x_0)</f>
        <v>610</v>
      </c>
      <c r="I79" s="1"/>
      <c r="J79" s="5">
        <f t="shared" ref="J79:J81" si="61">IF(H$12=0,0,H79/H$12)</f>
        <v>0</v>
      </c>
      <c r="K79" s="1"/>
      <c r="L79" s="1">
        <f t="shared" ref="L79:L81" si="62">+D79-H79</f>
        <v>134.22000000000003</v>
      </c>
      <c r="M79" s="1"/>
      <c r="N79" s="5">
        <f t="shared" ref="N79:N81" si="63">IF(H79=0,0,L79/H79)</f>
        <v>0.22003278688524594</v>
      </c>
      <c r="O79" s="13"/>
      <c r="P79" s="1">
        <f>SUM(OSRRefP22_15x_0)</f>
        <v>9500.6899999999987</v>
      </c>
      <c r="Q79" s="1"/>
      <c r="R79" s="5">
        <f t="shared" ref="R79:R81" si="64">IF(P$12=0,0,P79/P$12)</f>
        <v>0</v>
      </c>
      <c r="S79" s="1"/>
      <c r="T79" s="1">
        <f>SUM(OSRRefT22_15x_0)</f>
        <v>4880</v>
      </c>
      <c r="U79" s="1"/>
      <c r="V79" s="5">
        <f t="shared" ref="V79:V81" si="65">IF(T$12=0,0,T79/T$12)</f>
        <v>24.4</v>
      </c>
      <c r="W79" s="1"/>
      <c r="X79" s="1">
        <f t="shared" ref="X79:X81" si="66">+P79-T79</f>
        <v>4620.6899999999987</v>
      </c>
      <c r="Y79" s="1"/>
      <c r="Z79" s="5">
        <f t="shared" ref="Z79:Z81" si="67">IF(T79=0,0,X79/T79)</f>
        <v>0.94686270491803248</v>
      </c>
    </row>
    <row r="80" spans="1:26" s="24" customFormat="1" hidden="1" outlineLevel="2" x14ac:dyDescent="0.25">
      <c r="A80" s="25"/>
      <c r="B80" s="11" t="str">
        <f>CONCATENATE("          ", "6281", " - ", "STORAGE FEE")</f>
        <v xml:space="preserve">          6281 - STORAGE FEE</v>
      </c>
      <c r="C80" s="11"/>
      <c r="D80" s="6">
        <v>730.96</v>
      </c>
      <c r="E80" s="2"/>
      <c r="F80" s="7">
        <f t="shared" si="60"/>
        <v>0</v>
      </c>
      <c r="G80" s="2"/>
      <c r="H80" s="6">
        <v>600</v>
      </c>
      <c r="I80" s="2"/>
      <c r="J80" s="7">
        <f t="shared" si="61"/>
        <v>0</v>
      </c>
      <c r="K80" s="2"/>
      <c r="L80" s="6">
        <f t="shared" si="62"/>
        <v>130.96000000000004</v>
      </c>
      <c r="M80" s="2"/>
      <c r="N80" s="7">
        <f t="shared" si="63"/>
        <v>0.21826666666666672</v>
      </c>
      <c r="O80" s="11"/>
      <c r="P80" s="6">
        <v>9429.9699999999993</v>
      </c>
      <c r="Q80" s="2"/>
      <c r="R80" s="7">
        <f t="shared" si="64"/>
        <v>0</v>
      </c>
      <c r="S80" s="2"/>
      <c r="T80" s="6">
        <v>4800</v>
      </c>
      <c r="U80" s="2"/>
      <c r="V80" s="7">
        <f t="shared" si="65"/>
        <v>24</v>
      </c>
      <c r="W80" s="2"/>
      <c r="X80" s="6">
        <f t="shared" si="66"/>
        <v>4629.9699999999993</v>
      </c>
      <c r="Y80" s="2"/>
      <c r="Z80" s="7">
        <f t="shared" si="67"/>
        <v>0.96457708333333325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6">
        <v>13.26</v>
      </c>
      <c r="E81" s="2"/>
      <c r="F81" s="7">
        <f t="shared" si="60"/>
        <v>0</v>
      </c>
      <c r="G81" s="2"/>
      <c r="H81" s="6">
        <v>10</v>
      </c>
      <c r="I81" s="2"/>
      <c r="J81" s="7">
        <f t="shared" si="61"/>
        <v>0</v>
      </c>
      <c r="K81" s="2"/>
      <c r="L81" s="6">
        <f t="shared" si="62"/>
        <v>3.26</v>
      </c>
      <c r="M81" s="2"/>
      <c r="N81" s="7">
        <f t="shared" si="63"/>
        <v>0.32599999999999996</v>
      </c>
      <c r="O81" s="11"/>
      <c r="P81" s="6">
        <v>70.72</v>
      </c>
      <c r="Q81" s="2"/>
      <c r="R81" s="7">
        <f t="shared" si="64"/>
        <v>0</v>
      </c>
      <c r="S81" s="2"/>
      <c r="T81" s="6">
        <v>80</v>
      </c>
      <c r="U81" s="2"/>
      <c r="V81" s="7">
        <f t="shared" si="65"/>
        <v>0.4</v>
      </c>
      <c r="W81" s="2"/>
      <c r="X81" s="6">
        <f t="shared" si="66"/>
        <v>-9.2800000000000011</v>
      </c>
      <c r="Y81" s="2"/>
      <c r="Z81" s="7">
        <f t="shared" si="67"/>
        <v>-0.11600000000000002</v>
      </c>
    </row>
    <row r="82" spans="1:26" s="27" customFormat="1" outlineLevel="1" collapsed="1" x14ac:dyDescent="0.25">
      <c r="A82" s="26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SUM(OSRRefD22_16x_0)</f>
        <v>0</v>
      </c>
      <c r="E82" s="1"/>
      <c r="F82" s="5">
        <f t="shared" ref="F82:F84" si="68">IF(D$12=0,0,D82/D$12)</f>
        <v>0</v>
      </c>
      <c r="G82" s="1"/>
      <c r="H82" s="1">
        <f>SUM(OSRRefH22_16x_0)</f>
        <v>100</v>
      </c>
      <c r="I82" s="1"/>
      <c r="J82" s="5">
        <f t="shared" ref="J82:J84" si="69">IF(H$12=0,0,H82/H$12)</f>
        <v>0</v>
      </c>
      <c r="K82" s="1"/>
      <c r="L82" s="1">
        <f t="shared" ref="L82:L84" si="70">+D82-H82</f>
        <v>-100</v>
      </c>
      <c r="M82" s="1"/>
      <c r="N82" s="5">
        <f t="shared" ref="N82:N84" si="71">IF(H82=0,0,L82/H82)</f>
        <v>-1</v>
      </c>
      <c r="O82" s="13"/>
      <c r="P82" s="1">
        <f>SUM(OSRRefP22_16x_0)</f>
        <v>2421</v>
      </c>
      <c r="Q82" s="1"/>
      <c r="R82" s="5">
        <f t="shared" ref="R82:R84" si="72">IF(P$12=0,0,P82/P$12)</f>
        <v>0</v>
      </c>
      <c r="S82" s="1"/>
      <c r="T82" s="1">
        <f>SUM(OSRRefT22_16x_0)</f>
        <v>9259</v>
      </c>
      <c r="U82" s="1"/>
      <c r="V82" s="5">
        <f t="shared" ref="V82:V84" si="73">IF(T$12=0,0,T82/T$12)</f>
        <v>46.295000000000002</v>
      </c>
      <c r="W82" s="1"/>
      <c r="X82" s="1">
        <f t="shared" ref="X82:X84" si="74">+P82-T82</f>
        <v>-6838</v>
      </c>
      <c r="Y82" s="1"/>
      <c r="Z82" s="5">
        <f t="shared" ref="Z82:Z84" si="75">IF(T82=0,0,X82/T82)</f>
        <v>-0.73852467869100336</v>
      </c>
    </row>
    <row r="83" spans="1:26" s="24" customFormat="1" hidden="1" outlineLevel="2" x14ac:dyDescent="0.25">
      <c r="A83" s="25"/>
      <c r="B83" s="11" t="str">
        <f>CONCATENATE("          ", "6258", " - ", "MEMBERSHIP DUES")</f>
        <v xml:space="preserve">          6258 - MEMBERSHIP DUES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>
        <v>2421</v>
      </c>
      <c r="Q83" s="2"/>
      <c r="R83" s="7">
        <f t="shared" si="72"/>
        <v>0</v>
      </c>
      <c r="S83" s="2"/>
      <c r="T83" s="6">
        <v>8359</v>
      </c>
      <c r="U83" s="2"/>
      <c r="V83" s="7">
        <f t="shared" si="73"/>
        <v>41.795000000000002</v>
      </c>
      <c r="W83" s="2"/>
      <c r="X83" s="6">
        <f t="shared" si="74"/>
        <v>-5938</v>
      </c>
      <c r="Y83" s="2"/>
      <c r="Z83" s="7">
        <f t="shared" si="75"/>
        <v>-0.71037205407345372</v>
      </c>
    </row>
    <row r="84" spans="1:26" s="24" customFormat="1" hidden="1" outlineLevel="2" x14ac:dyDescent="0.25">
      <c r="A84" s="25"/>
      <c r="B84" s="11" t="str">
        <f>CONCATENATE("          ", "6275", " - ", "SUBSCRIPTIONS")</f>
        <v xml:space="preserve">          6275 - SUBSCRIPTIONS</v>
      </c>
      <c r="C84" s="11"/>
      <c r="D84" s="6"/>
      <c r="E84" s="2"/>
      <c r="F84" s="7">
        <f t="shared" si="68"/>
        <v>0</v>
      </c>
      <c r="G84" s="2"/>
      <c r="H84" s="6">
        <v>100</v>
      </c>
      <c r="I84" s="2"/>
      <c r="J84" s="7">
        <f t="shared" si="69"/>
        <v>0</v>
      </c>
      <c r="K84" s="2"/>
      <c r="L84" s="6">
        <f t="shared" si="70"/>
        <v>-100</v>
      </c>
      <c r="M84" s="2"/>
      <c r="N84" s="7">
        <f t="shared" si="71"/>
        <v>-1</v>
      </c>
      <c r="O84" s="11"/>
      <c r="P84" s="6"/>
      <c r="Q84" s="2"/>
      <c r="R84" s="7">
        <f t="shared" si="72"/>
        <v>0</v>
      </c>
      <c r="S84" s="2"/>
      <c r="T84" s="6">
        <v>900</v>
      </c>
      <c r="U84" s="2"/>
      <c r="V84" s="7">
        <f t="shared" si="73"/>
        <v>4.5</v>
      </c>
      <c r="W84" s="2"/>
      <c r="X84" s="6">
        <f t="shared" si="74"/>
        <v>-900</v>
      </c>
      <c r="Y84" s="2"/>
      <c r="Z84" s="7">
        <f t="shared" si="75"/>
        <v>-1</v>
      </c>
    </row>
    <row r="85" spans="1:26" s="27" customFormat="1" outlineLevel="1" collapsed="1" x14ac:dyDescent="0.25">
      <c r="A85" s="26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SUM(OSRRefD22_17x_0)</f>
        <v>2535.0300000000002</v>
      </c>
      <c r="E85" s="1"/>
      <c r="F85" s="5">
        <f t="shared" ref="F85:F90" si="76">IF(D$12=0,0,D85/D$12)</f>
        <v>0</v>
      </c>
      <c r="G85" s="1"/>
      <c r="H85" s="1">
        <f>SUM(OSRRefH22_17x_0)</f>
        <v>2752</v>
      </c>
      <c r="I85" s="1"/>
      <c r="J85" s="5">
        <f t="shared" ref="J85:J90" si="77">IF(H$12=0,0,H85/H$12)</f>
        <v>0</v>
      </c>
      <c r="K85" s="1"/>
      <c r="L85" s="1">
        <f t="shared" ref="L85:L90" si="78">+D85-H85</f>
        <v>-216.9699999999998</v>
      </c>
      <c r="M85" s="1"/>
      <c r="N85" s="5">
        <f t="shared" ref="N85:N90" si="79">IF(H85=0,0,L85/H85)</f>
        <v>-7.8840843023255738E-2</v>
      </c>
      <c r="O85" s="13"/>
      <c r="P85" s="1">
        <f>SUM(OSRRefP22_17x_0)</f>
        <v>51116.62</v>
      </c>
      <c r="Q85" s="1"/>
      <c r="R85" s="5">
        <f t="shared" ref="R85:R90" si="80">IF(P$12=0,0,P85/P$12)</f>
        <v>0</v>
      </c>
      <c r="S85" s="1"/>
      <c r="T85" s="1">
        <f>SUM(OSRRefT22_17x_0)</f>
        <v>33216</v>
      </c>
      <c r="U85" s="1"/>
      <c r="V85" s="5">
        <f t="shared" ref="V85:V90" si="81">IF(T$12=0,0,T85/T$12)</f>
        <v>166.08</v>
      </c>
      <c r="W85" s="1"/>
      <c r="X85" s="1">
        <f t="shared" ref="X85:X90" si="82">+P85-T85</f>
        <v>17900.620000000003</v>
      </c>
      <c r="Y85" s="1"/>
      <c r="Z85" s="5">
        <f t="shared" ref="Z85:Z90" si="83">IF(T85=0,0,X85/T85)</f>
        <v>0.53891558285163788</v>
      </c>
    </row>
    <row r="86" spans="1:26" s="24" customFormat="1" hidden="1" outlineLevel="2" x14ac:dyDescent="0.25">
      <c r="A86" s="25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76"/>
        <v>0</v>
      </c>
      <c r="G86" s="2"/>
      <c r="H86" s="6">
        <v>500</v>
      </c>
      <c r="I86" s="2"/>
      <c r="J86" s="7">
        <f t="shared" si="77"/>
        <v>0</v>
      </c>
      <c r="K86" s="2"/>
      <c r="L86" s="6">
        <f t="shared" si="78"/>
        <v>-500</v>
      </c>
      <c r="M86" s="2"/>
      <c r="N86" s="7">
        <f t="shared" si="79"/>
        <v>-1</v>
      </c>
      <c r="O86" s="11"/>
      <c r="P86" s="6">
        <v>1223.6099999999999</v>
      </c>
      <c r="Q86" s="2"/>
      <c r="R86" s="7">
        <f t="shared" si="80"/>
        <v>0</v>
      </c>
      <c r="S86" s="2"/>
      <c r="T86" s="6">
        <v>5600</v>
      </c>
      <c r="U86" s="2"/>
      <c r="V86" s="7">
        <f t="shared" si="81"/>
        <v>28</v>
      </c>
      <c r="W86" s="2"/>
      <c r="X86" s="6">
        <f t="shared" si="82"/>
        <v>-4376.3900000000003</v>
      </c>
      <c r="Y86" s="2"/>
      <c r="Z86" s="7">
        <f t="shared" si="83"/>
        <v>-0.78149821428571431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6">
        <v>2328.17</v>
      </c>
      <c r="E87" s="2"/>
      <c r="F87" s="7">
        <f t="shared" si="76"/>
        <v>0</v>
      </c>
      <c r="G87" s="2"/>
      <c r="H87" s="6">
        <v>1835</v>
      </c>
      <c r="I87" s="2"/>
      <c r="J87" s="7">
        <f t="shared" si="77"/>
        <v>0</v>
      </c>
      <c r="K87" s="2"/>
      <c r="L87" s="6">
        <f t="shared" si="78"/>
        <v>493.17000000000007</v>
      </c>
      <c r="M87" s="2"/>
      <c r="N87" s="7">
        <f t="shared" si="79"/>
        <v>0.26875749318801095</v>
      </c>
      <c r="O87" s="11"/>
      <c r="P87" s="6">
        <v>44640.83</v>
      </c>
      <c r="Q87" s="2"/>
      <c r="R87" s="7">
        <f t="shared" si="80"/>
        <v>0</v>
      </c>
      <c r="S87" s="2"/>
      <c r="T87" s="6">
        <v>23580</v>
      </c>
      <c r="U87" s="2"/>
      <c r="V87" s="7">
        <f t="shared" si="81"/>
        <v>117.9</v>
      </c>
      <c r="W87" s="2"/>
      <c r="X87" s="6">
        <f t="shared" si="82"/>
        <v>21060.83</v>
      </c>
      <c r="Y87" s="2"/>
      <c r="Z87" s="7">
        <f t="shared" si="83"/>
        <v>0.89316497031382536</v>
      </c>
    </row>
    <row r="88" spans="1:26" s="24" customFormat="1" hidden="1" outlineLevel="2" x14ac:dyDescent="0.25">
      <c r="A88" s="25"/>
      <c r="B88" s="11" t="str">
        <f>CONCATENATE("          ", "6244", " - ", "SAFETY SUPPLY EXPENSE")</f>
        <v xml:space="preserve">          6244 - SAFETY SUPPLY EXPENSE</v>
      </c>
      <c r="C88" s="11"/>
      <c r="D88" s="6">
        <v>175</v>
      </c>
      <c r="E88" s="2"/>
      <c r="F88" s="7">
        <f t="shared" si="76"/>
        <v>0</v>
      </c>
      <c r="G88" s="2"/>
      <c r="H88" s="6">
        <v>417</v>
      </c>
      <c r="I88" s="2"/>
      <c r="J88" s="7">
        <f t="shared" si="77"/>
        <v>0</v>
      </c>
      <c r="K88" s="2"/>
      <c r="L88" s="6">
        <f t="shared" si="78"/>
        <v>-242</v>
      </c>
      <c r="M88" s="2"/>
      <c r="N88" s="7">
        <f t="shared" si="79"/>
        <v>-0.58033573141486805</v>
      </c>
      <c r="O88" s="11"/>
      <c r="P88" s="6">
        <v>2007.33</v>
      </c>
      <c r="Q88" s="2"/>
      <c r="R88" s="7">
        <f t="shared" si="80"/>
        <v>0</v>
      </c>
      <c r="S88" s="2"/>
      <c r="T88" s="6">
        <v>3336</v>
      </c>
      <c r="U88" s="2"/>
      <c r="V88" s="7">
        <f t="shared" si="81"/>
        <v>16.68</v>
      </c>
      <c r="W88" s="2"/>
      <c r="X88" s="6">
        <f t="shared" si="82"/>
        <v>-1328.67</v>
      </c>
      <c r="Y88" s="2"/>
      <c r="Z88" s="7">
        <f t="shared" si="83"/>
        <v>-0.39828237410071943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6">
        <v>31.86</v>
      </c>
      <c r="E89" s="2"/>
      <c r="F89" s="7">
        <f t="shared" si="76"/>
        <v>0</v>
      </c>
      <c r="G89" s="2"/>
      <c r="H89" s="6"/>
      <c r="I89" s="2"/>
      <c r="J89" s="7">
        <f t="shared" si="77"/>
        <v>0</v>
      </c>
      <c r="K89" s="2"/>
      <c r="L89" s="6">
        <f t="shared" si="78"/>
        <v>31.86</v>
      </c>
      <c r="M89" s="2"/>
      <c r="N89" s="7">
        <f t="shared" si="79"/>
        <v>0</v>
      </c>
      <c r="O89" s="11"/>
      <c r="P89" s="6">
        <v>3244.85</v>
      </c>
      <c r="Q89" s="2"/>
      <c r="R89" s="7">
        <f t="shared" si="80"/>
        <v>0</v>
      </c>
      <c r="S89" s="2"/>
      <c r="T89" s="6"/>
      <c r="U89" s="2"/>
      <c r="V89" s="7">
        <f t="shared" si="81"/>
        <v>0</v>
      </c>
      <c r="W89" s="2"/>
      <c r="X89" s="6">
        <f t="shared" si="82"/>
        <v>3244.85</v>
      </c>
      <c r="Y89" s="2"/>
      <c r="Z89" s="7">
        <f t="shared" si="83"/>
        <v>0</v>
      </c>
    </row>
    <row r="90" spans="1:26" s="24" customFormat="1" hidden="1" outlineLevel="2" x14ac:dyDescent="0.25">
      <c r="A90" s="25"/>
      <c r="B90" s="11" t="str">
        <f>CONCATENATE("          ", "6248", " - ", "UNIFORMS")</f>
        <v xml:space="preserve">          6248 - UNIFORMS</v>
      </c>
      <c r="C90" s="11"/>
      <c r="D90" s="6"/>
      <c r="E90" s="2"/>
      <c r="F90" s="7">
        <f t="shared" si="76"/>
        <v>0</v>
      </c>
      <c r="G90" s="2"/>
      <c r="H90" s="6"/>
      <c r="I90" s="2"/>
      <c r="J90" s="7">
        <f t="shared" si="77"/>
        <v>0</v>
      </c>
      <c r="K90" s="2"/>
      <c r="L90" s="6">
        <f t="shared" si="78"/>
        <v>0</v>
      </c>
      <c r="M90" s="2"/>
      <c r="N90" s="7">
        <f t="shared" si="79"/>
        <v>0</v>
      </c>
      <c r="O90" s="11"/>
      <c r="P90" s="6"/>
      <c r="Q90" s="2"/>
      <c r="R90" s="7">
        <f t="shared" si="80"/>
        <v>0</v>
      </c>
      <c r="S90" s="2"/>
      <c r="T90" s="6">
        <v>700</v>
      </c>
      <c r="U90" s="2"/>
      <c r="V90" s="7">
        <f t="shared" si="81"/>
        <v>3.5</v>
      </c>
      <c r="W90" s="2"/>
      <c r="X90" s="6">
        <f t="shared" si="82"/>
        <v>-700</v>
      </c>
      <c r="Y90" s="2"/>
      <c r="Z90" s="7">
        <f t="shared" si="83"/>
        <v>-1</v>
      </c>
    </row>
    <row r="91" spans="1:26" s="27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SUM(OSRRefD22_18x_0)</f>
        <v>2095.08</v>
      </c>
      <c r="E91" s="1"/>
      <c r="F91" s="5">
        <f t="shared" ref="F91:F93" si="84">IF(D$12=0,0,D91/D$12)</f>
        <v>0</v>
      </c>
      <c r="G91" s="1"/>
      <c r="H91" s="1">
        <f>SUM(OSRRefH22_18x_0)</f>
        <v>1730</v>
      </c>
      <c r="I91" s="1"/>
      <c r="J91" s="5">
        <f t="shared" ref="J91:J93" si="85">IF(H$12=0,0,H91/H$12)</f>
        <v>0</v>
      </c>
      <c r="K91" s="1"/>
      <c r="L91" s="1">
        <f t="shared" ref="L91:L93" si="86">+D91-H91</f>
        <v>365.07999999999993</v>
      </c>
      <c r="M91" s="1"/>
      <c r="N91" s="5">
        <f t="shared" ref="N91:N93" si="87">IF(H91=0,0,L91/H91)</f>
        <v>0.21102890173410399</v>
      </c>
      <c r="O91" s="13"/>
      <c r="P91" s="1">
        <f>SUM(OSRRefP22_18x_0)</f>
        <v>20877.61</v>
      </c>
      <c r="Q91" s="1"/>
      <c r="R91" s="5">
        <f t="shared" ref="R91:R93" si="88">IF(P$12=0,0,P91/P$12)</f>
        <v>0</v>
      </c>
      <c r="S91" s="1"/>
      <c r="T91" s="1">
        <f>SUM(OSRRefT22_18x_0)</f>
        <v>13690</v>
      </c>
      <c r="U91" s="1"/>
      <c r="V91" s="5">
        <f t="shared" ref="V91:V93" si="89">IF(T$12=0,0,T91/T$12)</f>
        <v>68.45</v>
      </c>
      <c r="W91" s="1"/>
      <c r="X91" s="1">
        <f t="shared" ref="X91:X93" si="90">+P91-T91</f>
        <v>7187.6100000000006</v>
      </c>
      <c r="Y91" s="1"/>
      <c r="Z91" s="5">
        <f t="shared" ref="Z91:Z93" si="91">IF(T91=0,0,X91/T91)</f>
        <v>0.52502629656683719</v>
      </c>
    </row>
    <row r="92" spans="1:26" s="24" customFormat="1" hidden="1" outlineLevel="2" x14ac:dyDescent="0.25">
      <c r="A92" s="25"/>
      <c r="B92" s="11" t="str">
        <f>CONCATENATE("          ", "6303", " - ", "DATA PHONE LINES")</f>
        <v xml:space="preserve">          6303 - DATA PHONE LINES</v>
      </c>
      <c r="C92" s="11"/>
      <c r="D92" s="6">
        <v>143.97999999999999</v>
      </c>
      <c r="E92" s="2"/>
      <c r="F92" s="7">
        <f t="shared" si="84"/>
        <v>0</v>
      </c>
      <c r="G92" s="2"/>
      <c r="H92" s="6">
        <v>300</v>
      </c>
      <c r="I92" s="2"/>
      <c r="J92" s="7">
        <f t="shared" si="85"/>
        <v>0</v>
      </c>
      <c r="K92" s="2"/>
      <c r="L92" s="6">
        <f t="shared" si="86"/>
        <v>-156.02000000000001</v>
      </c>
      <c r="M92" s="2"/>
      <c r="N92" s="7">
        <f t="shared" si="87"/>
        <v>-0.52006666666666668</v>
      </c>
      <c r="O92" s="11"/>
      <c r="P92" s="6">
        <v>1249.04</v>
      </c>
      <c r="Q92" s="2"/>
      <c r="R92" s="7">
        <f t="shared" si="88"/>
        <v>0</v>
      </c>
      <c r="S92" s="2"/>
      <c r="T92" s="6">
        <v>1800</v>
      </c>
      <c r="U92" s="2"/>
      <c r="V92" s="7">
        <f t="shared" si="89"/>
        <v>9</v>
      </c>
      <c r="W92" s="2"/>
      <c r="X92" s="6">
        <f t="shared" si="90"/>
        <v>-550.96</v>
      </c>
      <c r="Y92" s="2"/>
      <c r="Z92" s="7">
        <f t="shared" si="91"/>
        <v>-0.30608888888888891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6">
        <v>1951.1</v>
      </c>
      <c r="E93" s="2"/>
      <c r="F93" s="7">
        <f t="shared" si="84"/>
        <v>0</v>
      </c>
      <c r="G93" s="2"/>
      <c r="H93" s="6">
        <v>1430</v>
      </c>
      <c r="I93" s="2"/>
      <c r="J93" s="7">
        <f t="shared" si="85"/>
        <v>0</v>
      </c>
      <c r="K93" s="2"/>
      <c r="L93" s="6">
        <f t="shared" si="86"/>
        <v>521.09999999999991</v>
      </c>
      <c r="M93" s="2"/>
      <c r="N93" s="7">
        <f t="shared" si="87"/>
        <v>0.36440559440559434</v>
      </c>
      <c r="O93" s="11"/>
      <c r="P93" s="6">
        <v>19628.57</v>
      </c>
      <c r="Q93" s="2"/>
      <c r="R93" s="7">
        <f t="shared" si="88"/>
        <v>0</v>
      </c>
      <c r="S93" s="2"/>
      <c r="T93" s="6">
        <v>11890</v>
      </c>
      <c r="U93" s="2"/>
      <c r="V93" s="7">
        <f t="shared" si="89"/>
        <v>59.45</v>
      </c>
      <c r="W93" s="2"/>
      <c r="X93" s="6">
        <f t="shared" si="90"/>
        <v>7738.57</v>
      </c>
      <c r="Y93" s="2"/>
      <c r="Z93" s="7">
        <f t="shared" si="91"/>
        <v>0.65084693019343987</v>
      </c>
    </row>
    <row r="94" spans="1:26" s="27" customFormat="1" outlineLevel="1" collapsed="1" x14ac:dyDescent="0.25">
      <c r="A94" s="26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SUM(OSRRefD22_19x_0)</f>
        <v>2816.37</v>
      </c>
      <c r="E94" s="1"/>
      <c r="F94" s="5">
        <f t="shared" ref="F94:F98" si="92">IF(D$12=0,0,D94/D$12)</f>
        <v>0</v>
      </c>
      <c r="G94" s="1"/>
      <c r="H94" s="1">
        <f>SUM(OSRRefH22_19x_0)</f>
        <v>1783</v>
      </c>
      <c r="I94" s="1"/>
      <c r="J94" s="5">
        <f t="shared" ref="J94:J98" si="93">IF(H$12=0,0,H94/H$12)</f>
        <v>0</v>
      </c>
      <c r="K94" s="1"/>
      <c r="L94" s="1">
        <f t="shared" ref="L94:L98" si="94">+D94-H94</f>
        <v>1033.3699999999999</v>
      </c>
      <c r="M94" s="1"/>
      <c r="N94" s="5">
        <f t="shared" ref="N94:N98" si="95">IF(H94=0,0,L94/H94)</f>
        <v>0.57956814357823883</v>
      </c>
      <c r="O94" s="13"/>
      <c r="P94" s="1">
        <f>SUM(OSRRefP22_19x_0)</f>
        <v>17536.030000000002</v>
      </c>
      <c r="Q94" s="1"/>
      <c r="R94" s="5">
        <f t="shared" ref="R94:R98" si="96">IF(P$12=0,0,P94/P$12)</f>
        <v>0</v>
      </c>
      <c r="S94" s="1"/>
      <c r="T94" s="1">
        <f>SUM(OSRRefT22_19x_0)</f>
        <v>26464</v>
      </c>
      <c r="U94" s="1"/>
      <c r="V94" s="5">
        <f t="shared" ref="V94:V98" si="97">IF(T$12=0,0,T94/T$12)</f>
        <v>132.32</v>
      </c>
      <c r="W94" s="1"/>
      <c r="X94" s="1">
        <f t="shared" ref="X94:X98" si="98">+P94-T94</f>
        <v>-8927.9699999999975</v>
      </c>
      <c r="Y94" s="1"/>
      <c r="Z94" s="5">
        <f t="shared" ref="Z94:Z98" si="99">IF(T94=0,0,X94/T94)</f>
        <v>-0.33736283252720667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6">
        <v>2816.37</v>
      </c>
      <c r="E95" s="2"/>
      <c r="F95" s="7">
        <f t="shared" si="92"/>
        <v>0</v>
      </c>
      <c r="G95" s="2"/>
      <c r="H95" s="6">
        <v>1783</v>
      </c>
      <c r="I95" s="2"/>
      <c r="J95" s="7">
        <f t="shared" si="93"/>
        <v>0</v>
      </c>
      <c r="K95" s="2"/>
      <c r="L95" s="6">
        <f t="shared" si="94"/>
        <v>1033.3699999999999</v>
      </c>
      <c r="M95" s="2"/>
      <c r="N95" s="7">
        <f t="shared" si="95"/>
        <v>0.57956814357823883</v>
      </c>
      <c r="O95" s="11"/>
      <c r="P95" s="6">
        <v>17536.030000000002</v>
      </c>
      <c r="Q95" s="2"/>
      <c r="R95" s="7">
        <f t="shared" si="96"/>
        <v>0</v>
      </c>
      <c r="S95" s="2"/>
      <c r="T95" s="6">
        <v>26464</v>
      </c>
      <c r="U95" s="2"/>
      <c r="V95" s="7">
        <f t="shared" si="97"/>
        <v>132.32</v>
      </c>
      <c r="W95" s="2"/>
      <c r="X95" s="6">
        <f t="shared" si="98"/>
        <v>-8927.9699999999975</v>
      </c>
      <c r="Y95" s="2"/>
      <c r="Z95" s="7">
        <f t="shared" si="99"/>
        <v>-0.33736283252720667</v>
      </c>
    </row>
    <row r="96" spans="1:26" s="27" customFormat="1" outlineLevel="1" collapsed="1" x14ac:dyDescent="0.25">
      <c r="A96" s="26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SUM(OSRRefD22_20x_0)</f>
        <v>3898.98</v>
      </c>
      <c r="E96" s="1"/>
      <c r="F96" s="5">
        <f t="shared" si="92"/>
        <v>0</v>
      </c>
      <c r="G96" s="1"/>
      <c r="H96" s="1">
        <f>SUM(OSRRefH22_20x_0)</f>
        <v>4500</v>
      </c>
      <c r="I96" s="1"/>
      <c r="J96" s="5">
        <f t="shared" si="93"/>
        <v>0</v>
      </c>
      <c r="K96" s="1"/>
      <c r="L96" s="1">
        <f t="shared" si="94"/>
        <v>-601.02</v>
      </c>
      <c r="M96" s="1"/>
      <c r="N96" s="5">
        <f t="shared" si="95"/>
        <v>-0.13355999999999998</v>
      </c>
      <c r="O96" s="13"/>
      <c r="P96" s="1">
        <f>SUM(OSRRefP22_20x_0)</f>
        <v>12860.449999999999</v>
      </c>
      <c r="Q96" s="1"/>
      <c r="R96" s="5">
        <f t="shared" si="96"/>
        <v>0</v>
      </c>
      <c r="S96" s="1"/>
      <c r="T96" s="1">
        <f>SUM(OSRRefT22_20x_0)</f>
        <v>31629</v>
      </c>
      <c r="U96" s="1"/>
      <c r="V96" s="5">
        <f t="shared" si="97"/>
        <v>158.14500000000001</v>
      </c>
      <c r="W96" s="1"/>
      <c r="X96" s="1">
        <f t="shared" si="98"/>
        <v>-18768.550000000003</v>
      </c>
      <c r="Y96" s="1"/>
      <c r="Z96" s="5">
        <f t="shared" si="99"/>
        <v>-0.59339688260773349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6">
        <v>3898.98</v>
      </c>
      <c r="E97" s="2"/>
      <c r="F97" s="7">
        <f t="shared" si="92"/>
        <v>0</v>
      </c>
      <c r="G97" s="2"/>
      <c r="H97" s="6">
        <v>4500</v>
      </c>
      <c r="I97" s="2"/>
      <c r="J97" s="7">
        <f t="shared" si="93"/>
        <v>0</v>
      </c>
      <c r="K97" s="2"/>
      <c r="L97" s="6">
        <f t="shared" si="94"/>
        <v>-601.02</v>
      </c>
      <c r="M97" s="2"/>
      <c r="N97" s="7">
        <f t="shared" si="95"/>
        <v>-0.13355999999999998</v>
      </c>
      <c r="O97" s="11"/>
      <c r="P97" s="6">
        <v>12836.55</v>
      </c>
      <c r="Q97" s="2"/>
      <c r="R97" s="7">
        <f t="shared" si="96"/>
        <v>0</v>
      </c>
      <c r="S97" s="2"/>
      <c r="T97" s="6">
        <v>30379</v>
      </c>
      <c r="U97" s="2"/>
      <c r="V97" s="7">
        <f t="shared" si="97"/>
        <v>151.89500000000001</v>
      </c>
      <c r="W97" s="2"/>
      <c r="X97" s="6">
        <f t="shared" si="98"/>
        <v>-17542.45</v>
      </c>
      <c r="Y97" s="2"/>
      <c r="Z97" s="7">
        <f t="shared" si="99"/>
        <v>-0.57745317489054937</v>
      </c>
    </row>
    <row r="98" spans="1:26" s="24" customFormat="1" hidden="1" outlineLevel="2" x14ac:dyDescent="0.25">
      <c r="A98" s="25"/>
      <c r="B98" s="11" t="str">
        <f>CONCATENATE("          ", "6294", " - ", "TRAVEL OPERATIONAL")</f>
        <v xml:space="preserve">          6294 - TRAVEL OPERATIONAL</v>
      </c>
      <c r="C98" s="11"/>
      <c r="D98" s="6"/>
      <c r="E98" s="2"/>
      <c r="F98" s="7">
        <f t="shared" si="92"/>
        <v>0</v>
      </c>
      <c r="G98" s="2"/>
      <c r="H98" s="6"/>
      <c r="I98" s="2"/>
      <c r="J98" s="7">
        <f t="shared" si="93"/>
        <v>0</v>
      </c>
      <c r="K98" s="2"/>
      <c r="L98" s="6">
        <f t="shared" si="94"/>
        <v>0</v>
      </c>
      <c r="M98" s="2"/>
      <c r="N98" s="7">
        <f t="shared" si="95"/>
        <v>0</v>
      </c>
      <c r="O98" s="11"/>
      <c r="P98" s="6">
        <v>23.9</v>
      </c>
      <c r="Q98" s="2"/>
      <c r="R98" s="7">
        <f t="shared" si="96"/>
        <v>0</v>
      </c>
      <c r="S98" s="2"/>
      <c r="T98" s="6">
        <v>1250</v>
      </c>
      <c r="U98" s="2"/>
      <c r="V98" s="7">
        <f t="shared" si="97"/>
        <v>6.25</v>
      </c>
      <c r="W98" s="2"/>
      <c r="X98" s="6">
        <f t="shared" si="98"/>
        <v>-1226.0999999999999</v>
      </c>
      <c r="Y98" s="2"/>
      <c r="Z98" s="7">
        <f t="shared" si="99"/>
        <v>-0.98087999999999997</v>
      </c>
    </row>
    <row r="99" spans="1:26" s="53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3</v>
      </c>
      <c r="C102" s="28"/>
      <c r="D102" s="21">
        <f>+D17-D19+D100</f>
        <v>-301907.7</v>
      </c>
      <c r="E102" s="14"/>
      <c r="F102" s="22">
        <f>IF(D$12=0,0,D102/D$12)</f>
        <v>0</v>
      </c>
      <c r="G102" s="14"/>
      <c r="H102" s="21">
        <f>+H17-H19+H100</f>
        <v>-344743.86507321591</v>
      </c>
      <c r="I102" s="14"/>
      <c r="J102" s="22">
        <f>IF(H$12=0,0,H102/H$12)</f>
        <v>0</v>
      </c>
      <c r="K102" s="15"/>
      <c r="L102" s="21">
        <f>+D102-H102</f>
        <v>42836.165073215903</v>
      </c>
      <c r="M102" s="15"/>
      <c r="N102" s="22">
        <f>IF(H102=0,0,L102/H102)</f>
        <v>-0.12425504675512777</v>
      </c>
      <c r="O102" s="29"/>
      <c r="P102" s="21">
        <f>+P17-P19+P100</f>
        <v>-2568216.0200000005</v>
      </c>
      <c r="Q102" s="14"/>
      <c r="R102" s="22">
        <f>IF(P$12=0,0,P102/P$12)</f>
        <v>0</v>
      </c>
      <c r="S102" s="14"/>
      <c r="T102" s="21">
        <f>+T17-T19+T100</f>
        <v>-3160242.7326274156</v>
      </c>
      <c r="U102" s="14"/>
      <c r="V102" s="22">
        <f>IF(T$12=0,0,T102/T$12)</f>
        <v>-15801.213663137078</v>
      </c>
      <c r="W102" s="15"/>
      <c r="X102" s="21">
        <f>+P102-T102</f>
        <v>592026.71262741508</v>
      </c>
      <c r="Y102" s="15"/>
      <c r="Z102" s="22">
        <f>IF(T102=0,0,X102/T102)</f>
        <v>-0.18733583547717109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4</v>
      </c>
      <c r="C106" s="28"/>
      <c r="D106" s="31">
        <f>+D102-D104</f>
        <v>-301907.7</v>
      </c>
      <c r="E106" s="14"/>
      <c r="F106" s="32">
        <f>IF(D$12=0,0,D106/D$12)</f>
        <v>0</v>
      </c>
      <c r="G106" s="14"/>
      <c r="H106" s="31">
        <f>+H102-H104</f>
        <v>-344743.86507321591</v>
      </c>
      <c r="I106" s="14"/>
      <c r="J106" s="32">
        <f>IF(H$12=0,0,H106/H$12)</f>
        <v>0</v>
      </c>
      <c r="K106" s="15"/>
      <c r="L106" s="31">
        <f>D106-H106</f>
        <v>42836.165073215903</v>
      </c>
      <c r="M106" s="15"/>
      <c r="N106" s="32">
        <f>IF(H106=0,0,L106/H106)</f>
        <v>-0.12425504675512777</v>
      </c>
      <c r="O106" s="29"/>
      <c r="P106" s="31">
        <f>+P102-P104</f>
        <v>-2568216.0200000005</v>
      </c>
      <c r="Q106" s="14"/>
      <c r="R106" s="32">
        <f>IF(P$12=0,0,P106/P$12)</f>
        <v>0</v>
      </c>
      <c r="S106" s="14"/>
      <c r="T106" s="31">
        <f>+T102-T104</f>
        <v>-3160242.7326274156</v>
      </c>
      <c r="U106" s="14"/>
      <c r="V106" s="32">
        <f>IF(T$12=0,0,T106/T$12)</f>
        <v>-15801.213663137078</v>
      </c>
      <c r="W106" s="15"/>
      <c r="X106" s="31">
        <f>P106-T106</f>
        <v>592026.71262741508</v>
      </c>
      <c r="Y106" s="15"/>
      <c r="Z106" s="32">
        <f>IF(T106=0,0,X106/T106)</f>
        <v>-0.18733583547717109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5</v>
      </c>
      <c r="C109" s="28"/>
      <c r="D109" s="33">
        <f>SUM(D106:D108)</f>
        <v>-301907.7</v>
      </c>
      <c r="E109" s="14"/>
      <c r="F109" s="30">
        <f>IF(D$12=0,0,D109/D$12)</f>
        <v>0</v>
      </c>
      <c r="G109" s="14"/>
      <c r="H109" s="33">
        <f>SUM(H106:H108)</f>
        <v>-344743.86507321591</v>
      </c>
      <c r="I109" s="14"/>
      <c r="J109" s="30">
        <f>IF(H$12=0,0,H109/H$12)</f>
        <v>0</v>
      </c>
      <c r="K109" s="15"/>
      <c r="L109" s="33">
        <f>+D109-H109</f>
        <v>42836.165073215903</v>
      </c>
      <c r="M109" s="15"/>
      <c r="N109" s="30">
        <f>IF(H109=0,0,L109/H109)</f>
        <v>-0.12425504675512777</v>
      </c>
      <c r="O109" s="29"/>
      <c r="P109" s="33">
        <f>SUM(P106:P108)</f>
        <v>-2568216.0200000005</v>
      </c>
      <c r="Q109" s="14"/>
      <c r="R109" s="30">
        <f>IF(P$12=0,0,P109/P$12)</f>
        <v>0</v>
      </c>
      <c r="S109" s="14"/>
      <c r="T109" s="33">
        <f>SUM(T106:T108)</f>
        <v>-3160242.7326274156</v>
      </c>
      <c r="U109" s="14"/>
      <c r="V109" s="30">
        <f>IF(T$12=0,0,T109/T$12)</f>
        <v>-15801.213663137078</v>
      </c>
      <c r="W109" s="15"/>
      <c r="X109" s="33">
        <f>+P109-T109</f>
        <v>592026.71262741508</v>
      </c>
      <c r="Y109" s="15"/>
      <c r="Z109" s="30">
        <f>IF(T109=0,0,X109/T109)</f>
        <v>-0.18733583547717109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9">
        <v>43908.493918900465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63" t="s">
        <v>314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7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53371.14</v>
      </c>
      <c r="E18" s="20"/>
      <c r="F18" s="34">
        <f t="shared" ref="F18:F29" si="0">IF(D$12=0,0,D18/D$12)</f>
        <v>0</v>
      </c>
      <c r="G18" s="20"/>
      <c r="H18" s="20">
        <f>SUM(OSRRefH22x_0)</f>
        <v>67000</v>
      </c>
      <c r="I18" s="20"/>
      <c r="J18" s="34">
        <f t="shared" ref="J18:J29" si="1">IF(H$12=0,0,H18/H$12)</f>
        <v>0</v>
      </c>
      <c r="K18" s="4"/>
      <c r="L18" s="20">
        <f t="shared" ref="L18:L29" si="2">+D18-H18</f>
        <v>-13628.86</v>
      </c>
      <c r="M18" s="4"/>
      <c r="N18" s="34">
        <f t="shared" ref="N18:N29" si="3">IF(H18=0,0,L18/H18)</f>
        <v>-0.2034158208955224</v>
      </c>
      <c r="O18" s="10"/>
      <c r="P18" s="20">
        <f>SUM(OSRRefP22x_0)</f>
        <v>464322.66</v>
      </c>
      <c r="Q18" s="20"/>
      <c r="R18" s="34">
        <f t="shared" ref="R18:R29" si="4">IF(P$12=0,0,P18/P$12)</f>
        <v>0</v>
      </c>
      <c r="S18" s="20"/>
      <c r="T18" s="20">
        <f>SUM(OSRRefT22x_0)</f>
        <v>571000</v>
      </c>
      <c r="U18" s="20"/>
      <c r="V18" s="34">
        <f t="shared" ref="V18:V29" si="5">IF(T$12=0,0,T18/T$12)</f>
        <v>0</v>
      </c>
      <c r="W18" s="4"/>
      <c r="X18" s="20">
        <f t="shared" ref="X18:X29" si="6">+P18-T18</f>
        <v>-106677.34000000003</v>
      </c>
      <c r="Y18" s="4"/>
      <c r="Z18" s="34">
        <f t="shared" ref="Z18:Z29" si="7">IF(T18=0,0,X18/T18)</f>
        <v>-0.1868254640980736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29239.74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-9760.2599999999984</v>
      </c>
      <c r="M19" s="1"/>
      <c r="N19" s="5">
        <f t="shared" si="3"/>
        <v>-0.25026307692307687</v>
      </c>
      <c r="O19" s="13"/>
      <c r="P19" s="1">
        <f>SUM(OSRRefP22_0x_0)</f>
        <v>235517.99</v>
      </c>
      <c r="Q19" s="1"/>
      <c r="R19" s="5">
        <f t="shared" si="4"/>
        <v>0</v>
      </c>
      <c r="S19" s="1"/>
      <c r="T19" s="1">
        <f>SUM(OSRRefT22_0x_0)</f>
        <v>313300</v>
      </c>
      <c r="U19" s="1"/>
      <c r="V19" s="5">
        <f t="shared" si="5"/>
        <v>0</v>
      </c>
      <c r="W19" s="1"/>
      <c r="X19" s="1">
        <f t="shared" si="6"/>
        <v>-77782.010000000009</v>
      </c>
      <c r="Y19" s="1"/>
      <c r="Z19" s="5">
        <f t="shared" si="7"/>
        <v>-0.24826686881583149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6">
        <v>29239.74</v>
      </c>
      <c r="E20" s="2"/>
      <c r="F20" s="7">
        <f t="shared" si="0"/>
        <v>0</v>
      </c>
      <c r="G20" s="2"/>
      <c r="H20" s="6">
        <v>39000</v>
      </c>
      <c r="I20" s="2"/>
      <c r="J20" s="7">
        <f t="shared" si="1"/>
        <v>0</v>
      </c>
      <c r="K20" s="2"/>
      <c r="L20" s="6">
        <f t="shared" si="2"/>
        <v>-9760.2599999999984</v>
      </c>
      <c r="M20" s="2"/>
      <c r="N20" s="7">
        <f t="shared" si="3"/>
        <v>-0.25026307692307687</v>
      </c>
      <c r="O20" s="11"/>
      <c r="P20" s="6">
        <v>235517.99</v>
      </c>
      <c r="Q20" s="2"/>
      <c r="R20" s="7">
        <f t="shared" si="4"/>
        <v>0</v>
      </c>
      <c r="S20" s="2"/>
      <c r="T20" s="6">
        <v>313300</v>
      </c>
      <c r="U20" s="2"/>
      <c r="V20" s="7">
        <f t="shared" si="5"/>
        <v>0</v>
      </c>
      <c r="W20" s="2"/>
      <c r="X20" s="6">
        <f t="shared" si="6"/>
        <v>-77782.010000000009</v>
      </c>
      <c r="Y20" s="2"/>
      <c r="Z20" s="7">
        <f t="shared" si="7"/>
        <v>-0.24826686881583149</v>
      </c>
    </row>
    <row r="21" spans="1:26" s="27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1218.07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218.06999999999994</v>
      </c>
      <c r="M21" s="1"/>
      <c r="N21" s="5">
        <f t="shared" si="3"/>
        <v>0.21806999999999993</v>
      </c>
      <c r="O21" s="13"/>
      <c r="P21" s="1">
        <f>SUM(OSRRefP22_1x_0)</f>
        <v>39562.39</v>
      </c>
      <c r="Q21" s="1"/>
      <c r="R21" s="5">
        <f t="shared" si="4"/>
        <v>0</v>
      </c>
      <c r="S21" s="1"/>
      <c r="T21" s="1">
        <f>SUM(OSRRefT22_1x_0)</f>
        <v>52000</v>
      </c>
      <c r="U21" s="1"/>
      <c r="V21" s="5">
        <f t="shared" si="5"/>
        <v>0</v>
      </c>
      <c r="W21" s="1"/>
      <c r="X21" s="1">
        <f t="shared" si="6"/>
        <v>-12437.61</v>
      </c>
      <c r="Y21" s="1"/>
      <c r="Z21" s="5">
        <f t="shared" si="7"/>
        <v>-0.23918480769230771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>
        <v>1218.07</v>
      </c>
      <c r="E22" s="2"/>
      <c r="F22" s="7">
        <f t="shared" si="0"/>
        <v>0</v>
      </c>
      <c r="G22" s="2"/>
      <c r="H22" s="6">
        <v>1000</v>
      </c>
      <c r="I22" s="2"/>
      <c r="J22" s="7">
        <f t="shared" si="1"/>
        <v>0</v>
      </c>
      <c r="K22" s="2"/>
      <c r="L22" s="6">
        <f t="shared" si="2"/>
        <v>218.06999999999994</v>
      </c>
      <c r="M22" s="2"/>
      <c r="N22" s="7">
        <f t="shared" si="3"/>
        <v>0.21806999999999993</v>
      </c>
      <c r="O22" s="11"/>
      <c r="P22" s="6">
        <v>39562.39</v>
      </c>
      <c r="Q22" s="2"/>
      <c r="R22" s="7">
        <f t="shared" si="4"/>
        <v>0</v>
      </c>
      <c r="S22" s="2"/>
      <c r="T22" s="6">
        <v>52000</v>
      </c>
      <c r="U22" s="2"/>
      <c r="V22" s="7">
        <f t="shared" si="5"/>
        <v>0</v>
      </c>
      <c r="W22" s="2"/>
      <c r="X22" s="6">
        <f t="shared" si="6"/>
        <v>-12437.61</v>
      </c>
      <c r="Y22" s="2"/>
      <c r="Z22" s="7">
        <f t="shared" si="7"/>
        <v>-0.23918480769230771</v>
      </c>
    </row>
    <row r="23" spans="1:26" s="27" customFormat="1" outlineLevel="1" collapsed="1" x14ac:dyDescent="0.25">
      <c r="A23" s="26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17285.14</v>
      </c>
      <c r="E23" s="1"/>
      <c r="F23" s="5">
        <f t="shared" si="0"/>
        <v>0</v>
      </c>
      <c r="G23" s="1"/>
      <c r="H23" s="1">
        <f>SUM(OSRRefH22_2x_0)</f>
        <v>17000</v>
      </c>
      <c r="I23" s="1"/>
      <c r="J23" s="5">
        <f t="shared" si="1"/>
        <v>0</v>
      </c>
      <c r="K23" s="1"/>
      <c r="L23" s="1">
        <f t="shared" si="2"/>
        <v>285.13999999999942</v>
      </c>
      <c r="M23" s="1"/>
      <c r="N23" s="5">
        <f t="shared" si="3"/>
        <v>1.6772941176470553E-2</v>
      </c>
      <c r="O23" s="13"/>
      <c r="P23" s="1">
        <f>SUM(OSRRefP22_2x_0)</f>
        <v>36365.85</v>
      </c>
      <c r="Q23" s="1"/>
      <c r="R23" s="5">
        <f t="shared" si="4"/>
        <v>0</v>
      </c>
      <c r="S23" s="1"/>
      <c r="T23" s="1">
        <f>SUM(OSRRefT22_2x_0)</f>
        <v>42700</v>
      </c>
      <c r="U23" s="1"/>
      <c r="V23" s="5">
        <f t="shared" si="5"/>
        <v>0</v>
      </c>
      <c r="W23" s="1"/>
      <c r="X23" s="1">
        <f t="shared" si="6"/>
        <v>-6334.1500000000015</v>
      </c>
      <c r="Y23" s="1"/>
      <c r="Z23" s="5">
        <f t="shared" si="7"/>
        <v>-0.14834074941451994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6">
        <v>17285.14</v>
      </c>
      <c r="E24" s="2"/>
      <c r="F24" s="7">
        <f t="shared" si="0"/>
        <v>0</v>
      </c>
      <c r="G24" s="2"/>
      <c r="H24" s="6">
        <v>17000</v>
      </c>
      <c r="I24" s="2"/>
      <c r="J24" s="7">
        <f t="shared" si="1"/>
        <v>0</v>
      </c>
      <c r="K24" s="2"/>
      <c r="L24" s="6">
        <f t="shared" si="2"/>
        <v>285.13999999999942</v>
      </c>
      <c r="M24" s="2"/>
      <c r="N24" s="7">
        <f t="shared" si="3"/>
        <v>1.6772941176470553E-2</v>
      </c>
      <c r="O24" s="11"/>
      <c r="P24" s="6">
        <v>36365.85</v>
      </c>
      <c r="Q24" s="2"/>
      <c r="R24" s="7">
        <f t="shared" si="4"/>
        <v>0</v>
      </c>
      <c r="S24" s="2"/>
      <c r="T24" s="6">
        <v>42700</v>
      </c>
      <c r="U24" s="2"/>
      <c r="V24" s="7">
        <f t="shared" si="5"/>
        <v>0</v>
      </c>
      <c r="W24" s="2"/>
      <c r="X24" s="6">
        <f t="shared" si="6"/>
        <v>-6334.1500000000015</v>
      </c>
      <c r="Y24" s="2"/>
      <c r="Z24" s="7">
        <f t="shared" si="7"/>
        <v>-0.14834074941451994</v>
      </c>
    </row>
    <row r="25" spans="1:26" s="27" customFormat="1" outlineLevel="1" collapsed="1" x14ac:dyDescent="0.25">
      <c r="A25" s="26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5628.19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5628.19</v>
      </c>
      <c r="M25" s="1"/>
      <c r="N25" s="5">
        <f t="shared" si="3"/>
        <v>0</v>
      </c>
      <c r="O25" s="13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6">
        <v>5628.19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5628.19</v>
      </c>
      <c r="M26" s="2"/>
      <c r="N26" s="7">
        <f t="shared" si="3"/>
        <v>0</v>
      </c>
      <c r="O26" s="11"/>
      <c r="P26" s="6">
        <v>103128.19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5628.1900000000023</v>
      </c>
      <c r="Y26" s="2"/>
      <c r="Z26" s="7">
        <f t="shared" si="7"/>
        <v>5.7725025641025662E-2</v>
      </c>
    </row>
    <row r="27" spans="1:26" s="27" customFormat="1" outlineLevel="1" collapsed="1" x14ac:dyDescent="0.25">
      <c r="A27" s="26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10000</v>
      </c>
      <c r="I27" s="1"/>
      <c r="J27" s="5">
        <f t="shared" si="1"/>
        <v>0</v>
      </c>
      <c r="K27" s="1"/>
      <c r="L27" s="1">
        <f t="shared" si="2"/>
        <v>-10000</v>
      </c>
      <c r="M27" s="1"/>
      <c r="N27" s="5">
        <f t="shared" si="3"/>
        <v>-1</v>
      </c>
      <c r="O27" s="13"/>
      <c r="P27" s="1">
        <f>SUM(OSRRefP22_4x_0)</f>
        <v>49748.24</v>
      </c>
      <c r="Q27" s="1"/>
      <c r="R27" s="5">
        <f t="shared" si="4"/>
        <v>0</v>
      </c>
      <c r="S27" s="1"/>
      <c r="T27" s="1">
        <f>SUM(OSRRefT22_4x_0)</f>
        <v>65500</v>
      </c>
      <c r="U27" s="1"/>
      <c r="V27" s="5">
        <f t="shared" si="5"/>
        <v>0</v>
      </c>
      <c r="W27" s="1"/>
      <c r="X27" s="1">
        <f t="shared" si="6"/>
        <v>-15751.760000000002</v>
      </c>
      <c r="Y27" s="1"/>
      <c r="Z27" s="5">
        <f t="shared" si="7"/>
        <v>-0.24048488549618324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34686</v>
      </c>
      <c r="Q28" s="2"/>
      <c r="R28" s="7">
        <f t="shared" si="4"/>
        <v>0</v>
      </c>
      <c r="S28" s="2"/>
      <c r="T28" s="6">
        <v>37500</v>
      </c>
      <c r="U28" s="2"/>
      <c r="V28" s="7">
        <f t="shared" si="5"/>
        <v>0</v>
      </c>
      <c r="W28" s="2"/>
      <c r="X28" s="6">
        <f t="shared" si="6"/>
        <v>-2814</v>
      </c>
      <c r="Y28" s="2"/>
      <c r="Z28" s="7">
        <f t="shared" si="7"/>
        <v>-7.5039999999999996E-2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10000</v>
      </c>
      <c r="I29" s="2"/>
      <c r="J29" s="7">
        <f t="shared" si="1"/>
        <v>0</v>
      </c>
      <c r="K29" s="2"/>
      <c r="L29" s="6">
        <f t="shared" si="2"/>
        <v>-10000</v>
      </c>
      <c r="M29" s="2"/>
      <c r="N29" s="7">
        <f t="shared" si="3"/>
        <v>-1</v>
      </c>
      <c r="O29" s="11"/>
      <c r="P29" s="6">
        <v>15062.24</v>
      </c>
      <c r="Q29" s="2"/>
      <c r="R29" s="7">
        <f t="shared" si="4"/>
        <v>0</v>
      </c>
      <c r="S29" s="2"/>
      <c r="T29" s="6">
        <v>28000</v>
      </c>
      <c r="U29" s="2"/>
      <c r="V29" s="7">
        <f t="shared" si="5"/>
        <v>0</v>
      </c>
      <c r="W29" s="2"/>
      <c r="X29" s="6">
        <f t="shared" si="6"/>
        <v>-12937.76</v>
      </c>
      <c r="Y29" s="2"/>
      <c r="Z29" s="7">
        <f t="shared" si="7"/>
        <v>-0.46206285714285716</v>
      </c>
    </row>
    <row r="30" spans="1:26" s="53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1">
        <f>+D16-D18+D31</f>
        <v>-53371.14</v>
      </c>
      <c r="E33" s="14"/>
      <c r="F33" s="22">
        <f>IF(D$12=0,0,D33/D$12)</f>
        <v>0</v>
      </c>
      <c r="G33" s="14"/>
      <c r="H33" s="21">
        <f>+H16-H18+H31</f>
        <v>-67000</v>
      </c>
      <c r="I33" s="14"/>
      <c r="J33" s="22">
        <f>IF(H$12=0,0,H33/H$12)</f>
        <v>0</v>
      </c>
      <c r="K33" s="15"/>
      <c r="L33" s="21">
        <f>+D33-H33</f>
        <v>13628.86</v>
      </c>
      <c r="M33" s="15"/>
      <c r="N33" s="22">
        <f>IF(H33=0,0,L33/H33)</f>
        <v>-0.2034158208955224</v>
      </c>
      <c r="O33" s="29"/>
      <c r="P33" s="21">
        <f>+P16-P18+P31</f>
        <v>-464322.66</v>
      </c>
      <c r="Q33" s="14"/>
      <c r="R33" s="22">
        <f>IF(P$12=0,0,P33/P$12)</f>
        <v>0</v>
      </c>
      <c r="S33" s="14"/>
      <c r="T33" s="21">
        <f>+T16-T18+T31</f>
        <v>-571000</v>
      </c>
      <c r="U33" s="14"/>
      <c r="V33" s="22">
        <f>IF(T$12=0,0,T33/T$12)</f>
        <v>0</v>
      </c>
      <c r="W33" s="15"/>
      <c r="X33" s="21">
        <f>+P33-T33</f>
        <v>106677.34000000003</v>
      </c>
      <c r="Y33" s="15"/>
      <c r="Z33" s="22">
        <f>IF(T33=0,0,X33/T33)</f>
        <v>-0.1868254640980736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1">
        <f>+D33-D35</f>
        <v>-53371.14</v>
      </c>
      <c r="E37" s="14"/>
      <c r="F37" s="32">
        <f>IF(D$12=0,0,D37/D$12)</f>
        <v>0</v>
      </c>
      <c r="G37" s="14"/>
      <c r="H37" s="31">
        <f>+H33-H35</f>
        <v>-67000</v>
      </c>
      <c r="I37" s="14"/>
      <c r="J37" s="32">
        <f>IF(H$12=0,0,H37/H$12)</f>
        <v>0</v>
      </c>
      <c r="K37" s="15"/>
      <c r="L37" s="31">
        <f>D37-H37</f>
        <v>13628.86</v>
      </c>
      <c r="M37" s="15"/>
      <c r="N37" s="32">
        <f>IF(H37=0,0,L37/H37)</f>
        <v>-0.2034158208955224</v>
      </c>
      <c r="O37" s="29"/>
      <c r="P37" s="31">
        <f>+P33-P35</f>
        <v>-464322.66</v>
      </c>
      <c r="Q37" s="14"/>
      <c r="R37" s="32">
        <f>IF(P$12=0,0,P37/P$12)</f>
        <v>0</v>
      </c>
      <c r="S37" s="14"/>
      <c r="T37" s="31">
        <f>+T33-T35</f>
        <v>-571000</v>
      </c>
      <c r="U37" s="14"/>
      <c r="V37" s="32">
        <f>IF(T$12=0,0,T37/T$12)</f>
        <v>0</v>
      </c>
      <c r="W37" s="15"/>
      <c r="X37" s="31">
        <f>P37-T37</f>
        <v>106677.34000000003</v>
      </c>
      <c r="Y37" s="15"/>
      <c r="Z37" s="32">
        <f>IF(T37=0,0,X37/T37)</f>
        <v>-0.1868254640980736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3">
        <f>SUM(D37:D39)</f>
        <v>-53371.14</v>
      </c>
      <c r="E40" s="14"/>
      <c r="F40" s="30">
        <f>IF(D$12=0,0,D40/D$12)</f>
        <v>0</v>
      </c>
      <c r="G40" s="14"/>
      <c r="H40" s="33">
        <f>SUM(H37:H39)</f>
        <v>-67000</v>
      </c>
      <c r="I40" s="14"/>
      <c r="J40" s="30">
        <f>IF(H$12=0,0,H40/H$12)</f>
        <v>0</v>
      </c>
      <c r="K40" s="15"/>
      <c r="L40" s="33">
        <f>+D40-H40</f>
        <v>13628.86</v>
      </c>
      <c r="M40" s="15"/>
      <c r="N40" s="30">
        <f>IF(H40=0,0,L40/H40)</f>
        <v>-0.2034158208955224</v>
      </c>
      <c r="O40" s="29"/>
      <c r="P40" s="33">
        <f>SUM(P37:P39)</f>
        <v>-464322.66</v>
      </c>
      <c r="Q40" s="14"/>
      <c r="R40" s="30">
        <f>IF(P$12=0,0,P40/P$12)</f>
        <v>0</v>
      </c>
      <c r="S40" s="14"/>
      <c r="T40" s="33">
        <f>SUM(T37:T39)</f>
        <v>-571000</v>
      </c>
      <c r="U40" s="14"/>
      <c r="V40" s="30">
        <f>IF(T$12=0,0,T40/T$12)</f>
        <v>0</v>
      </c>
      <c r="W40" s="15"/>
      <c r="X40" s="33">
        <f>+P40-T40</f>
        <v>106677.34000000003</v>
      </c>
      <c r="Y40" s="15"/>
      <c r="Z40" s="30">
        <f>IF(T40=0,0,X40/T40)</f>
        <v>-0.1868254640980736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9">
        <v>43908.49435015046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63" t="s">
        <v>314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7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37406.44</v>
      </c>
      <c r="E18" s="20"/>
      <c r="F18" s="34">
        <f t="shared" ref="F18:F28" si="0">IF(D$12=0,0,D18/D$12)</f>
        <v>0</v>
      </c>
      <c r="G18" s="20"/>
      <c r="H18" s="20">
        <f>SUM(OSRRefH22x_0)</f>
        <v>73096.394416923053</v>
      </c>
      <c r="I18" s="20"/>
      <c r="J18" s="34">
        <f t="shared" ref="J18:J28" si="1">IF(H$12=0,0,H18/H$12)</f>
        <v>0</v>
      </c>
      <c r="K18" s="4"/>
      <c r="L18" s="20">
        <f t="shared" ref="L18:L28" si="2">+D18-H18</f>
        <v>-35689.95441692305</v>
      </c>
      <c r="M18" s="4"/>
      <c r="N18" s="34">
        <f t="shared" ref="N18:N28" si="3">IF(H18=0,0,L18/H18)</f>
        <v>-0.48825875341205915</v>
      </c>
      <c r="O18" s="10"/>
      <c r="P18" s="20">
        <f>SUM(OSRRefP22x_0)</f>
        <v>513761.47</v>
      </c>
      <c r="Q18" s="20"/>
      <c r="R18" s="34">
        <f t="shared" ref="R18:R28" si="4">IF(P$12=0,0,P18/P$12)</f>
        <v>0</v>
      </c>
      <c r="S18" s="20"/>
      <c r="T18" s="20">
        <f>SUM(OSRRefT22x_0)</f>
        <v>925297.7011480768</v>
      </c>
      <c r="U18" s="20"/>
      <c r="V18" s="34">
        <f t="shared" ref="V18:V28" si="5">IF(T$12=0,0,T18/T$12)</f>
        <v>0</v>
      </c>
      <c r="W18" s="4"/>
      <c r="X18" s="20">
        <f t="shared" ref="X18:X28" si="6">+P18-T18</f>
        <v>-411536.23114807683</v>
      </c>
      <c r="Y18" s="4"/>
      <c r="Z18" s="34">
        <f t="shared" ref="Z18:Z28" si="7">IF(T18=0,0,X18/T18)</f>
        <v>-0.44476089223766274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10254.429999999998</v>
      </c>
      <c r="E19" s="1"/>
      <c r="F19" s="5">
        <f t="shared" si="0"/>
        <v>0</v>
      </c>
      <c r="G19" s="1"/>
      <c r="H19" s="1">
        <f>SUM(OSRRefH22_0x_0)</f>
        <v>13117.425186153856</v>
      </c>
      <c r="I19" s="1"/>
      <c r="J19" s="5">
        <f t="shared" si="1"/>
        <v>0</v>
      </c>
      <c r="K19" s="1"/>
      <c r="L19" s="1">
        <f t="shared" si="2"/>
        <v>-2862.9951861538575</v>
      </c>
      <c r="M19" s="1"/>
      <c r="N19" s="5">
        <f t="shared" si="3"/>
        <v>-0.21825893005099065</v>
      </c>
      <c r="O19" s="13"/>
      <c r="P19" s="1">
        <f>SUM(OSRRefP22_0x_0)</f>
        <v>119540.78999999998</v>
      </c>
      <c r="Q19" s="1"/>
      <c r="R19" s="5">
        <f t="shared" si="4"/>
        <v>0</v>
      </c>
      <c r="S19" s="1"/>
      <c r="T19" s="1">
        <f>SUM(OSRRefT22_0x_0)</f>
        <v>111223.22037884622</v>
      </c>
      <c r="U19" s="1"/>
      <c r="V19" s="5">
        <f t="shared" si="5"/>
        <v>0</v>
      </c>
      <c r="W19" s="1"/>
      <c r="X19" s="1">
        <f t="shared" si="6"/>
        <v>8317.5696211537579</v>
      </c>
      <c r="Y19" s="1"/>
      <c r="Z19" s="5">
        <f t="shared" si="7"/>
        <v>7.4782672114893145E-2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1447.18</v>
      </c>
      <c r="E20" s="2"/>
      <c r="F20" s="7">
        <f t="shared" si="0"/>
        <v>0</v>
      </c>
      <c r="G20" s="2"/>
      <c r="H20" s="6">
        <v>2387.8184169230799</v>
      </c>
      <c r="I20" s="2"/>
      <c r="J20" s="7">
        <f t="shared" si="1"/>
        <v>0</v>
      </c>
      <c r="K20" s="2"/>
      <c r="L20" s="6">
        <f t="shared" si="2"/>
        <v>-940.63841692307983</v>
      </c>
      <c r="M20" s="2"/>
      <c r="N20" s="7">
        <f t="shared" si="3"/>
        <v>-0.39393213916792613</v>
      </c>
      <c r="O20" s="11"/>
      <c r="P20" s="6">
        <v>15807.32</v>
      </c>
      <c r="Q20" s="2"/>
      <c r="R20" s="7">
        <f t="shared" si="4"/>
        <v>0</v>
      </c>
      <c r="S20" s="2"/>
      <c r="T20" s="6">
        <v>20893.41114807695</v>
      </c>
      <c r="U20" s="2"/>
      <c r="V20" s="7">
        <f t="shared" si="5"/>
        <v>0</v>
      </c>
      <c r="W20" s="2"/>
      <c r="X20" s="6">
        <f t="shared" si="6"/>
        <v>-5086.09114807695</v>
      </c>
      <c r="Y20" s="2"/>
      <c r="Z20" s="7">
        <f t="shared" si="7"/>
        <v>-0.24343038635627859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71.849999999999994</v>
      </c>
      <c r="E21" s="2"/>
      <c r="F21" s="7">
        <f t="shared" si="0"/>
        <v>0</v>
      </c>
      <c r="G21" s="2"/>
      <c r="H21" s="6">
        <v>106.08366153846201</v>
      </c>
      <c r="I21" s="2"/>
      <c r="J21" s="7">
        <f t="shared" si="1"/>
        <v>0</v>
      </c>
      <c r="K21" s="2"/>
      <c r="L21" s="6">
        <f t="shared" si="2"/>
        <v>-34.233661538462016</v>
      </c>
      <c r="M21" s="2"/>
      <c r="N21" s="7">
        <f t="shared" si="3"/>
        <v>-0.32270437352928433</v>
      </c>
      <c r="O21" s="11"/>
      <c r="P21" s="6">
        <v>987.7</v>
      </c>
      <c r="Q21" s="2"/>
      <c r="R21" s="7">
        <f t="shared" si="4"/>
        <v>0</v>
      </c>
      <c r="S21" s="2"/>
      <c r="T21" s="6">
        <v>928.23203846154092</v>
      </c>
      <c r="U21" s="2"/>
      <c r="V21" s="7">
        <f t="shared" si="5"/>
        <v>0</v>
      </c>
      <c r="W21" s="2"/>
      <c r="X21" s="6">
        <f t="shared" si="6"/>
        <v>59.467961538459122</v>
      </c>
      <c r="Y21" s="2"/>
      <c r="Z21" s="7">
        <f t="shared" si="7"/>
        <v>6.4065835991851547E-2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3965.44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-773.56</v>
      </c>
      <c r="M22" s="2"/>
      <c r="N22" s="7">
        <f t="shared" si="3"/>
        <v>-0.16323274952521627</v>
      </c>
      <c r="O22" s="11"/>
      <c r="P22" s="6">
        <v>33070.74</v>
      </c>
      <c r="Q22" s="2"/>
      <c r="R22" s="7">
        <f t="shared" si="4"/>
        <v>0</v>
      </c>
      <c r="S22" s="2"/>
      <c r="T22" s="6">
        <v>37912</v>
      </c>
      <c r="U22" s="2"/>
      <c r="V22" s="7">
        <f t="shared" si="5"/>
        <v>0</v>
      </c>
      <c r="W22" s="2"/>
      <c r="X22" s="6">
        <f t="shared" si="6"/>
        <v>-4841.260000000002</v>
      </c>
      <c r="Y22" s="2"/>
      <c r="Z22" s="7">
        <f t="shared" si="7"/>
        <v>-0.12769729900822963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54.94</v>
      </c>
      <c r="E23" s="2"/>
      <c r="F23" s="7">
        <f t="shared" si="0"/>
        <v>0</v>
      </c>
      <c r="G23" s="2"/>
      <c r="H23" s="6">
        <v>81.122799999999998</v>
      </c>
      <c r="I23" s="2"/>
      <c r="J23" s="7">
        <f t="shared" si="1"/>
        <v>0</v>
      </c>
      <c r="K23" s="2"/>
      <c r="L23" s="6">
        <f t="shared" si="2"/>
        <v>-26.1828</v>
      </c>
      <c r="M23" s="2"/>
      <c r="N23" s="7">
        <f t="shared" si="3"/>
        <v>-0.3227551317262225</v>
      </c>
      <c r="O23" s="11"/>
      <c r="P23" s="6">
        <v>911.98</v>
      </c>
      <c r="Q23" s="2"/>
      <c r="R23" s="7">
        <f t="shared" si="4"/>
        <v>0</v>
      </c>
      <c r="S23" s="2"/>
      <c r="T23" s="6">
        <v>709.82449999999994</v>
      </c>
      <c r="U23" s="2"/>
      <c r="V23" s="7">
        <f t="shared" si="5"/>
        <v>0</v>
      </c>
      <c r="W23" s="2"/>
      <c r="X23" s="6">
        <f t="shared" si="6"/>
        <v>202.15550000000007</v>
      </c>
      <c r="Y23" s="2"/>
      <c r="Z23" s="7">
        <f t="shared" si="7"/>
        <v>0.28479645320780006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2683.2926153846201</v>
      </c>
      <c r="I24" s="2"/>
      <c r="J24" s="7">
        <f t="shared" si="1"/>
        <v>0</v>
      </c>
      <c r="K24" s="2"/>
      <c r="L24" s="6">
        <f t="shared" si="2"/>
        <v>-784.72261538462021</v>
      </c>
      <c r="M24" s="2"/>
      <c r="N24" s="7">
        <f t="shared" si="3"/>
        <v>-0.29244764841725579</v>
      </c>
      <c r="O24" s="11"/>
      <c r="P24" s="6">
        <v>24455</v>
      </c>
      <c r="Q24" s="2"/>
      <c r="R24" s="7">
        <f t="shared" si="4"/>
        <v>0</v>
      </c>
      <c r="S24" s="2"/>
      <c r="T24" s="6">
        <v>23478.810384615412</v>
      </c>
      <c r="U24" s="2"/>
      <c r="V24" s="7">
        <f t="shared" si="5"/>
        <v>0</v>
      </c>
      <c r="W24" s="2"/>
      <c r="X24" s="6">
        <f t="shared" si="6"/>
        <v>976.18961538458825</v>
      </c>
      <c r="Y24" s="2"/>
      <c r="Z24" s="7">
        <f t="shared" si="7"/>
        <v>4.1577473449176137E-2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2447.1215384615398</v>
      </c>
      <c r="I26" s="2"/>
      <c r="J26" s="7">
        <f t="shared" si="1"/>
        <v>0</v>
      </c>
      <c r="K26" s="2"/>
      <c r="L26" s="6">
        <f t="shared" si="2"/>
        <v>-825.48153846153969</v>
      </c>
      <c r="M26" s="2"/>
      <c r="N26" s="7">
        <f t="shared" si="3"/>
        <v>-0.33732756035505485</v>
      </c>
      <c r="O26" s="11"/>
      <c r="P26" s="6">
        <v>19752.46</v>
      </c>
      <c r="Q26" s="2"/>
      <c r="R26" s="7">
        <f t="shared" si="4"/>
        <v>0</v>
      </c>
      <c r="S26" s="2"/>
      <c r="T26" s="6">
        <v>21412.313461538459</v>
      </c>
      <c r="U26" s="2"/>
      <c r="V26" s="7">
        <f t="shared" si="5"/>
        <v>0</v>
      </c>
      <c r="W26" s="2"/>
      <c r="X26" s="6">
        <f t="shared" si="6"/>
        <v>-1659.8534615384597</v>
      </c>
      <c r="Y26" s="2"/>
      <c r="Z26" s="7">
        <f t="shared" si="7"/>
        <v>-7.7518641996342244E-2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672.98615384615402</v>
      </c>
      <c r="I27" s="2"/>
      <c r="J27" s="7">
        <f t="shared" si="1"/>
        <v>0</v>
      </c>
      <c r="K27" s="2"/>
      <c r="L27" s="6">
        <f t="shared" si="2"/>
        <v>183.81384615384593</v>
      </c>
      <c r="M27" s="2"/>
      <c r="N27" s="7">
        <f t="shared" si="3"/>
        <v>0.27313169090231554</v>
      </c>
      <c r="O27" s="11"/>
      <c r="P27" s="6">
        <v>22113.200000000001</v>
      </c>
      <c r="Q27" s="2"/>
      <c r="R27" s="7">
        <f t="shared" si="4"/>
        <v>0</v>
      </c>
      <c r="S27" s="2"/>
      <c r="T27" s="6">
        <v>5888.6288461538461</v>
      </c>
      <c r="U27" s="2"/>
      <c r="V27" s="7">
        <f t="shared" si="5"/>
        <v>0</v>
      </c>
      <c r="W27" s="2"/>
      <c r="X27" s="6">
        <f t="shared" si="6"/>
        <v>16224.571153846155</v>
      </c>
      <c r="Y27" s="2"/>
      <c r="Z27" s="7">
        <f t="shared" si="7"/>
        <v>2.7552375226438701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338.01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338.01</v>
      </c>
      <c r="M28" s="2"/>
      <c r="N28" s="7">
        <f t="shared" si="3"/>
        <v>0</v>
      </c>
      <c r="O28" s="11"/>
      <c r="P28" s="6">
        <v>2442.39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2442.39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20965.310000000001</v>
      </c>
      <c r="E29" s="1"/>
      <c r="F29" s="5">
        <f t="shared" ref="F29:F39" si="8">IF(D$12=0,0,D29/D$12)</f>
        <v>0</v>
      </c>
      <c r="G29" s="1"/>
      <c r="H29" s="1">
        <f>SUM(OSRRefH22_1x_0)</f>
        <v>28080.969230769191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-7115.6592307691899</v>
      </c>
      <c r="M29" s="1"/>
      <c r="N29" s="5">
        <f t="shared" ref="N29:N39" si="11">IF(H29=0,0,L29/H29)</f>
        <v>-0.25339792128586291</v>
      </c>
      <c r="O29" s="13"/>
      <c r="P29" s="1">
        <f>SUM(OSRRefP22_1x_0)</f>
        <v>124638.86</v>
      </c>
      <c r="Q29" s="1"/>
      <c r="R29" s="5">
        <f t="shared" ref="R29:R39" si="12">IF(P$12=0,0,P29/P$12)</f>
        <v>0</v>
      </c>
      <c r="S29" s="1"/>
      <c r="T29" s="1">
        <f>SUM(OSRRefT22_1x_0)</f>
        <v>245708.48076923058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-121069.62076923058</v>
      </c>
      <c r="Y29" s="1"/>
      <c r="Z29" s="5">
        <f t="shared" ref="Z29:Z39" si="15">IF(T29=0,0,X29/T29)</f>
        <v>-0.49273684160270875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14140.28</v>
      </c>
      <c r="E30" s="2"/>
      <c r="F30" s="7">
        <f t="shared" si="8"/>
        <v>0</v>
      </c>
      <c r="G30" s="2"/>
      <c r="H30" s="6">
        <v>23674.1538461538</v>
      </c>
      <c r="I30" s="2"/>
      <c r="J30" s="7">
        <f t="shared" si="9"/>
        <v>0</v>
      </c>
      <c r="K30" s="2"/>
      <c r="L30" s="6">
        <f t="shared" si="10"/>
        <v>-9533.8738461537996</v>
      </c>
      <c r="M30" s="2"/>
      <c r="N30" s="7">
        <f t="shared" si="11"/>
        <v>-0.40271233802523893</v>
      </c>
      <c r="O30" s="11"/>
      <c r="P30" s="6">
        <v>126973.75999999999</v>
      </c>
      <c r="Q30" s="2"/>
      <c r="R30" s="7">
        <f t="shared" si="12"/>
        <v>0</v>
      </c>
      <c r="S30" s="2"/>
      <c r="T30" s="6">
        <v>207148.84615384592</v>
      </c>
      <c r="U30" s="2"/>
      <c r="V30" s="7">
        <f t="shared" si="13"/>
        <v>0</v>
      </c>
      <c r="W30" s="2"/>
      <c r="X30" s="6">
        <f t="shared" si="14"/>
        <v>-80175.086153845928</v>
      </c>
      <c r="Y30" s="2"/>
      <c r="Z30" s="7">
        <f t="shared" si="15"/>
        <v>-0.38704094974442316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4162.01</v>
      </c>
      <c r="E31" s="2"/>
      <c r="F31" s="7">
        <f t="shared" si="8"/>
        <v>0</v>
      </c>
      <c r="G31" s="2"/>
      <c r="H31" s="6">
        <v>4406.81538461539</v>
      </c>
      <c r="I31" s="2"/>
      <c r="J31" s="7">
        <f t="shared" si="9"/>
        <v>0</v>
      </c>
      <c r="K31" s="2"/>
      <c r="L31" s="6">
        <f t="shared" si="10"/>
        <v>-244.80538461538981</v>
      </c>
      <c r="M31" s="2"/>
      <c r="N31" s="7">
        <f t="shared" si="11"/>
        <v>-5.5551540795202949E-2</v>
      </c>
      <c r="O31" s="11"/>
      <c r="P31" s="6">
        <v>37702.800000000003</v>
      </c>
      <c r="Q31" s="2"/>
      <c r="R31" s="7">
        <f t="shared" si="12"/>
        <v>0</v>
      </c>
      <c r="S31" s="2"/>
      <c r="T31" s="6">
        <v>38559.634615384639</v>
      </c>
      <c r="U31" s="2"/>
      <c r="V31" s="7">
        <f t="shared" si="13"/>
        <v>0</v>
      </c>
      <c r="W31" s="2"/>
      <c r="X31" s="6">
        <f t="shared" si="14"/>
        <v>-856.83461538463598</v>
      </c>
      <c r="Y31" s="2"/>
      <c r="Z31" s="7">
        <f t="shared" si="15"/>
        <v>-2.2221025275036541E-2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2663.02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2663.02</v>
      </c>
      <c r="M36" s="2"/>
      <c r="N36" s="7">
        <f t="shared" si="11"/>
        <v>0</v>
      </c>
      <c r="O36" s="11"/>
      <c r="P36" s="6">
        <v>-40037.699999999997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-40037.699999999997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1282.44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-7717.5599999999995</v>
      </c>
      <c r="M40" s="1"/>
      <c r="N40" s="5">
        <f t="shared" ref="N40:N46" si="19">IF(H40=0,0,L40/H40)</f>
        <v>-0.85750666666666664</v>
      </c>
      <c r="O40" s="13"/>
      <c r="P40" s="1">
        <f>SUM(OSRRefP22_2x_0)</f>
        <v>12880.83</v>
      </c>
      <c r="Q40" s="1"/>
      <c r="R40" s="5">
        <f t="shared" ref="R40:R46" si="20">IF(P$12=0,0,P40/P$12)</f>
        <v>0</v>
      </c>
      <c r="S40" s="1"/>
      <c r="T40" s="1">
        <f>SUM(OSRRefT22_2x_0)</f>
        <v>72000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-59119.17</v>
      </c>
      <c r="Y40" s="1"/>
      <c r="Z40" s="5">
        <f t="shared" ref="Z40:Z46" si="23">IF(T40=0,0,X40/T40)</f>
        <v>-0.82109958333333333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1282.44</v>
      </c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-7717.5599999999995</v>
      </c>
      <c r="M41" s="2"/>
      <c r="N41" s="7">
        <f t="shared" si="19"/>
        <v>-0.85750666666666664</v>
      </c>
      <c r="O41" s="11"/>
      <c r="P41" s="6">
        <v>12880.83</v>
      </c>
      <c r="Q41" s="2"/>
      <c r="R41" s="7">
        <f t="shared" si="20"/>
        <v>0</v>
      </c>
      <c r="S41" s="2"/>
      <c r="T41" s="6">
        <v>72000</v>
      </c>
      <c r="U41" s="2"/>
      <c r="V41" s="7">
        <f t="shared" si="21"/>
        <v>0</v>
      </c>
      <c r="W41" s="2"/>
      <c r="X41" s="6">
        <f t="shared" si="22"/>
        <v>-59119.17</v>
      </c>
      <c r="Y41" s="2"/>
      <c r="Z41" s="7">
        <f t="shared" si="23"/>
        <v>-0.82109958333333333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2761.84</v>
      </c>
      <c r="Q42" s="1"/>
      <c r="R42" s="5">
        <f t="shared" si="20"/>
        <v>0</v>
      </c>
      <c r="S42" s="1"/>
      <c r="T42" s="1">
        <f>SUM(OSRRefT22_3x_0)</f>
        <v>2760</v>
      </c>
      <c r="U42" s="1"/>
      <c r="V42" s="5">
        <f t="shared" si="21"/>
        <v>0</v>
      </c>
      <c r="W42" s="1"/>
      <c r="X42" s="1">
        <f t="shared" si="22"/>
        <v>1.8400000000001455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345.23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0.23000000000001819</v>
      </c>
      <c r="M43" s="2"/>
      <c r="N43" s="7">
        <f t="shared" si="19"/>
        <v>6.6666666666671945E-4</v>
      </c>
      <c r="O43" s="11"/>
      <c r="P43" s="6">
        <v>2761.84</v>
      </c>
      <c r="Q43" s="2"/>
      <c r="R43" s="7">
        <f t="shared" si="20"/>
        <v>0</v>
      </c>
      <c r="S43" s="2"/>
      <c r="T43" s="6">
        <v>2760</v>
      </c>
      <c r="U43" s="2"/>
      <c r="V43" s="7">
        <f t="shared" si="21"/>
        <v>0</v>
      </c>
      <c r="W43" s="2"/>
      <c r="X43" s="6">
        <f t="shared" si="22"/>
        <v>1.8400000000001455</v>
      </c>
      <c r="Y43" s="2"/>
      <c r="Z43" s="7">
        <f t="shared" si="23"/>
        <v>6.6666666666671945E-4</v>
      </c>
    </row>
    <row r="44" spans="1:26" s="27" customFormat="1" outlineLevel="1" collapsed="1" x14ac:dyDescent="0.25">
      <c r="A44" s="26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11500</v>
      </c>
      <c r="I44" s="1"/>
      <c r="J44" s="5">
        <f t="shared" si="17"/>
        <v>0</v>
      </c>
      <c r="K44" s="1"/>
      <c r="L44" s="1">
        <f t="shared" si="18"/>
        <v>-11500</v>
      </c>
      <c r="M44" s="1"/>
      <c r="N44" s="5">
        <f t="shared" si="19"/>
        <v>-1</v>
      </c>
      <c r="O44" s="13"/>
      <c r="P44" s="1">
        <f>SUM(OSRRefP22_4x_0)</f>
        <v>145645</v>
      </c>
      <c r="Q44" s="1"/>
      <c r="R44" s="5">
        <f t="shared" si="20"/>
        <v>0</v>
      </c>
      <c r="S44" s="1"/>
      <c r="T44" s="1">
        <f>SUM(OSRRefT22_4x_0)</f>
        <v>367800</v>
      </c>
      <c r="U44" s="1"/>
      <c r="V44" s="5">
        <f t="shared" si="21"/>
        <v>0</v>
      </c>
      <c r="W44" s="1"/>
      <c r="X44" s="1">
        <f t="shared" si="22"/>
        <v>-222155</v>
      </c>
      <c r="Y44" s="1"/>
      <c r="Z44" s="5">
        <f t="shared" si="23"/>
        <v>-0.60401033170201202</v>
      </c>
    </row>
    <row r="45" spans="1:26" s="24" customFormat="1" hidden="1" outlineLevel="2" x14ac:dyDescent="0.25">
      <c r="A45" s="25"/>
      <c r="B45" s="11" t="str">
        <f>CONCATENATE("          ", "6395", " - ", "DONATION-OFF CAMPUS")</f>
        <v xml:space="preserve">          6395 - DONATION-OFF CAMPUS</v>
      </c>
      <c r="C45" s="11"/>
      <c r="D45" s="6"/>
      <c r="E45" s="2"/>
      <c r="F45" s="7">
        <f t="shared" si="16"/>
        <v>0</v>
      </c>
      <c r="G45" s="2"/>
      <c r="H45" s="6">
        <v>1500</v>
      </c>
      <c r="I45" s="2"/>
      <c r="J45" s="7">
        <f t="shared" si="17"/>
        <v>0</v>
      </c>
      <c r="K45" s="2"/>
      <c r="L45" s="6">
        <f t="shared" si="18"/>
        <v>-1500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2300</v>
      </c>
      <c r="U45" s="2"/>
      <c r="V45" s="7">
        <f t="shared" si="21"/>
        <v>0</v>
      </c>
      <c r="W45" s="2"/>
      <c r="X45" s="6">
        <f t="shared" si="22"/>
        <v>-2300</v>
      </c>
      <c r="Y45" s="2"/>
      <c r="Z45" s="7">
        <f t="shared" si="23"/>
        <v>-1</v>
      </c>
    </row>
    <row r="46" spans="1:26" s="24" customFormat="1" hidden="1" outlineLevel="2" x14ac:dyDescent="0.25">
      <c r="A46" s="25"/>
      <c r="B46" s="11" t="str">
        <f>CONCATENATE("          ", "6399", " - ", "DONATION-ON CAMPUS")</f>
        <v xml:space="preserve">          6399 - DONATION-ON CAMPUS</v>
      </c>
      <c r="C46" s="11"/>
      <c r="D46" s="6"/>
      <c r="E46" s="2"/>
      <c r="F46" s="7">
        <f t="shared" si="16"/>
        <v>0</v>
      </c>
      <c r="G46" s="2"/>
      <c r="H46" s="6">
        <v>10000</v>
      </c>
      <c r="I46" s="2"/>
      <c r="J46" s="7">
        <f t="shared" si="17"/>
        <v>0</v>
      </c>
      <c r="K46" s="2"/>
      <c r="L46" s="6">
        <f t="shared" si="18"/>
        <v>-10000</v>
      </c>
      <c r="M46" s="2"/>
      <c r="N46" s="7">
        <f t="shared" si="19"/>
        <v>-1</v>
      </c>
      <c r="O46" s="11"/>
      <c r="P46" s="6">
        <v>145645</v>
      </c>
      <c r="Q46" s="2"/>
      <c r="R46" s="7">
        <f t="shared" si="20"/>
        <v>0</v>
      </c>
      <c r="S46" s="2"/>
      <c r="T46" s="6">
        <v>365500</v>
      </c>
      <c r="U46" s="2"/>
      <c r="V46" s="7">
        <f t="shared" si="21"/>
        <v>0</v>
      </c>
      <c r="W46" s="2"/>
      <c r="X46" s="6">
        <f t="shared" si="22"/>
        <v>-219855</v>
      </c>
      <c r="Y46" s="2"/>
      <c r="Z46" s="7">
        <f t="shared" si="23"/>
        <v>-0.60151846785225715</v>
      </c>
    </row>
    <row r="47" spans="1:26" s="27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0</v>
      </c>
      <c r="M47" s="1"/>
      <c r="N47" s="5">
        <f t="shared" ref="N47:N60" si="27">IF(H47=0,0,L47/H47)</f>
        <v>0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4500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-4500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4500</v>
      </c>
      <c r="U48" s="2"/>
      <c r="V48" s="7">
        <f t="shared" si="29"/>
        <v>0</v>
      </c>
      <c r="W48" s="2"/>
      <c r="X48" s="6">
        <f t="shared" si="30"/>
        <v>-4500</v>
      </c>
      <c r="Y48" s="2"/>
      <c r="Z48" s="7">
        <f t="shared" si="31"/>
        <v>-1</v>
      </c>
    </row>
    <row r="49" spans="1:26" s="27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3"/>
      <c r="P49" s="1">
        <f>SUM(OSRRefP22_6x_0)</f>
        <v>941.76</v>
      </c>
      <c r="Q49" s="1"/>
      <c r="R49" s="5">
        <f t="shared" si="28"/>
        <v>0</v>
      </c>
      <c r="S49" s="1"/>
      <c r="T49" s="1">
        <f>SUM(OSRRefT22_6x_0)</f>
        <v>944</v>
      </c>
      <c r="U49" s="1"/>
      <c r="V49" s="5">
        <f t="shared" si="29"/>
        <v>0</v>
      </c>
      <c r="W49" s="1"/>
      <c r="X49" s="1">
        <f t="shared" si="30"/>
        <v>-2.2400000000000091</v>
      </c>
      <c r="Y49" s="1"/>
      <c r="Z49" s="5">
        <f t="shared" si="31"/>
        <v>-2.3728813559322128E-3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>
        <v>117.72</v>
      </c>
      <c r="E50" s="2"/>
      <c r="F50" s="7">
        <f t="shared" si="24"/>
        <v>0</v>
      </c>
      <c r="G50" s="2"/>
      <c r="H50" s="6">
        <v>118</v>
      </c>
      <c r="I50" s="2"/>
      <c r="J50" s="7">
        <f t="shared" si="25"/>
        <v>0</v>
      </c>
      <c r="K50" s="2"/>
      <c r="L50" s="6">
        <f t="shared" si="26"/>
        <v>-0.28000000000000114</v>
      </c>
      <c r="M50" s="2"/>
      <c r="N50" s="7">
        <f t="shared" si="27"/>
        <v>-2.3728813559322128E-3</v>
      </c>
      <c r="O50" s="11"/>
      <c r="P50" s="6">
        <v>941.76</v>
      </c>
      <c r="Q50" s="2"/>
      <c r="R50" s="7">
        <f t="shared" si="28"/>
        <v>0</v>
      </c>
      <c r="S50" s="2"/>
      <c r="T50" s="6">
        <v>944</v>
      </c>
      <c r="U50" s="2"/>
      <c r="V50" s="7">
        <f t="shared" si="29"/>
        <v>0</v>
      </c>
      <c r="W50" s="2"/>
      <c r="X50" s="6">
        <f t="shared" si="30"/>
        <v>-2.2400000000000091</v>
      </c>
      <c r="Y50" s="2"/>
      <c r="Z50" s="7">
        <f t="shared" si="31"/>
        <v>-2.3728813559322128E-3</v>
      </c>
    </row>
    <row r="51" spans="1:26" s="27" customFormat="1" outlineLevel="1" collapsed="1" x14ac:dyDescent="0.25">
      <c r="A51" s="26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33.78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33.78</v>
      </c>
      <c r="M51" s="1"/>
      <c r="N51" s="5">
        <f t="shared" si="27"/>
        <v>0</v>
      </c>
      <c r="O51" s="13"/>
      <c r="P51" s="1">
        <f>SUM(OSRRefP22_7x_0)</f>
        <v>166.28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166.28</v>
      </c>
      <c r="Y51" s="1"/>
      <c r="Z51" s="5">
        <f t="shared" si="31"/>
        <v>0</v>
      </c>
    </row>
    <row r="52" spans="1:26" s="24" customFormat="1" hidden="1" outlineLevel="2" x14ac:dyDescent="0.25">
      <c r="A52" s="25"/>
      <c r="B52" s="11" t="str">
        <f>CONCATENATE("          ", "6307", " - ", "POSTAGE")</f>
        <v xml:space="preserve">          6307 - POSTAGE</v>
      </c>
      <c r="C52" s="11"/>
      <c r="D52" s="6">
        <v>33.78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33.78</v>
      </c>
      <c r="M52" s="2"/>
      <c r="N52" s="7">
        <f t="shared" si="27"/>
        <v>0</v>
      </c>
      <c r="O52" s="11"/>
      <c r="P52" s="6">
        <v>166.28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166.28</v>
      </c>
      <c r="Y52" s="2"/>
      <c r="Z52" s="7">
        <f t="shared" si="31"/>
        <v>0</v>
      </c>
    </row>
    <row r="53" spans="1:26" s="27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0</v>
      </c>
      <c r="M53" s="1"/>
      <c r="N53" s="5">
        <f t="shared" si="27"/>
        <v>0</v>
      </c>
      <c r="O53" s="13"/>
      <c r="P53" s="1">
        <f>SUM(OSRRefP22_8x_0)</f>
        <v>11700.62</v>
      </c>
      <c r="Q53" s="1"/>
      <c r="R53" s="5">
        <f t="shared" si="28"/>
        <v>0</v>
      </c>
      <c r="S53" s="1"/>
      <c r="T53" s="1">
        <f>SUM(OSRRefT22_8x_0)</f>
        <v>5000</v>
      </c>
      <c r="U53" s="1"/>
      <c r="V53" s="5">
        <f t="shared" si="29"/>
        <v>0</v>
      </c>
      <c r="W53" s="1"/>
      <c r="X53" s="1">
        <f t="shared" si="30"/>
        <v>6700.6200000000008</v>
      </c>
      <c r="Y53" s="1"/>
      <c r="Z53" s="5">
        <f t="shared" si="31"/>
        <v>1.3401240000000001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4"/>
        <v>0</v>
      </c>
      <c r="G54" s="2"/>
      <c r="H54" s="6">
        <v>0</v>
      </c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11700.62</v>
      </c>
      <c r="Q54" s="2"/>
      <c r="R54" s="7">
        <f t="shared" si="28"/>
        <v>0</v>
      </c>
      <c r="S54" s="2"/>
      <c r="T54" s="6">
        <v>5000</v>
      </c>
      <c r="U54" s="2"/>
      <c r="V54" s="7">
        <f t="shared" si="29"/>
        <v>0</v>
      </c>
      <c r="W54" s="2"/>
      <c r="X54" s="6">
        <f t="shared" si="30"/>
        <v>6700.6200000000008</v>
      </c>
      <c r="Y54" s="2"/>
      <c r="Z54" s="7">
        <f t="shared" si="31"/>
        <v>1.3401240000000001</v>
      </c>
    </row>
    <row r="55" spans="1:26" s="27" customFormat="1" outlineLevel="1" collapsed="1" x14ac:dyDescent="0.25">
      <c r="A55" s="26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921.04</v>
      </c>
      <c r="Q55" s="1"/>
      <c r="R55" s="5">
        <f t="shared" si="28"/>
        <v>0</v>
      </c>
      <c r="S55" s="1"/>
      <c r="T55" s="1">
        <f>SUM(OSRRefT22_9x_0)</f>
        <v>880</v>
      </c>
      <c r="U55" s="1"/>
      <c r="V55" s="5">
        <f t="shared" si="29"/>
        <v>0</v>
      </c>
      <c r="W55" s="1"/>
      <c r="X55" s="1">
        <f t="shared" si="30"/>
        <v>41.039999999999964</v>
      </c>
      <c r="Y55" s="1"/>
      <c r="Z55" s="5">
        <f t="shared" si="31"/>
        <v>4.6636363636363594E-2</v>
      </c>
    </row>
    <row r="56" spans="1:26" s="24" customFormat="1" hidden="1" outlineLevel="2" x14ac:dyDescent="0.25">
      <c r="A56" s="25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4"/>
        <v>0</v>
      </c>
      <c r="G56" s="2"/>
      <c r="H56" s="6">
        <v>110</v>
      </c>
      <c r="I56" s="2"/>
      <c r="J56" s="7">
        <f t="shared" si="25"/>
        <v>0</v>
      </c>
      <c r="K56" s="2"/>
      <c r="L56" s="6">
        <f t="shared" si="26"/>
        <v>5.1299999999999955</v>
      </c>
      <c r="M56" s="2"/>
      <c r="N56" s="7">
        <f t="shared" si="27"/>
        <v>4.6636363636363594E-2</v>
      </c>
      <c r="O56" s="11"/>
      <c r="P56" s="6">
        <v>921.04</v>
      </c>
      <c r="Q56" s="2"/>
      <c r="R56" s="7">
        <f t="shared" si="28"/>
        <v>0</v>
      </c>
      <c r="S56" s="2"/>
      <c r="T56" s="6">
        <v>880</v>
      </c>
      <c r="U56" s="2"/>
      <c r="V56" s="7">
        <f t="shared" si="29"/>
        <v>0</v>
      </c>
      <c r="W56" s="2"/>
      <c r="X56" s="6">
        <f t="shared" si="30"/>
        <v>41.039999999999964</v>
      </c>
      <c r="Y56" s="2"/>
      <c r="Z56" s="7">
        <f t="shared" si="31"/>
        <v>4.6636363636363594E-2</v>
      </c>
    </row>
    <row r="57" spans="1:26" s="27" customFormat="1" outlineLevel="1" collapsed="1" x14ac:dyDescent="0.25">
      <c r="A57" s="26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875</v>
      </c>
      <c r="E57" s="1"/>
      <c r="F57" s="5">
        <f t="shared" si="24"/>
        <v>0</v>
      </c>
      <c r="G57" s="1"/>
      <c r="H57" s="1">
        <f>SUM(OSRRefH22_10x_0)</f>
        <v>3000</v>
      </c>
      <c r="I57" s="1"/>
      <c r="J57" s="5">
        <f t="shared" si="25"/>
        <v>0</v>
      </c>
      <c r="K57" s="1"/>
      <c r="L57" s="1">
        <f t="shared" si="26"/>
        <v>-2125</v>
      </c>
      <c r="M57" s="1"/>
      <c r="N57" s="5">
        <f t="shared" si="27"/>
        <v>-0.70833333333333337</v>
      </c>
      <c r="O57" s="13"/>
      <c r="P57" s="1">
        <f>SUM(OSRRefP22_10x_0)</f>
        <v>51735</v>
      </c>
      <c r="Q57" s="1"/>
      <c r="R57" s="5">
        <f t="shared" si="28"/>
        <v>0</v>
      </c>
      <c r="S57" s="1"/>
      <c r="T57" s="1">
        <f>SUM(OSRRefT22_10x_0)</f>
        <v>55700</v>
      </c>
      <c r="U57" s="1"/>
      <c r="V57" s="5">
        <f t="shared" si="29"/>
        <v>0</v>
      </c>
      <c r="W57" s="1"/>
      <c r="X57" s="1">
        <f t="shared" si="30"/>
        <v>-3965</v>
      </c>
      <c r="Y57" s="1"/>
      <c r="Z57" s="5">
        <f t="shared" si="31"/>
        <v>-7.1184919210053862E-2</v>
      </c>
    </row>
    <row r="58" spans="1:26" s="24" customFormat="1" hidden="1" outlineLevel="2" x14ac:dyDescent="0.25">
      <c r="A58" s="25"/>
      <c r="B58" s="11" t="str">
        <f>CONCATENATE("          ", "6331", " - ", "INDIRECT COSTS-AUXILIARY ORGAN")</f>
        <v xml:space="preserve">          6331 - INDIRECT COSTS-AUXILIARY ORGAN</v>
      </c>
      <c r="C58" s="11"/>
      <c r="D58" s="6"/>
      <c r="E58" s="2"/>
      <c r="F58" s="7">
        <f t="shared" si="24"/>
        <v>0</v>
      </c>
      <c r="G58" s="2"/>
      <c r="H58" s="6">
        <v>3000</v>
      </c>
      <c r="I58" s="2"/>
      <c r="J58" s="7">
        <f t="shared" si="25"/>
        <v>0</v>
      </c>
      <c r="K58" s="2"/>
      <c r="L58" s="6">
        <f t="shared" si="26"/>
        <v>-3000</v>
      </c>
      <c r="M58" s="2"/>
      <c r="N58" s="7">
        <f t="shared" si="27"/>
        <v>-1</v>
      </c>
      <c r="O58" s="11"/>
      <c r="P58" s="6">
        <v>45550</v>
      </c>
      <c r="Q58" s="2"/>
      <c r="R58" s="7">
        <f t="shared" si="28"/>
        <v>0</v>
      </c>
      <c r="S58" s="2"/>
      <c r="T58" s="6">
        <v>48000</v>
      </c>
      <c r="U58" s="2"/>
      <c r="V58" s="7">
        <f t="shared" si="29"/>
        <v>0</v>
      </c>
      <c r="W58" s="2"/>
      <c r="X58" s="6">
        <f t="shared" si="30"/>
        <v>-2450</v>
      </c>
      <c r="Y58" s="2"/>
      <c r="Z58" s="7">
        <f t="shared" si="31"/>
        <v>-5.1041666666666666E-2</v>
      </c>
    </row>
    <row r="59" spans="1:26" s="24" customFormat="1" hidden="1" outlineLevel="2" x14ac:dyDescent="0.25">
      <c r="A59" s="25"/>
      <c r="B59" s="11" t="str">
        <f>CONCATENATE("          ", "6334", " - ", "LEGAL COUNCIL EXPENSE")</f>
        <v xml:space="preserve">          6334 - LEGAL COUNCIL EXPENSE</v>
      </c>
      <c r="C59" s="11"/>
      <c r="D59" s="6">
        <v>875</v>
      </c>
      <c r="E59" s="2"/>
      <c r="F59" s="7">
        <f t="shared" si="24"/>
        <v>0</v>
      </c>
      <c r="G59" s="2"/>
      <c r="H59" s="6">
        <v>0</v>
      </c>
      <c r="I59" s="2"/>
      <c r="J59" s="7">
        <f t="shared" si="25"/>
        <v>0</v>
      </c>
      <c r="K59" s="2"/>
      <c r="L59" s="6">
        <f t="shared" si="26"/>
        <v>875</v>
      </c>
      <c r="M59" s="2"/>
      <c r="N59" s="7">
        <f t="shared" si="27"/>
        <v>0</v>
      </c>
      <c r="O59" s="11"/>
      <c r="P59" s="6">
        <v>1165</v>
      </c>
      <c r="Q59" s="2"/>
      <c r="R59" s="7">
        <f t="shared" si="28"/>
        <v>0</v>
      </c>
      <c r="S59" s="2"/>
      <c r="T59" s="6">
        <v>2700</v>
      </c>
      <c r="U59" s="2"/>
      <c r="V59" s="7">
        <f t="shared" si="29"/>
        <v>0</v>
      </c>
      <c r="W59" s="2"/>
      <c r="X59" s="6">
        <f t="shared" si="30"/>
        <v>-1535</v>
      </c>
      <c r="Y59" s="2"/>
      <c r="Z59" s="7">
        <f t="shared" si="31"/>
        <v>-0.56851851851851853</v>
      </c>
    </row>
    <row r="60" spans="1:26" s="24" customFormat="1" hidden="1" outlineLevel="2" x14ac:dyDescent="0.25">
      <c r="A60" s="25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5020</v>
      </c>
      <c r="Q60" s="2"/>
      <c r="R60" s="7">
        <f t="shared" si="28"/>
        <v>0</v>
      </c>
      <c r="S60" s="2"/>
      <c r="T60" s="6">
        <v>5000</v>
      </c>
      <c r="U60" s="2"/>
      <c r="V60" s="7">
        <f t="shared" si="29"/>
        <v>0</v>
      </c>
      <c r="W60" s="2"/>
      <c r="X60" s="6">
        <f t="shared" si="30"/>
        <v>20</v>
      </c>
      <c r="Y60" s="2"/>
      <c r="Z60" s="7">
        <f t="shared" si="31"/>
        <v>4.0000000000000001E-3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2769.43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-205.57000000000016</v>
      </c>
      <c r="M61" s="1"/>
      <c r="N61" s="5">
        <f t="shared" ref="N61:N64" si="35">IF(H61=0,0,L61/H61)</f>
        <v>-6.9099159663865595E-2</v>
      </c>
      <c r="O61" s="13"/>
      <c r="P61" s="1">
        <f>SUM(OSRRefP22_11x_0)</f>
        <v>25630.260000000002</v>
      </c>
      <c r="Q61" s="1"/>
      <c r="R61" s="5">
        <f t="shared" ref="R61:R64" si="36">IF(P$12=0,0,P61/P$12)</f>
        <v>0</v>
      </c>
      <c r="S61" s="1"/>
      <c r="T61" s="1">
        <f>SUM(OSRRefT22_11x_0)</f>
        <v>23800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1830.260000000002</v>
      </c>
      <c r="Y61" s="1"/>
      <c r="Z61" s="5">
        <f t="shared" ref="Z61:Z64" si="39">IF(T61=0,0,X61/T61)</f>
        <v>7.6901680672268991E-2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31.58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31.58</v>
      </c>
      <c r="Y62" s="2"/>
      <c r="Z62" s="7">
        <f t="shared" si="39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>
        <v>2769.43</v>
      </c>
      <c r="E63" s="2"/>
      <c r="F63" s="7">
        <f t="shared" si="32"/>
        <v>0</v>
      </c>
      <c r="G63" s="2"/>
      <c r="H63" s="6">
        <v>2975</v>
      </c>
      <c r="I63" s="2"/>
      <c r="J63" s="7">
        <f t="shared" si="33"/>
        <v>0</v>
      </c>
      <c r="K63" s="2"/>
      <c r="L63" s="6">
        <f t="shared" si="34"/>
        <v>-205.57000000000016</v>
      </c>
      <c r="M63" s="2"/>
      <c r="N63" s="7">
        <f t="shared" si="35"/>
        <v>-6.9099159663865595E-2</v>
      </c>
      <c r="O63" s="11"/>
      <c r="P63" s="6">
        <v>25073.69</v>
      </c>
      <c r="Q63" s="2"/>
      <c r="R63" s="7">
        <f t="shared" si="36"/>
        <v>0</v>
      </c>
      <c r="S63" s="2"/>
      <c r="T63" s="6">
        <v>23800</v>
      </c>
      <c r="U63" s="2"/>
      <c r="V63" s="7">
        <f t="shared" si="37"/>
        <v>0</v>
      </c>
      <c r="W63" s="2"/>
      <c r="X63" s="6">
        <f t="shared" si="38"/>
        <v>1273.6899999999987</v>
      </c>
      <c r="Y63" s="2"/>
      <c r="Z63" s="7">
        <f t="shared" si="39"/>
        <v>5.3516386554621792E-2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524.99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524.99</v>
      </c>
      <c r="Y64" s="2"/>
      <c r="Z64" s="7">
        <f t="shared" si="39"/>
        <v>0</v>
      </c>
    </row>
    <row r="65" spans="1:26" s="27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0">IF(D$12=0,0,D65/D$12)</f>
        <v>0</v>
      </c>
      <c r="G65" s="1"/>
      <c r="H65" s="1">
        <f>SUM(OSRRefH22_12x_0)</f>
        <v>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0</v>
      </c>
      <c r="M65" s="1"/>
      <c r="N65" s="5">
        <f t="shared" ref="N65:N70" si="43">IF(H65=0,0,L65/H65)</f>
        <v>0</v>
      </c>
      <c r="O65" s="13"/>
      <c r="P65" s="1">
        <f>SUM(OSRRefP22_12x_0)</f>
        <v>1795</v>
      </c>
      <c r="Q65" s="1"/>
      <c r="R65" s="5">
        <f t="shared" ref="R65:R70" si="44">IF(P$12=0,0,P65/P$12)</f>
        <v>0</v>
      </c>
      <c r="S65" s="1"/>
      <c r="T65" s="1">
        <f>SUM(OSRRefT22_12x_0)</f>
        <v>7732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-5937</v>
      </c>
      <c r="Y65" s="1"/>
      <c r="Z65" s="5">
        <f t="shared" ref="Z65:Z70" si="47">IF(T65=0,0,X65/T65)</f>
        <v>-0.76784790481117438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1795</v>
      </c>
      <c r="Q66" s="2"/>
      <c r="R66" s="7">
        <f t="shared" si="44"/>
        <v>0</v>
      </c>
      <c r="S66" s="2"/>
      <c r="T66" s="6">
        <v>7732</v>
      </c>
      <c r="U66" s="2"/>
      <c r="V66" s="7">
        <f t="shared" si="45"/>
        <v>0</v>
      </c>
      <c r="W66" s="2"/>
      <c r="X66" s="6">
        <f t="shared" si="46"/>
        <v>-5937</v>
      </c>
      <c r="Y66" s="2"/>
      <c r="Z66" s="7">
        <f t="shared" si="47"/>
        <v>-0.76784790481117438</v>
      </c>
    </row>
    <row r="67" spans="1:26" s="27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27.74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-472.26</v>
      </c>
      <c r="M67" s="1"/>
      <c r="N67" s="5">
        <f t="shared" si="43"/>
        <v>-0.94452000000000003</v>
      </c>
      <c r="O67" s="13"/>
      <c r="P67" s="1">
        <f>SUM(OSRRefP22_13x_0)</f>
        <v>3955.46</v>
      </c>
      <c r="Q67" s="1"/>
      <c r="R67" s="5">
        <f t="shared" si="44"/>
        <v>0</v>
      </c>
      <c r="S67" s="1"/>
      <c r="T67" s="1">
        <f>SUM(OSRRefT22_13x_0)</f>
        <v>5000</v>
      </c>
      <c r="U67" s="1"/>
      <c r="V67" s="5">
        <f t="shared" si="45"/>
        <v>0</v>
      </c>
      <c r="W67" s="1"/>
      <c r="X67" s="1">
        <f t="shared" si="46"/>
        <v>-1044.54</v>
      </c>
      <c r="Y67" s="1"/>
      <c r="Z67" s="5">
        <f t="shared" si="47"/>
        <v>-0.20890799999999998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>
        <v>500</v>
      </c>
      <c r="I68" s="2"/>
      <c r="J68" s="7">
        <f t="shared" si="41"/>
        <v>0</v>
      </c>
      <c r="K68" s="2"/>
      <c r="L68" s="6">
        <f t="shared" si="42"/>
        <v>-500</v>
      </c>
      <c r="M68" s="2"/>
      <c r="N68" s="7">
        <f t="shared" si="43"/>
        <v>-1</v>
      </c>
      <c r="O68" s="11"/>
      <c r="P68" s="6">
        <v>217.02</v>
      </c>
      <c r="Q68" s="2"/>
      <c r="R68" s="7">
        <f t="shared" si="44"/>
        <v>0</v>
      </c>
      <c r="S68" s="2"/>
      <c r="T68" s="6">
        <v>5000</v>
      </c>
      <c r="U68" s="2"/>
      <c r="V68" s="7">
        <f t="shared" si="45"/>
        <v>0</v>
      </c>
      <c r="W68" s="2"/>
      <c r="X68" s="6">
        <f t="shared" si="46"/>
        <v>-4782.9799999999996</v>
      </c>
      <c r="Y68" s="2"/>
      <c r="Z68" s="7">
        <f t="shared" si="47"/>
        <v>-0.95659599999999989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27.74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27.74</v>
      </c>
      <c r="M69" s="2"/>
      <c r="N69" s="7">
        <f t="shared" si="43"/>
        <v>0</v>
      </c>
      <c r="O69" s="11"/>
      <c r="P69" s="6">
        <v>3706.58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3706.58</v>
      </c>
      <c r="Y69" s="2"/>
      <c r="Z69" s="7">
        <f t="shared" si="47"/>
        <v>0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31.86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31.86</v>
      </c>
      <c r="Y70" s="2"/>
      <c r="Z70" s="7">
        <f t="shared" si="47"/>
        <v>0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305.41000000000003</v>
      </c>
      <c r="E71" s="1"/>
      <c r="F71" s="5">
        <f t="shared" ref="F71:F77" si="48">IF(D$12=0,0,D71/D$12)</f>
        <v>0</v>
      </c>
      <c r="G71" s="1"/>
      <c r="H71" s="1">
        <f>SUM(OSRRefH22_14x_0)</f>
        <v>350</v>
      </c>
      <c r="I71" s="1"/>
      <c r="J71" s="5">
        <f t="shared" ref="J71:J77" si="49">IF(H$12=0,0,H71/H$12)</f>
        <v>0</v>
      </c>
      <c r="K71" s="1"/>
      <c r="L71" s="1">
        <f t="shared" ref="L71:L77" si="50">+D71-H71</f>
        <v>-44.589999999999975</v>
      </c>
      <c r="M71" s="1"/>
      <c r="N71" s="5">
        <f t="shared" ref="N71:N77" si="51">IF(H71=0,0,L71/H71)</f>
        <v>-0.12739999999999993</v>
      </c>
      <c r="O71" s="13"/>
      <c r="P71" s="1">
        <f>SUM(OSRRefP22_14x_0)</f>
        <v>3225.55</v>
      </c>
      <c r="Q71" s="1"/>
      <c r="R71" s="5">
        <f t="shared" ref="R71:R77" si="52">IF(P$12=0,0,P71/P$12)</f>
        <v>0</v>
      </c>
      <c r="S71" s="1"/>
      <c r="T71" s="1">
        <f>SUM(OSRRefT22_14x_0)</f>
        <v>2800</v>
      </c>
      <c r="U71" s="1"/>
      <c r="V71" s="5">
        <f t="shared" ref="V71:V77" si="53">IF(T$12=0,0,T71/T$12)</f>
        <v>0</v>
      </c>
      <c r="W71" s="1"/>
      <c r="X71" s="1">
        <f t="shared" ref="X71:X77" si="54">+P71-T71</f>
        <v>425.55000000000018</v>
      </c>
      <c r="Y71" s="1"/>
      <c r="Z71" s="5">
        <f t="shared" ref="Z71:Z77" si="55">IF(T71=0,0,X71/T71)</f>
        <v>0.15198214285714293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6">
        <v>305.41000000000003</v>
      </c>
      <c r="E72" s="2"/>
      <c r="F72" s="7">
        <f t="shared" si="48"/>
        <v>0</v>
      </c>
      <c r="G72" s="2"/>
      <c r="H72" s="6">
        <v>350</v>
      </c>
      <c r="I72" s="2"/>
      <c r="J72" s="7">
        <f t="shared" si="49"/>
        <v>0</v>
      </c>
      <c r="K72" s="2"/>
      <c r="L72" s="6">
        <f t="shared" si="50"/>
        <v>-44.589999999999975</v>
      </c>
      <c r="M72" s="2"/>
      <c r="N72" s="7">
        <f t="shared" si="51"/>
        <v>-0.12739999999999993</v>
      </c>
      <c r="O72" s="11"/>
      <c r="P72" s="6">
        <v>3225.55</v>
      </c>
      <c r="Q72" s="2"/>
      <c r="R72" s="7">
        <f t="shared" si="52"/>
        <v>0</v>
      </c>
      <c r="S72" s="2"/>
      <c r="T72" s="6">
        <v>2800</v>
      </c>
      <c r="U72" s="2"/>
      <c r="V72" s="7">
        <f t="shared" si="53"/>
        <v>0</v>
      </c>
      <c r="W72" s="2"/>
      <c r="X72" s="6">
        <f t="shared" si="54"/>
        <v>425.55000000000018</v>
      </c>
      <c r="Y72" s="2"/>
      <c r="Z72" s="7">
        <f t="shared" si="55"/>
        <v>0.15198214285714293</v>
      </c>
    </row>
    <row r="73" spans="1:26" s="27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218.9</v>
      </c>
      <c r="E73" s="1"/>
      <c r="F73" s="5">
        <f t="shared" si="48"/>
        <v>0</v>
      </c>
      <c r="G73" s="1"/>
      <c r="H73" s="1">
        <f>SUM(OSRRefH22_15x_0)</f>
        <v>0</v>
      </c>
      <c r="I73" s="1"/>
      <c r="J73" s="5">
        <f t="shared" si="49"/>
        <v>0</v>
      </c>
      <c r="K73" s="1"/>
      <c r="L73" s="1">
        <f t="shared" si="50"/>
        <v>218.9</v>
      </c>
      <c r="M73" s="1"/>
      <c r="N73" s="5">
        <f t="shared" si="51"/>
        <v>0</v>
      </c>
      <c r="O73" s="13"/>
      <c r="P73" s="1">
        <f>SUM(OSRRefP22_15x_0)</f>
        <v>4411.1899999999996</v>
      </c>
      <c r="Q73" s="1"/>
      <c r="R73" s="5">
        <f t="shared" si="52"/>
        <v>0</v>
      </c>
      <c r="S73" s="1"/>
      <c r="T73" s="1">
        <f>SUM(OSRRefT22_15x_0)</f>
        <v>4200</v>
      </c>
      <c r="U73" s="1"/>
      <c r="V73" s="5">
        <f t="shared" si="53"/>
        <v>0</v>
      </c>
      <c r="W73" s="1"/>
      <c r="X73" s="1">
        <f t="shared" si="54"/>
        <v>211.1899999999996</v>
      </c>
      <c r="Y73" s="1"/>
      <c r="Z73" s="5">
        <f t="shared" si="55"/>
        <v>5.0283333333333236E-2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6">
        <v>218.9</v>
      </c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218.9</v>
      </c>
      <c r="M74" s="2"/>
      <c r="N74" s="7">
        <f t="shared" si="51"/>
        <v>0</v>
      </c>
      <c r="O74" s="11"/>
      <c r="P74" s="6">
        <v>4411.1899999999996</v>
      </c>
      <c r="Q74" s="2"/>
      <c r="R74" s="7">
        <f t="shared" si="52"/>
        <v>0</v>
      </c>
      <c r="S74" s="2"/>
      <c r="T74" s="6">
        <v>4200</v>
      </c>
      <c r="U74" s="2"/>
      <c r="V74" s="7">
        <f t="shared" si="53"/>
        <v>0</v>
      </c>
      <c r="W74" s="2"/>
      <c r="X74" s="6">
        <f t="shared" si="54"/>
        <v>211.1899999999996</v>
      </c>
      <c r="Y74" s="2"/>
      <c r="Z74" s="7">
        <f t="shared" si="55"/>
        <v>5.0283333333333236E-2</v>
      </c>
    </row>
    <row r="75" spans="1:26" s="27" customFormat="1" outlineLevel="1" collapsed="1" x14ac:dyDescent="0.25">
      <c r="A75" s="26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95.92</v>
      </c>
      <c r="E75" s="1"/>
      <c r="F75" s="5">
        <f t="shared" si="48"/>
        <v>0</v>
      </c>
      <c r="G75" s="1"/>
      <c r="H75" s="1">
        <f>SUM(OSRRefH22_16x_0)</f>
        <v>4000</v>
      </c>
      <c r="I75" s="1"/>
      <c r="J75" s="5">
        <f t="shared" si="49"/>
        <v>0</v>
      </c>
      <c r="K75" s="1"/>
      <c r="L75" s="1">
        <f t="shared" si="50"/>
        <v>-3904.08</v>
      </c>
      <c r="M75" s="1"/>
      <c r="N75" s="5">
        <f t="shared" si="51"/>
        <v>-0.97602</v>
      </c>
      <c r="O75" s="13"/>
      <c r="P75" s="1">
        <f>SUM(OSRRefP22_16x_0)</f>
        <v>3811.99</v>
      </c>
      <c r="Q75" s="1"/>
      <c r="R75" s="5">
        <f t="shared" si="52"/>
        <v>0</v>
      </c>
      <c r="S75" s="1"/>
      <c r="T75" s="1">
        <f>SUM(OSRRefT22_16x_0)</f>
        <v>15250</v>
      </c>
      <c r="U75" s="1"/>
      <c r="V75" s="5">
        <f t="shared" si="53"/>
        <v>0</v>
      </c>
      <c r="W75" s="1"/>
      <c r="X75" s="1">
        <f t="shared" si="54"/>
        <v>-11438.01</v>
      </c>
      <c r="Y75" s="1"/>
      <c r="Z75" s="5">
        <f t="shared" si="55"/>
        <v>-0.7500334426229508</v>
      </c>
    </row>
    <row r="76" spans="1:26" s="24" customFormat="1" hidden="1" outlineLevel="2" x14ac:dyDescent="0.25">
      <c r="A76" s="25"/>
      <c r="B76" s="11" t="str">
        <f>CONCATENATE("          ", "6292", " - ", "TRAVEL/CONFERENCE")</f>
        <v xml:space="preserve">          6292 - TRAVEL/CONFERENCE</v>
      </c>
      <c r="C76" s="11"/>
      <c r="D76" s="6">
        <v>95.92</v>
      </c>
      <c r="E76" s="2"/>
      <c r="F76" s="7">
        <f t="shared" si="48"/>
        <v>0</v>
      </c>
      <c r="G76" s="2"/>
      <c r="H76" s="6">
        <v>4000</v>
      </c>
      <c r="I76" s="2"/>
      <c r="J76" s="7">
        <f t="shared" si="49"/>
        <v>0</v>
      </c>
      <c r="K76" s="2"/>
      <c r="L76" s="6">
        <f t="shared" si="50"/>
        <v>-3904.08</v>
      </c>
      <c r="M76" s="2"/>
      <c r="N76" s="7">
        <f t="shared" si="51"/>
        <v>-0.97602</v>
      </c>
      <c r="O76" s="11"/>
      <c r="P76" s="6">
        <v>3811.99</v>
      </c>
      <c r="Q76" s="2"/>
      <c r="R76" s="7">
        <f t="shared" si="52"/>
        <v>0</v>
      </c>
      <c r="S76" s="2"/>
      <c r="T76" s="6">
        <v>14000</v>
      </c>
      <c r="U76" s="2"/>
      <c r="V76" s="7">
        <f t="shared" si="53"/>
        <v>0</v>
      </c>
      <c r="W76" s="2"/>
      <c r="X76" s="6">
        <f t="shared" si="54"/>
        <v>-10188.01</v>
      </c>
      <c r="Y76" s="2"/>
      <c r="Z76" s="7">
        <f t="shared" si="55"/>
        <v>-0.727715</v>
      </c>
    </row>
    <row r="77" spans="1:26" s="24" customFormat="1" hidden="1" outlineLevel="2" x14ac:dyDescent="0.25">
      <c r="A77" s="25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/>
      <c r="Q77" s="2"/>
      <c r="R77" s="7">
        <f t="shared" si="52"/>
        <v>0</v>
      </c>
      <c r="S77" s="2"/>
      <c r="T77" s="6">
        <v>1250</v>
      </c>
      <c r="U77" s="2"/>
      <c r="V77" s="7">
        <f t="shared" si="53"/>
        <v>0</v>
      </c>
      <c r="W77" s="2"/>
      <c r="X77" s="6">
        <f t="shared" si="54"/>
        <v>-1250</v>
      </c>
      <c r="Y77" s="2"/>
      <c r="Z77" s="7">
        <f t="shared" si="55"/>
        <v>-1</v>
      </c>
    </row>
    <row r="78" spans="1:26" s="53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1">
        <f>+D16-D18+D79</f>
        <v>-37406.44</v>
      </c>
      <c r="E81" s="14"/>
      <c r="F81" s="22">
        <f>IF(D$12=0,0,D81/D$12)</f>
        <v>0</v>
      </c>
      <c r="G81" s="14"/>
      <c r="H81" s="21">
        <f>+H16-H18+H79</f>
        <v>-73096.394416923053</v>
      </c>
      <c r="I81" s="14"/>
      <c r="J81" s="22">
        <f>IF(H$12=0,0,H81/H$12)</f>
        <v>0</v>
      </c>
      <c r="K81" s="15"/>
      <c r="L81" s="21">
        <f>+D81-H81</f>
        <v>35689.95441692305</v>
      </c>
      <c r="M81" s="15"/>
      <c r="N81" s="22">
        <f>IF(H81=0,0,L81/H81)</f>
        <v>-0.48825875341205915</v>
      </c>
      <c r="O81" s="29"/>
      <c r="P81" s="21">
        <f>+P16-P18+P79</f>
        <v>-513761.47</v>
      </c>
      <c r="Q81" s="14"/>
      <c r="R81" s="22">
        <f>IF(P$12=0,0,P81/P$12)</f>
        <v>0</v>
      </c>
      <c r="S81" s="14"/>
      <c r="T81" s="21">
        <f>+T16-T18+T79</f>
        <v>-925297.7011480768</v>
      </c>
      <c r="U81" s="14"/>
      <c r="V81" s="22">
        <f>IF(T$12=0,0,T81/T$12)</f>
        <v>0</v>
      </c>
      <c r="W81" s="15"/>
      <c r="X81" s="21">
        <f>+P81-T81</f>
        <v>411536.23114807683</v>
      </c>
      <c r="Y81" s="15"/>
      <c r="Z81" s="22">
        <f>IF(T81=0,0,X81/T81)</f>
        <v>-0.44476089223766274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/>
      <c r="E83" s="4"/>
      <c r="F83" s="12">
        <f>IF(D$12=0,0,D83/D$12)</f>
        <v>0</v>
      </c>
      <c r="G83" s="4"/>
      <c r="H83" s="4"/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/>
      <c r="Q83" s="4"/>
      <c r="R83" s="12">
        <f>IF(P$12=0,0,P83/P$12)</f>
        <v>0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1">
        <f>+D81-D83</f>
        <v>-37406.44</v>
      </c>
      <c r="E85" s="14"/>
      <c r="F85" s="32">
        <f>IF(D$12=0,0,D85/D$12)</f>
        <v>0</v>
      </c>
      <c r="G85" s="14"/>
      <c r="H85" s="31">
        <f>+H81-H83</f>
        <v>-73096.394416923053</v>
      </c>
      <c r="I85" s="14"/>
      <c r="J85" s="32">
        <f>IF(H$12=0,0,H85/H$12)</f>
        <v>0</v>
      </c>
      <c r="K85" s="15"/>
      <c r="L85" s="31">
        <f>D85-H85</f>
        <v>35689.95441692305</v>
      </c>
      <c r="M85" s="15"/>
      <c r="N85" s="32">
        <f>IF(H85=0,0,L85/H85)</f>
        <v>-0.48825875341205915</v>
      </c>
      <c r="O85" s="29"/>
      <c r="P85" s="31">
        <f>+P81-P83</f>
        <v>-513761.47</v>
      </c>
      <c r="Q85" s="14"/>
      <c r="R85" s="32">
        <f>IF(P$12=0,0,P85/P$12)</f>
        <v>0</v>
      </c>
      <c r="S85" s="14"/>
      <c r="T85" s="31">
        <f>+T81-T83</f>
        <v>-925297.7011480768</v>
      </c>
      <c r="U85" s="14"/>
      <c r="V85" s="32">
        <f>IF(T$12=0,0,T85/T$12)</f>
        <v>0</v>
      </c>
      <c r="W85" s="15"/>
      <c r="X85" s="31">
        <f>P85-T85</f>
        <v>411536.23114807683</v>
      </c>
      <c r="Y85" s="15"/>
      <c r="Z85" s="32">
        <f>IF(T85=0,0,X85/T85)</f>
        <v>-0.44476089223766274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3">
        <f>SUM(D85:D87)</f>
        <v>-37406.44</v>
      </c>
      <c r="E88" s="14"/>
      <c r="F88" s="30">
        <f>IF(D$12=0,0,D88/D$12)</f>
        <v>0</v>
      </c>
      <c r="G88" s="14"/>
      <c r="H88" s="33">
        <f>SUM(H85:H87)</f>
        <v>-73096.394416923053</v>
      </c>
      <c r="I88" s="14"/>
      <c r="J88" s="30">
        <f>IF(H$12=0,0,H88/H$12)</f>
        <v>0</v>
      </c>
      <c r="K88" s="15"/>
      <c r="L88" s="33">
        <f>+D88-H88</f>
        <v>35689.95441692305</v>
      </c>
      <c r="M88" s="15"/>
      <c r="N88" s="30">
        <f>IF(H88=0,0,L88/H88)</f>
        <v>-0.48825875341205915</v>
      </c>
      <c r="O88" s="29"/>
      <c r="P88" s="33">
        <f>SUM(P85:P87)</f>
        <v>-513761.47</v>
      </c>
      <c r="Q88" s="14"/>
      <c r="R88" s="30">
        <f>IF(P$12=0,0,P88/P$12)</f>
        <v>0</v>
      </c>
      <c r="S88" s="14"/>
      <c r="T88" s="33">
        <f>SUM(T85:T87)</f>
        <v>-925297.7011480768</v>
      </c>
      <c r="U88" s="14"/>
      <c r="V88" s="30">
        <f>IF(T$12=0,0,T88/T$12)</f>
        <v>0</v>
      </c>
      <c r="W88" s="15"/>
      <c r="X88" s="33">
        <f>+P88-T88</f>
        <v>411536.23114807683</v>
      </c>
      <c r="Y88" s="15"/>
      <c r="Z88" s="30">
        <f>IF(T88=0,0,X88/T88)</f>
        <v>-0.44476089223766274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9">
        <v>43908.494366087965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3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7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65404.409999999996</v>
      </c>
      <c r="E18" s="20"/>
      <c r="F18" s="34">
        <f t="shared" ref="F18:F28" si="0">IF(D$12=0,0,D18/D$12)</f>
        <v>0</v>
      </c>
      <c r="G18" s="20"/>
      <c r="H18" s="20">
        <f>SUM(OSRRefH22x_0)</f>
        <v>64650.188613846098</v>
      </c>
      <c r="I18" s="20"/>
      <c r="J18" s="34">
        <f t="shared" ref="J18:J28" si="1">IF(H$12=0,0,H18/H$12)</f>
        <v>0</v>
      </c>
      <c r="K18" s="4"/>
      <c r="L18" s="20">
        <f t="shared" ref="L18:L28" si="2">+D18-H18</f>
        <v>754.22138615389849</v>
      </c>
      <c r="M18" s="4"/>
      <c r="N18" s="34">
        <f t="shared" ref="N18:N28" si="3">IF(H18=0,0,L18/H18)</f>
        <v>1.1666190034786183E-2</v>
      </c>
      <c r="O18" s="10"/>
      <c r="P18" s="20">
        <f>SUM(OSRRefP22x_0)</f>
        <v>433986.66999999987</v>
      </c>
      <c r="Q18" s="20"/>
      <c r="R18" s="34">
        <f t="shared" ref="R18:R28" si="4">IF(P$12=0,0,P18/P$12)</f>
        <v>0</v>
      </c>
      <c r="S18" s="20"/>
      <c r="T18" s="20">
        <f>SUM(OSRRefT22x_0)</f>
        <v>444585.76489615359</v>
      </c>
      <c r="U18" s="20"/>
      <c r="V18" s="34">
        <f t="shared" ref="V18:V28" si="5">IF(T$12=0,0,T18/T$12)</f>
        <v>0</v>
      </c>
      <c r="W18" s="4"/>
      <c r="X18" s="20">
        <f t="shared" ref="X18:X28" si="6">+P18-T18</f>
        <v>-10599.094896153721</v>
      </c>
      <c r="Y18" s="4"/>
      <c r="Z18" s="34">
        <f t="shared" ref="Z18:Z28" si="7">IF(T18=0,0,X18/T18)</f>
        <v>-2.3840382965544252E-2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15948.11</v>
      </c>
      <c r="E19" s="1"/>
      <c r="F19" s="5">
        <f t="shared" si="0"/>
        <v>0</v>
      </c>
      <c r="G19" s="1"/>
      <c r="H19" s="1">
        <f>SUM(OSRRefH22_0x_0)</f>
        <v>14070.866152307681</v>
      </c>
      <c r="I19" s="1"/>
      <c r="J19" s="5">
        <f t="shared" si="1"/>
        <v>0</v>
      </c>
      <c r="K19" s="1"/>
      <c r="L19" s="1">
        <f t="shared" si="2"/>
        <v>1877.2438476923198</v>
      </c>
      <c r="M19" s="1"/>
      <c r="N19" s="5">
        <f t="shared" si="3"/>
        <v>0.13341352460981543</v>
      </c>
      <c r="O19" s="13"/>
      <c r="P19" s="1">
        <f>SUM(OSRRefP22_0x_0)</f>
        <v>126491.03</v>
      </c>
      <c r="Q19" s="1"/>
      <c r="R19" s="5">
        <f t="shared" si="4"/>
        <v>0</v>
      </c>
      <c r="S19" s="1"/>
      <c r="T19" s="1">
        <f>SUM(OSRRefT22_0x_0)</f>
        <v>118784.88435769227</v>
      </c>
      <c r="U19" s="1"/>
      <c r="V19" s="5">
        <f t="shared" si="5"/>
        <v>0</v>
      </c>
      <c r="W19" s="1"/>
      <c r="X19" s="1">
        <f t="shared" si="6"/>
        <v>7706.1456423077325</v>
      </c>
      <c r="Y19" s="1"/>
      <c r="Z19" s="5">
        <f t="shared" si="7"/>
        <v>6.4874800223760104E-2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2472.0300000000002</v>
      </c>
      <c r="E20" s="2"/>
      <c r="F20" s="7">
        <f t="shared" si="0"/>
        <v>0</v>
      </c>
      <c r="G20" s="2"/>
      <c r="H20" s="6">
        <v>2111.3214138461499</v>
      </c>
      <c r="I20" s="2"/>
      <c r="J20" s="7">
        <f t="shared" si="1"/>
        <v>0</v>
      </c>
      <c r="K20" s="2"/>
      <c r="L20" s="6">
        <f t="shared" si="2"/>
        <v>360.70858615385032</v>
      </c>
      <c r="M20" s="2"/>
      <c r="N20" s="7">
        <f t="shared" si="3"/>
        <v>0.17084494278715956</v>
      </c>
      <c r="O20" s="11"/>
      <c r="P20" s="6">
        <v>19954.190000000002</v>
      </c>
      <c r="Q20" s="2"/>
      <c r="R20" s="7">
        <f t="shared" si="4"/>
        <v>0</v>
      </c>
      <c r="S20" s="2"/>
      <c r="T20" s="6">
        <v>19308.43069615382</v>
      </c>
      <c r="U20" s="2"/>
      <c r="V20" s="7">
        <f t="shared" si="5"/>
        <v>0</v>
      </c>
      <c r="W20" s="2"/>
      <c r="X20" s="6">
        <f t="shared" si="6"/>
        <v>645.75930384618187</v>
      </c>
      <c r="Y20" s="2"/>
      <c r="Z20" s="7">
        <f t="shared" si="7"/>
        <v>3.3444421973392958E-2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129.52000000000001</v>
      </c>
      <c r="E21" s="2"/>
      <c r="F21" s="7">
        <f t="shared" si="0"/>
        <v>0</v>
      </c>
      <c r="G21" s="2"/>
      <c r="H21" s="6">
        <v>115.829003076923</v>
      </c>
      <c r="I21" s="2"/>
      <c r="J21" s="7">
        <f t="shared" si="1"/>
        <v>0</v>
      </c>
      <c r="K21" s="2"/>
      <c r="L21" s="6">
        <f t="shared" si="2"/>
        <v>13.690996923077009</v>
      </c>
      <c r="M21" s="2"/>
      <c r="N21" s="7">
        <f t="shared" si="3"/>
        <v>0.11820007562341449</v>
      </c>
      <c r="O21" s="11"/>
      <c r="P21" s="6">
        <v>807.96</v>
      </c>
      <c r="Q21" s="2"/>
      <c r="R21" s="7">
        <f t="shared" si="4"/>
        <v>0</v>
      </c>
      <c r="S21" s="2"/>
      <c r="T21" s="6">
        <v>1007.9964569230771</v>
      </c>
      <c r="U21" s="2"/>
      <c r="V21" s="7">
        <f t="shared" si="5"/>
        <v>0</v>
      </c>
      <c r="W21" s="2"/>
      <c r="X21" s="6">
        <f t="shared" si="6"/>
        <v>-200.03645692307703</v>
      </c>
      <c r="Y21" s="2"/>
      <c r="Z21" s="7">
        <f t="shared" si="7"/>
        <v>-0.19844956353685114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6300.68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235.68000000000029</v>
      </c>
      <c r="M22" s="2"/>
      <c r="N22" s="7">
        <f t="shared" si="3"/>
        <v>3.8859027205276224E-2</v>
      </c>
      <c r="O22" s="11"/>
      <c r="P22" s="6">
        <v>48212.369999999995</v>
      </c>
      <c r="Q22" s="2"/>
      <c r="R22" s="7">
        <f t="shared" si="4"/>
        <v>0</v>
      </c>
      <c r="S22" s="2"/>
      <c r="T22" s="6">
        <v>48520</v>
      </c>
      <c r="U22" s="2"/>
      <c r="V22" s="7">
        <f t="shared" si="5"/>
        <v>0</v>
      </c>
      <c r="W22" s="2"/>
      <c r="X22" s="6">
        <f t="shared" si="6"/>
        <v>-307.63000000000466</v>
      </c>
      <c r="Y22" s="2"/>
      <c r="Z22" s="7">
        <f t="shared" si="7"/>
        <v>-6.3402720527618436E-3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99.05</v>
      </c>
      <c r="E23" s="2"/>
      <c r="F23" s="7">
        <f t="shared" si="0"/>
        <v>0</v>
      </c>
      <c r="G23" s="2"/>
      <c r="H23" s="6">
        <v>88.575119999999998</v>
      </c>
      <c r="I23" s="2"/>
      <c r="J23" s="7">
        <f t="shared" si="1"/>
        <v>0</v>
      </c>
      <c r="K23" s="2"/>
      <c r="L23" s="6">
        <f t="shared" si="2"/>
        <v>10.474879999999999</v>
      </c>
      <c r="M23" s="2"/>
      <c r="N23" s="7">
        <f t="shared" si="3"/>
        <v>0.11825984542837761</v>
      </c>
      <c r="O23" s="11"/>
      <c r="P23" s="6">
        <v>758.61</v>
      </c>
      <c r="Q23" s="2"/>
      <c r="R23" s="7">
        <f t="shared" si="4"/>
        <v>0</v>
      </c>
      <c r="S23" s="2"/>
      <c r="T23" s="6">
        <v>770.82082000000003</v>
      </c>
      <c r="U23" s="2"/>
      <c r="V23" s="7">
        <f t="shared" si="5"/>
        <v>0</v>
      </c>
      <c r="W23" s="2"/>
      <c r="X23" s="6">
        <f t="shared" si="6"/>
        <v>-12.210820000000012</v>
      </c>
      <c r="Y23" s="2"/>
      <c r="Z23" s="7">
        <f t="shared" si="7"/>
        <v>-1.5841320944081416E-2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2556.79</v>
      </c>
      <c r="E24" s="2"/>
      <c r="F24" s="7">
        <f t="shared" si="0"/>
        <v>0</v>
      </c>
      <c r="G24" s="2"/>
      <c r="H24" s="6">
        <v>2159.9892307692298</v>
      </c>
      <c r="I24" s="2"/>
      <c r="J24" s="7">
        <f t="shared" si="1"/>
        <v>0</v>
      </c>
      <c r="K24" s="2"/>
      <c r="L24" s="6">
        <f t="shared" si="2"/>
        <v>396.80076923077013</v>
      </c>
      <c r="M24" s="2"/>
      <c r="N24" s="7">
        <f t="shared" si="3"/>
        <v>0.18370497573705902</v>
      </c>
      <c r="O24" s="11"/>
      <c r="P24" s="6">
        <v>20260.52</v>
      </c>
      <c r="Q24" s="2"/>
      <c r="R24" s="7">
        <f t="shared" si="4"/>
        <v>0</v>
      </c>
      <c r="S24" s="2"/>
      <c r="T24" s="6">
        <v>18899.905769230769</v>
      </c>
      <c r="U24" s="2"/>
      <c r="V24" s="7">
        <f t="shared" si="5"/>
        <v>0</v>
      </c>
      <c r="W24" s="2"/>
      <c r="X24" s="6">
        <f t="shared" si="6"/>
        <v>1360.6142307692317</v>
      </c>
      <c r="Y24" s="2"/>
      <c r="Z24" s="7">
        <f t="shared" si="7"/>
        <v>7.1990529867314204E-2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1960.99</v>
      </c>
      <c r="E26" s="2"/>
      <c r="F26" s="7">
        <f t="shared" si="0"/>
        <v>0</v>
      </c>
      <c r="G26" s="2"/>
      <c r="H26" s="6">
        <v>1255.8076923076899</v>
      </c>
      <c r="I26" s="2"/>
      <c r="J26" s="7">
        <f t="shared" si="1"/>
        <v>0</v>
      </c>
      <c r="K26" s="2"/>
      <c r="L26" s="6">
        <f t="shared" si="2"/>
        <v>705.18230769231013</v>
      </c>
      <c r="M26" s="2"/>
      <c r="N26" s="7">
        <f t="shared" si="3"/>
        <v>0.56153685951425991</v>
      </c>
      <c r="O26" s="11"/>
      <c r="P26" s="6">
        <v>16836.11</v>
      </c>
      <c r="Q26" s="2"/>
      <c r="R26" s="7">
        <f t="shared" si="4"/>
        <v>0</v>
      </c>
      <c r="S26" s="2"/>
      <c r="T26" s="6">
        <v>10988.31730769231</v>
      </c>
      <c r="U26" s="2"/>
      <c r="V26" s="7">
        <f t="shared" si="5"/>
        <v>0</v>
      </c>
      <c r="W26" s="2"/>
      <c r="X26" s="6">
        <f t="shared" si="6"/>
        <v>5847.7926923076902</v>
      </c>
      <c r="Y26" s="2"/>
      <c r="Z26" s="7">
        <f t="shared" si="7"/>
        <v>0.53218272903477004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1389.92</v>
      </c>
      <c r="E27" s="2"/>
      <c r="F27" s="7">
        <f t="shared" si="0"/>
        <v>0</v>
      </c>
      <c r="G27" s="2"/>
      <c r="H27" s="6">
        <v>1524.3436923076899</v>
      </c>
      <c r="I27" s="2"/>
      <c r="J27" s="7">
        <f t="shared" si="1"/>
        <v>0</v>
      </c>
      <c r="K27" s="2"/>
      <c r="L27" s="6">
        <f t="shared" si="2"/>
        <v>-134.42369230768986</v>
      </c>
      <c r="M27" s="2"/>
      <c r="N27" s="7">
        <f t="shared" si="3"/>
        <v>-8.8184635122665195E-2</v>
      </c>
      <c r="O27" s="11"/>
      <c r="P27" s="6">
        <v>12814.13</v>
      </c>
      <c r="Q27" s="2"/>
      <c r="R27" s="7">
        <f t="shared" si="4"/>
        <v>0</v>
      </c>
      <c r="S27" s="2"/>
      <c r="T27" s="6">
        <v>13289.41330769231</v>
      </c>
      <c r="U27" s="2"/>
      <c r="V27" s="7">
        <f t="shared" si="5"/>
        <v>0</v>
      </c>
      <c r="W27" s="2"/>
      <c r="X27" s="6">
        <f t="shared" si="6"/>
        <v>-475.2833076923107</v>
      </c>
      <c r="Y27" s="2"/>
      <c r="Z27" s="7">
        <f t="shared" si="7"/>
        <v>-3.576405494268152E-2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1039.1300000000001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289.13000000000011</v>
      </c>
      <c r="M28" s="2"/>
      <c r="N28" s="7">
        <f t="shared" si="3"/>
        <v>0.38550666666666683</v>
      </c>
      <c r="O28" s="11"/>
      <c r="P28" s="6">
        <v>6847.14</v>
      </c>
      <c r="Q28" s="2"/>
      <c r="R28" s="7">
        <f t="shared" si="4"/>
        <v>0</v>
      </c>
      <c r="S28" s="2"/>
      <c r="T28" s="6">
        <v>6000</v>
      </c>
      <c r="U28" s="2"/>
      <c r="V28" s="7">
        <f t="shared" si="5"/>
        <v>0</v>
      </c>
      <c r="W28" s="2"/>
      <c r="X28" s="6">
        <f t="shared" si="6"/>
        <v>847.14000000000033</v>
      </c>
      <c r="Y28" s="2"/>
      <c r="Z28" s="7">
        <f t="shared" si="7"/>
        <v>0.14119000000000007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34826.42</v>
      </c>
      <c r="E29" s="1"/>
      <c r="F29" s="5">
        <f t="shared" ref="F29:F39" si="8">IF(D$12=0,0,D29/D$12)</f>
        <v>0</v>
      </c>
      <c r="G29" s="1"/>
      <c r="H29" s="1">
        <f>SUM(OSRRefH22_1x_0)</f>
        <v>31626.322461538424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3200.097538461574</v>
      </c>
      <c r="M29" s="1"/>
      <c r="N29" s="5">
        <f t="shared" ref="N29:N39" si="11">IF(H29=0,0,L29/H29)</f>
        <v>0.10118462373718266</v>
      </c>
      <c r="O29" s="13"/>
      <c r="P29" s="1">
        <f>SUM(OSRRefP22_1x_0)</f>
        <v>256847.46999999997</v>
      </c>
      <c r="Q29" s="1"/>
      <c r="R29" s="5">
        <f t="shared" ref="R29:R39" si="12">IF(P$12=0,0,P29/P$12)</f>
        <v>0</v>
      </c>
      <c r="S29" s="1"/>
      <c r="T29" s="1">
        <f>SUM(OSRRefT22_1x_0)</f>
        <v>275021.88053846126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-18174.410538461292</v>
      </c>
      <c r="Y29" s="1"/>
      <c r="Z29" s="5">
        <f t="shared" ref="Z29:Z39" si="15">IF(T29=0,0,X29/T29)</f>
        <v>-6.6083507620840504E-2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5419.3846153846198</v>
      </c>
      <c r="I30" s="2"/>
      <c r="J30" s="7">
        <f t="shared" si="9"/>
        <v>0</v>
      </c>
      <c r="K30" s="2"/>
      <c r="L30" s="6">
        <f t="shared" si="10"/>
        <v>-5419.3846153846198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47419.615384615412</v>
      </c>
      <c r="U30" s="2"/>
      <c r="V30" s="7">
        <f t="shared" si="13"/>
        <v>0</v>
      </c>
      <c r="W30" s="2"/>
      <c r="X30" s="6">
        <f t="shared" si="14"/>
        <v>-47419.615384615412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27879.09</v>
      </c>
      <c r="E31" s="2"/>
      <c r="F31" s="7">
        <f t="shared" si="8"/>
        <v>0</v>
      </c>
      <c r="G31" s="2"/>
      <c r="H31" s="6">
        <v>17185.1538461538</v>
      </c>
      <c r="I31" s="2"/>
      <c r="J31" s="7">
        <f t="shared" si="9"/>
        <v>0</v>
      </c>
      <c r="K31" s="2"/>
      <c r="L31" s="6">
        <f t="shared" si="10"/>
        <v>10693.9361538462</v>
      </c>
      <c r="M31" s="2"/>
      <c r="N31" s="7">
        <f t="shared" si="11"/>
        <v>0.62227759201815958</v>
      </c>
      <c r="O31" s="11"/>
      <c r="P31" s="6">
        <v>206551.27</v>
      </c>
      <c r="Q31" s="2"/>
      <c r="R31" s="7">
        <f t="shared" si="12"/>
        <v>0</v>
      </c>
      <c r="S31" s="2"/>
      <c r="T31" s="6">
        <v>150370.09615384589</v>
      </c>
      <c r="U31" s="2"/>
      <c r="V31" s="7">
        <f t="shared" si="13"/>
        <v>0</v>
      </c>
      <c r="W31" s="2"/>
      <c r="X31" s="6">
        <f t="shared" si="14"/>
        <v>56181.173846154095</v>
      </c>
      <c r="Y31" s="2"/>
      <c r="Z31" s="7">
        <f t="shared" si="15"/>
        <v>0.3736193251394499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2496.7199999999998</v>
      </c>
      <c r="I33" s="2"/>
      <c r="J33" s="7">
        <f t="shared" si="9"/>
        <v>0</v>
      </c>
      <c r="K33" s="2"/>
      <c r="L33" s="6">
        <f t="shared" si="10"/>
        <v>-2496.7199999999998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21846.3</v>
      </c>
      <c r="U33" s="2"/>
      <c r="V33" s="7">
        <f t="shared" si="13"/>
        <v>0</v>
      </c>
      <c r="W33" s="2"/>
      <c r="X33" s="6">
        <f t="shared" si="14"/>
        <v>-21846.3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2256.75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2256.75</v>
      </c>
      <c r="M34" s="2"/>
      <c r="N34" s="7">
        <f t="shared" si="11"/>
        <v>0</v>
      </c>
      <c r="O34" s="11"/>
      <c r="P34" s="6">
        <v>17784.52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17784.52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3761.34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3761.34</v>
      </c>
      <c r="M36" s="2"/>
      <c r="N36" s="7">
        <f t="shared" si="11"/>
        <v>0</v>
      </c>
      <c r="O36" s="11"/>
      <c r="P36" s="6">
        <v>28328.94</v>
      </c>
      <c r="Q36" s="2"/>
      <c r="R36" s="7">
        <f t="shared" si="12"/>
        <v>0</v>
      </c>
      <c r="S36" s="2"/>
      <c r="T36" s="6">
        <v>10902.5</v>
      </c>
      <c r="U36" s="2"/>
      <c r="V36" s="7">
        <f t="shared" si="13"/>
        <v>0</v>
      </c>
      <c r="W36" s="2"/>
      <c r="X36" s="6">
        <f t="shared" si="14"/>
        <v>17426.439999999999</v>
      </c>
      <c r="Y36" s="2"/>
      <c r="Z36" s="7">
        <f t="shared" si="15"/>
        <v>1.5983893602384773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929.24</v>
      </c>
      <c r="E37" s="2"/>
      <c r="F37" s="7">
        <f t="shared" si="8"/>
        <v>0</v>
      </c>
      <c r="G37" s="2"/>
      <c r="H37" s="6">
        <v>6525.0640000000003</v>
      </c>
      <c r="I37" s="2"/>
      <c r="J37" s="7">
        <f t="shared" si="9"/>
        <v>0</v>
      </c>
      <c r="K37" s="2"/>
      <c r="L37" s="6">
        <f t="shared" si="10"/>
        <v>-5595.8240000000005</v>
      </c>
      <c r="M37" s="2"/>
      <c r="N37" s="7">
        <f t="shared" si="11"/>
        <v>-0.85758913629046396</v>
      </c>
      <c r="O37" s="11"/>
      <c r="P37" s="6">
        <v>4182.74</v>
      </c>
      <c r="Q37" s="2"/>
      <c r="R37" s="7">
        <f t="shared" si="12"/>
        <v>0</v>
      </c>
      <c r="S37" s="2"/>
      <c r="T37" s="6">
        <v>44483.369000000006</v>
      </c>
      <c r="U37" s="2"/>
      <c r="V37" s="7">
        <f t="shared" si="13"/>
        <v>0</v>
      </c>
      <c r="W37" s="2"/>
      <c r="X37" s="6">
        <f t="shared" si="14"/>
        <v>-40300.629000000008</v>
      </c>
      <c r="Y37" s="2"/>
      <c r="Z37" s="7">
        <f t="shared" si="15"/>
        <v>-0.90597070109505429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0</v>
      </c>
      <c r="M40" s="1"/>
      <c r="N40" s="5">
        <f t="shared" ref="N40:N57" si="19">IF(H40=0,0,L40/H40)</f>
        <v>0</v>
      </c>
      <c r="O40" s="13"/>
      <c r="P40" s="1">
        <f>SUM(OSRRefP22_2x_0)</f>
        <v>18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-7</v>
      </c>
      <c r="Y40" s="1"/>
      <c r="Z40" s="5">
        <f t="shared" ref="Z40:Z57" si="23">IF(T40=0,0,X40/T40)</f>
        <v>-0.28000000000000003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18</v>
      </c>
      <c r="Q41" s="2"/>
      <c r="R41" s="7">
        <f t="shared" si="20"/>
        <v>0</v>
      </c>
      <c r="S41" s="2"/>
      <c r="T41" s="6">
        <v>25</v>
      </c>
      <c r="U41" s="2"/>
      <c r="V41" s="7">
        <f t="shared" si="21"/>
        <v>0</v>
      </c>
      <c r="W41" s="2"/>
      <c r="X41" s="6">
        <f t="shared" si="22"/>
        <v>-7</v>
      </c>
      <c r="Y41" s="2"/>
      <c r="Z41" s="7">
        <f t="shared" si="23"/>
        <v>-0.28000000000000003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12471.04</v>
      </c>
      <c r="Q42" s="1"/>
      <c r="R42" s="5">
        <f t="shared" si="20"/>
        <v>0</v>
      </c>
      <c r="S42" s="1"/>
      <c r="T42" s="1">
        <f>SUM(OSRRefT22_3x_0)</f>
        <v>12472</v>
      </c>
      <c r="U42" s="1"/>
      <c r="V42" s="5">
        <f t="shared" si="21"/>
        <v>0</v>
      </c>
      <c r="W42" s="1"/>
      <c r="X42" s="1">
        <f t="shared" si="22"/>
        <v>-0.95999999999912689</v>
      </c>
      <c r="Y42" s="1"/>
      <c r="Z42" s="5">
        <f t="shared" si="23"/>
        <v>-7.6972418216735637E-5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1558.88</v>
      </c>
      <c r="E43" s="2"/>
      <c r="F43" s="7">
        <f t="shared" si="16"/>
        <v>0</v>
      </c>
      <c r="G43" s="2"/>
      <c r="H43" s="6">
        <v>1559</v>
      </c>
      <c r="I43" s="2"/>
      <c r="J43" s="7">
        <f t="shared" si="17"/>
        <v>0</v>
      </c>
      <c r="K43" s="2"/>
      <c r="L43" s="6">
        <f t="shared" si="18"/>
        <v>-0.11999999999989086</v>
      </c>
      <c r="M43" s="2"/>
      <c r="N43" s="7">
        <f t="shared" si="19"/>
        <v>-7.6972418216735637E-5</v>
      </c>
      <c r="O43" s="11"/>
      <c r="P43" s="6">
        <v>12471.04</v>
      </c>
      <c r="Q43" s="2"/>
      <c r="R43" s="7">
        <f t="shared" si="20"/>
        <v>0</v>
      </c>
      <c r="S43" s="2"/>
      <c r="T43" s="6">
        <v>12472</v>
      </c>
      <c r="U43" s="2"/>
      <c r="V43" s="7">
        <f t="shared" si="21"/>
        <v>0</v>
      </c>
      <c r="W43" s="2"/>
      <c r="X43" s="6">
        <f t="shared" si="22"/>
        <v>-0.95999999999912689</v>
      </c>
      <c r="Y43" s="2"/>
      <c r="Z43" s="7">
        <f t="shared" si="23"/>
        <v>-7.6972418216735637E-5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200</v>
      </c>
      <c r="U44" s="1"/>
      <c r="V44" s="5">
        <f t="shared" si="21"/>
        <v>0</v>
      </c>
      <c r="W44" s="1"/>
      <c r="X44" s="1">
        <f t="shared" si="22"/>
        <v>-200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25</v>
      </c>
      <c r="I45" s="2"/>
      <c r="J45" s="7">
        <f t="shared" si="17"/>
        <v>0</v>
      </c>
      <c r="K45" s="2"/>
      <c r="L45" s="6">
        <f t="shared" si="18"/>
        <v>-25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200</v>
      </c>
      <c r="U45" s="2"/>
      <c r="V45" s="7">
        <f t="shared" si="21"/>
        <v>0</v>
      </c>
      <c r="W45" s="2"/>
      <c r="X45" s="6">
        <f t="shared" si="22"/>
        <v>-200</v>
      </c>
      <c r="Y45" s="2"/>
      <c r="Z45" s="7">
        <f t="shared" si="23"/>
        <v>-1</v>
      </c>
    </row>
    <row r="46" spans="1:26" s="27" customFormat="1" outlineLevel="1" collapsed="1" x14ac:dyDescent="0.25">
      <c r="A46" s="26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3"/>
      <c r="P46" s="1">
        <f>SUM(OSRRefP22_5x_0)</f>
        <v>730.08</v>
      </c>
      <c r="Q46" s="1"/>
      <c r="R46" s="5">
        <f t="shared" si="20"/>
        <v>0</v>
      </c>
      <c r="S46" s="1"/>
      <c r="T46" s="1">
        <f>SUM(OSRRefT22_5x_0)</f>
        <v>728</v>
      </c>
      <c r="U46" s="1"/>
      <c r="V46" s="5">
        <f t="shared" si="21"/>
        <v>0</v>
      </c>
      <c r="W46" s="1"/>
      <c r="X46" s="1">
        <f t="shared" si="22"/>
        <v>2.0800000000000409</v>
      </c>
      <c r="Y46" s="1"/>
      <c r="Z46" s="5">
        <f t="shared" si="23"/>
        <v>2.8571428571429135E-3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6">
        <v>91.26</v>
      </c>
      <c r="E47" s="2"/>
      <c r="F47" s="7">
        <f t="shared" si="16"/>
        <v>0</v>
      </c>
      <c r="G47" s="2"/>
      <c r="H47" s="6">
        <v>91</v>
      </c>
      <c r="I47" s="2"/>
      <c r="J47" s="7">
        <f t="shared" si="17"/>
        <v>0</v>
      </c>
      <c r="K47" s="2"/>
      <c r="L47" s="6">
        <f t="shared" si="18"/>
        <v>0.26000000000000512</v>
      </c>
      <c r="M47" s="2"/>
      <c r="N47" s="7">
        <f t="shared" si="19"/>
        <v>2.8571428571429135E-3</v>
      </c>
      <c r="O47" s="11"/>
      <c r="P47" s="6">
        <v>730.08</v>
      </c>
      <c r="Q47" s="2"/>
      <c r="R47" s="7">
        <f t="shared" si="20"/>
        <v>0</v>
      </c>
      <c r="S47" s="2"/>
      <c r="T47" s="6">
        <v>728</v>
      </c>
      <c r="U47" s="2"/>
      <c r="V47" s="7">
        <f t="shared" si="21"/>
        <v>0</v>
      </c>
      <c r="W47" s="2"/>
      <c r="X47" s="6">
        <f t="shared" si="22"/>
        <v>2.0800000000000409</v>
      </c>
      <c r="Y47" s="2"/>
      <c r="Z47" s="7">
        <f t="shared" si="23"/>
        <v>2.8571428571429135E-3</v>
      </c>
    </row>
    <row r="48" spans="1:26" s="27" customFormat="1" outlineLevel="1" collapsed="1" x14ac:dyDescent="0.25">
      <c r="A48" s="26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172.4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22.400000000000006</v>
      </c>
      <c r="M48" s="1"/>
      <c r="N48" s="5">
        <f t="shared" si="19"/>
        <v>0.14933333333333337</v>
      </c>
      <c r="O48" s="13"/>
      <c r="P48" s="1">
        <f>SUM(OSRRefP22_6x_0)</f>
        <v>1039.5999999999999</v>
      </c>
      <c r="Q48" s="1"/>
      <c r="R48" s="5">
        <f t="shared" si="20"/>
        <v>0</v>
      </c>
      <c r="S48" s="1"/>
      <c r="T48" s="1">
        <f>SUM(OSRRefT22_6x_0)</f>
        <v>1200</v>
      </c>
      <c r="U48" s="1"/>
      <c r="V48" s="5">
        <f t="shared" si="21"/>
        <v>0</v>
      </c>
      <c r="W48" s="1"/>
      <c r="X48" s="1">
        <f t="shared" si="22"/>
        <v>-160.40000000000009</v>
      </c>
      <c r="Y48" s="1"/>
      <c r="Z48" s="5">
        <f t="shared" si="23"/>
        <v>-0.13366666666666674</v>
      </c>
    </row>
    <row r="49" spans="1:26" s="24" customFormat="1" hidden="1" outlineLevel="2" x14ac:dyDescent="0.25">
      <c r="A49" s="25"/>
      <c r="B49" s="11" t="str">
        <f>CONCATENATE("          ", "6307", " - ", "POSTAGE")</f>
        <v xml:space="preserve">          6307 - POSTAGE</v>
      </c>
      <c r="C49" s="11"/>
      <c r="D49" s="6">
        <v>172.4</v>
      </c>
      <c r="E49" s="2"/>
      <c r="F49" s="7">
        <f t="shared" si="16"/>
        <v>0</v>
      </c>
      <c r="G49" s="2"/>
      <c r="H49" s="6">
        <v>150</v>
      </c>
      <c r="I49" s="2"/>
      <c r="J49" s="7">
        <f t="shared" si="17"/>
        <v>0</v>
      </c>
      <c r="K49" s="2"/>
      <c r="L49" s="6">
        <f t="shared" si="18"/>
        <v>22.400000000000006</v>
      </c>
      <c r="M49" s="2"/>
      <c r="N49" s="7">
        <f t="shared" si="19"/>
        <v>0.14933333333333337</v>
      </c>
      <c r="O49" s="11"/>
      <c r="P49" s="6">
        <v>1039.5999999999999</v>
      </c>
      <c r="Q49" s="2"/>
      <c r="R49" s="7">
        <f t="shared" si="20"/>
        <v>0</v>
      </c>
      <c r="S49" s="2"/>
      <c r="T49" s="6">
        <v>1200</v>
      </c>
      <c r="U49" s="2"/>
      <c r="V49" s="7">
        <f t="shared" si="21"/>
        <v>0</v>
      </c>
      <c r="W49" s="2"/>
      <c r="X49" s="6">
        <f t="shared" si="22"/>
        <v>-160.40000000000009</v>
      </c>
      <c r="Y49" s="2"/>
      <c r="Z49" s="7">
        <f t="shared" si="23"/>
        <v>-0.13366666666666674</v>
      </c>
    </row>
    <row r="50" spans="1:26" s="27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200</v>
      </c>
      <c r="U50" s="1"/>
      <c r="V50" s="5">
        <f t="shared" si="21"/>
        <v>0</v>
      </c>
      <c r="W50" s="1"/>
      <c r="X50" s="1">
        <f t="shared" si="22"/>
        <v>-200</v>
      </c>
      <c r="Y50" s="1"/>
      <c r="Z50" s="5">
        <f t="shared" si="23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16"/>
        <v>0</v>
      </c>
      <c r="G51" s="2"/>
      <c r="H51" s="6">
        <v>25</v>
      </c>
      <c r="I51" s="2"/>
      <c r="J51" s="7">
        <f t="shared" si="17"/>
        <v>0</v>
      </c>
      <c r="K51" s="2"/>
      <c r="L51" s="6">
        <f t="shared" si="18"/>
        <v>-25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200</v>
      </c>
      <c r="U51" s="2"/>
      <c r="V51" s="7">
        <f t="shared" si="21"/>
        <v>0</v>
      </c>
      <c r="W51" s="2"/>
      <c r="X51" s="6">
        <f t="shared" si="22"/>
        <v>-200</v>
      </c>
      <c r="Y51" s="2"/>
      <c r="Z51" s="7">
        <f t="shared" si="23"/>
        <v>-1</v>
      </c>
    </row>
    <row r="52" spans="1:26" s="27" customFormat="1" outlineLevel="1" collapsed="1" x14ac:dyDescent="0.25">
      <c r="A52" s="26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1057.3599999999999</v>
      </c>
      <c r="Q52" s="1"/>
      <c r="R52" s="5">
        <f t="shared" si="20"/>
        <v>0</v>
      </c>
      <c r="S52" s="1"/>
      <c r="T52" s="1">
        <f>SUM(OSRRefT22_8x_0)</f>
        <v>1000</v>
      </c>
      <c r="U52" s="1"/>
      <c r="V52" s="5">
        <f t="shared" si="21"/>
        <v>0</v>
      </c>
      <c r="W52" s="1"/>
      <c r="X52" s="1">
        <f t="shared" si="22"/>
        <v>57.3599999999999</v>
      </c>
      <c r="Y52" s="1"/>
      <c r="Z52" s="5">
        <f t="shared" si="23"/>
        <v>5.7359999999999897E-2</v>
      </c>
    </row>
    <row r="53" spans="1:26" s="24" customFormat="1" hidden="1" outlineLevel="2" x14ac:dyDescent="0.25">
      <c r="A53" s="25"/>
      <c r="B53" s="11" t="str">
        <f>CONCATENATE("          ", "6314", " - ", "LIABILITY INSURANCE")</f>
        <v xml:space="preserve">          6314 - LIABILITY INSURANCE</v>
      </c>
      <c r="C53" s="11"/>
      <c r="D53" s="6">
        <v>132.16999999999999</v>
      </c>
      <c r="E53" s="2"/>
      <c r="F53" s="7">
        <f t="shared" si="16"/>
        <v>0</v>
      </c>
      <c r="G53" s="2"/>
      <c r="H53" s="6">
        <v>125</v>
      </c>
      <c r="I53" s="2"/>
      <c r="J53" s="7">
        <f t="shared" si="17"/>
        <v>0</v>
      </c>
      <c r="K53" s="2"/>
      <c r="L53" s="6">
        <f t="shared" si="18"/>
        <v>7.1699999999999875</v>
      </c>
      <c r="M53" s="2"/>
      <c r="N53" s="7">
        <f t="shared" si="19"/>
        <v>5.7359999999999897E-2</v>
      </c>
      <c r="O53" s="11"/>
      <c r="P53" s="6">
        <v>1057.3599999999999</v>
      </c>
      <c r="Q53" s="2"/>
      <c r="R53" s="7">
        <f t="shared" si="20"/>
        <v>0</v>
      </c>
      <c r="S53" s="2"/>
      <c r="T53" s="6">
        <v>1000</v>
      </c>
      <c r="U53" s="2"/>
      <c r="V53" s="7">
        <f t="shared" si="21"/>
        <v>0</v>
      </c>
      <c r="W53" s="2"/>
      <c r="X53" s="6">
        <f t="shared" si="22"/>
        <v>57.3599999999999</v>
      </c>
      <c r="Y53" s="2"/>
      <c r="Z53" s="7">
        <f t="shared" si="23"/>
        <v>5.7359999999999897E-2</v>
      </c>
    </row>
    <row r="54" spans="1:26" s="27" customFormat="1" outlineLevel="1" collapsed="1" x14ac:dyDescent="0.25">
      <c r="A54" s="26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5"/>
      <c r="B55" s="11" t="str">
        <f>CONCATENATE("          ", "6401", " - ", "INTEREST EXPENSE")</f>
        <v xml:space="preserve">          6401 - INTEREST EXPENSE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4" customFormat="1" hidden="1" outlineLevel="2" x14ac:dyDescent="0.25">
      <c r="A56" s="25"/>
      <c r="B56" s="11" t="str">
        <f>CONCATENATE("          ", "6402", " - ", "INTEREST EXPENSE BOND ISSUANCE")</f>
        <v xml:space="preserve">          6402 - INTEREST EXPENSE BOND ISSUANCE</v>
      </c>
      <c r="C56" s="11"/>
      <c r="D56" s="6"/>
      <c r="E56" s="2"/>
      <c r="F56" s="7">
        <f t="shared" si="16"/>
        <v>0</v>
      </c>
      <c r="G56" s="2"/>
      <c r="H56" s="6">
        <v>0</v>
      </c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/>
      <c r="Q56" s="2"/>
      <c r="R56" s="7">
        <f t="shared" si="20"/>
        <v>0</v>
      </c>
      <c r="S56" s="2"/>
      <c r="T56" s="6">
        <v>0</v>
      </c>
      <c r="U56" s="2"/>
      <c r="V56" s="7">
        <f t="shared" si="21"/>
        <v>0</v>
      </c>
      <c r="W56" s="2"/>
      <c r="X56" s="6">
        <f t="shared" si="22"/>
        <v>0</v>
      </c>
      <c r="Y56" s="2"/>
      <c r="Z56" s="7">
        <f t="shared" si="23"/>
        <v>0</v>
      </c>
    </row>
    <row r="57" spans="1:26" s="24" customFormat="1" hidden="1" outlineLevel="2" x14ac:dyDescent="0.25">
      <c r="A57" s="25"/>
      <c r="B57" s="11" t="str">
        <f>CONCATENATE("          ", "6403", " - ", "INTEREST EXPENSE LEASE EQUIP")</f>
        <v xml:space="preserve">          6403 - INTEREST EXPENSE LEASE EQUIP</v>
      </c>
      <c r="C57" s="11"/>
      <c r="D57" s="6"/>
      <c r="E57" s="2"/>
      <c r="F57" s="7">
        <f t="shared" si="16"/>
        <v>0</v>
      </c>
      <c r="G57" s="2"/>
      <c r="H57" s="6">
        <v>0</v>
      </c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/>
      <c r="Q57" s="2"/>
      <c r="R57" s="7">
        <f t="shared" si="20"/>
        <v>0</v>
      </c>
      <c r="S57" s="2"/>
      <c r="T57" s="6">
        <v>0</v>
      </c>
      <c r="U57" s="2"/>
      <c r="V57" s="7">
        <f t="shared" si="21"/>
        <v>0</v>
      </c>
      <c r="W57" s="2"/>
      <c r="X57" s="6">
        <f t="shared" si="22"/>
        <v>0</v>
      </c>
      <c r="Y57" s="2"/>
      <c r="Z57" s="7">
        <f t="shared" si="23"/>
        <v>0</v>
      </c>
    </row>
    <row r="58" spans="1:26" s="27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3" si="24">IF(D$12=0,0,D58/D$12)</f>
        <v>0</v>
      </c>
      <c r="G58" s="1"/>
      <c r="H58" s="1">
        <f>SUM(OSRRefH22_10x_0)</f>
        <v>100</v>
      </c>
      <c r="I58" s="1"/>
      <c r="J58" s="5">
        <f t="shared" ref="J58:J63" si="25">IF(H$12=0,0,H58/H$12)</f>
        <v>0</v>
      </c>
      <c r="K58" s="1"/>
      <c r="L58" s="1">
        <f t="shared" ref="L58:L63" si="26">+D58-H58</f>
        <v>-100</v>
      </c>
      <c r="M58" s="1"/>
      <c r="N58" s="5">
        <f t="shared" ref="N58:N63" si="27">IF(H58=0,0,L58/H58)</f>
        <v>-1</v>
      </c>
      <c r="O58" s="13"/>
      <c r="P58" s="1">
        <f>SUM(OSRRefP22_10x_0)</f>
        <v>82.5</v>
      </c>
      <c r="Q58" s="1"/>
      <c r="R58" s="5">
        <f t="shared" ref="R58:R63" si="28">IF(P$12=0,0,P58/P$12)</f>
        <v>0</v>
      </c>
      <c r="S58" s="1"/>
      <c r="T58" s="1">
        <f>SUM(OSRRefT22_10x_0)</f>
        <v>800</v>
      </c>
      <c r="U58" s="1"/>
      <c r="V58" s="5">
        <f t="shared" ref="V58:V63" si="29">IF(T$12=0,0,T58/T$12)</f>
        <v>0</v>
      </c>
      <c r="W58" s="1"/>
      <c r="X58" s="1">
        <f t="shared" ref="X58:X63" si="30">+P58-T58</f>
        <v>-717.5</v>
      </c>
      <c r="Y58" s="1"/>
      <c r="Z58" s="5">
        <f t="shared" ref="Z58:Z63" si="31">IF(T58=0,0,X58/T58)</f>
        <v>-0.89687499999999998</v>
      </c>
    </row>
    <row r="59" spans="1:26" s="24" customFormat="1" hidden="1" outlineLevel="2" x14ac:dyDescent="0.25">
      <c r="A59" s="25"/>
      <c r="B59" s="11" t="str">
        <f>CONCATENATE("          ", "6332", " - ", "CONSULTANT FEES")</f>
        <v xml:space="preserve">          6332 - CONSULTANT FEES</v>
      </c>
      <c r="C59" s="11"/>
      <c r="D59" s="6"/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-100</v>
      </c>
      <c r="M59" s="2"/>
      <c r="N59" s="7">
        <f t="shared" si="27"/>
        <v>-1</v>
      </c>
      <c r="O59" s="11"/>
      <c r="P59" s="6">
        <v>82.5</v>
      </c>
      <c r="Q59" s="2"/>
      <c r="R59" s="7">
        <f t="shared" si="28"/>
        <v>0</v>
      </c>
      <c r="S59" s="2"/>
      <c r="T59" s="6">
        <v>800</v>
      </c>
      <c r="U59" s="2"/>
      <c r="V59" s="7">
        <f t="shared" si="29"/>
        <v>0</v>
      </c>
      <c r="W59" s="2"/>
      <c r="X59" s="6">
        <f t="shared" si="30"/>
        <v>-717.5</v>
      </c>
      <c r="Y59" s="2"/>
      <c r="Z59" s="7">
        <f t="shared" si="31"/>
        <v>-0.89687499999999998</v>
      </c>
    </row>
    <row r="60" spans="1:26" s="27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11305.660000000002</v>
      </c>
      <c r="E60" s="1"/>
      <c r="F60" s="5">
        <f t="shared" si="24"/>
        <v>0</v>
      </c>
      <c r="G60" s="1"/>
      <c r="H60" s="1">
        <f>SUM(OSRRefH22_11x_0)</f>
        <v>15020</v>
      </c>
      <c r="I60" s="1"/>
      <c r="J60" s="5">
        <f t="shared" si="25"/>
        <v>0</v>
      </c>
      <c r="K60" s="1"/>
      <c r="L60" s="1">
        <f t="shared" si="26"/>
        <v>-3714.3399999999983</v>
      </c>
      <c r="M60" s="1"/>
      <c r="N60" s="5">
        <f t="shared" si="27"/>
        <v>-0.2472929427430092</v>
      </c>
      <c r="O60" s="13"/>
      <c r="P60" s="1">
        <f>SUM(OSRRefP22_11x_0)</f>
        <v>16706.740000000002</v>
      </c>
      <c r="Q60" s="1"/>
      <c r="R60" s="5">
        <f t="shared" si="28"/>
        <v>0</v>
      </c>
      <c r="S60" s="1"/>
      <c r="T60" s="1">
        <f>SUM(OSRRefT22_11x_0)</f>
        <v>19640</v>
      </c>
      <c r="U60" s="1"/>
      <c r="V60" s="5">
        <f t="shared" si="29"/>
        <v>0</v>
      </c>
      <c r="W60" s="1"/>
      <c r="X60" s="1">
        <f t="shared" si="30"/>
        <v>-2933.2599999999984</v>
      </c>
      <c r="Y60" s="1"/>
      <c r="Z60" s="5">
        <f t="shared" si="31"/>
        <v>-0.1493513238289205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6">
        <v>11265.87</v>
      </c>
      <c r="E61" s="2"/>
      <c r="F61" s="7">
        <f t="shared" si="24"/>
        <v>0</v>
      </c>
      <c r="G61" s="2"/>
      <c r="H61" s="6">
        <v>15000</v>
      </c>
      <c r="I61" s="2"/>
      <c r="J61" s="7">
        <f t="shared" si="25"/>
        <v>0</v>
      </c>
      <c r="K61" s="2"/>
      <c r="L61" s="6">
        <f t="shared" si="26"/>
        <v>-3734.1299999999992</v>
      </c>
      <c r="M61" s="2"/>
      <c r="N61" s="7">
        <f t="shared" si="27"/>
        <v>-0.24894199999999994</v>
      </c>
      <c r="O61" s="11"/>
      <c r="P61" s="6">
        <v>11640.87</v>
      </c>
      <c r="Q61" s="2"/>
      <c r="R61" s="7">
        <f t="shared" si="28"/>
        <v>0</v>
      </c>
      <c r="S61" s="2"/>
      <c r="T61" s="6">
        <v>15000</v>
      </c>
      <c r="U61" s="2"/>
      <c r="V61" s="7">
        <f t="shared" si="29"/>
        <v>0</v>
      </c>
      <c r="W61" s="2"/>
      <c r="X61" s="6">
        <f t="shared" si="30"/>
        <v>-3359.1299999999992</v>
      </c>
      <c r="Y61" s="2"/>
      <c r="Z61" s="7">
        <f t="shared" si="31"/>
        <v>-0.22394199999999995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>
        <v>39.79</v>
      </c>
      <c r="E62" s="2"/>
      <c r="F62" s="7">
        <f t="shared" si="24"/>
        <v>0</v>
      </c>
      <c r="G62" s="2"/>
      <c r="H62" s="6">
        <v>20</v>
      </c>
      <c r="I62" s="2"/>
      <c r="J62" s="7">
        <f t="shared" si="25"/>
        <v>0</v>
      </c>
      <c r="K62" s="2"/>
      <c r="L62" s="6">
        <f t="shared" si="26"/>
        <v>19.79</v>
      </c>
      <c r="M62" s="2"/>
      <c r="N62" s="7">
        <f t="shared" si="27"/>
        <v>0.98949999999999994</v>
      </c>
      <c r="O62" s="11"/>
      <c r="P62" s="6">
        <v>4601.29</v>
      </c>
      <c r="Q62" s="2"/>
      <c r="R62" s="7">
        <f t="shared" si="28"/>
        <v>0</v>
      </c>
      <c r="S62" s="2"/>
      <c r="T62" s="6">
        <v>4640</v>
      </c>
      <c r="U62" s="2"/>
      <c r="V62" s="7">
        <f t="shared" si="29"/>
        <v>0</v>
      </c>
      <c r="W62" s="2"/>
      <c r="X62" s="6">
        <f t="shared" si="30"/>
        <v>-38.710000000000036</v>
      </c>
      <c r="Y62" s="2"/>
      <c r="Z62" s="7">
        <f t="shared" si="31"/>
        <v>-8.3426724137931115E-3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>
        <v>464.58</v>
      </c>
      <c r="Q63" s="2"/>
      <c r="R63" s="7">
        <f t="shared" si="28"/>
        <v>0</v>
      </c>
      <c r="S63" s="2"/>
      <c r="T63" s="6"/>
      <c r="U63" s="2"/>
      <c r="V63" s="7">
        <f t="shared" si="29"/>
        <v>0</v>
      </c>
      <c r="W63" s="2"/>
      <c r="X63" s="6">
        <f t="shared" si="30"/>
        <v>464.58</v>
      </c>
      <c r="Y63" s="2"/>
      <c r="Z63" s="7">
        <f t="shared" si="31"/>
        <v>0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SUM(OSRRefD22_12x_0)</f>
        <v>730.96</v>
      </c>
      <c r="E64" s="1"/>
      <c r="F64" s="5">
        <f t="shared" ref="F64:F70" si="32">IF(D$12=0,0,D64/D$12)</f>
        <v>0</v>
      </c>
      <c r="G64" s="1"/>
      <c r="H64" s="1">
        <f>SUM(OSRRefH22_12x_0)</f>
        <v>600</v>
      </c>
      <c r="I64" s="1"/>
      <c r="J64" s="5">
        <f t="shared" ref="J64:J70" si="33">IF(H$12=0,0,H64/H$12)</f>
        <v>0</v>
      </c>
      <c r="K64" s="1"/>
      <c r="L64" s="1">
        <f t="shared" ref="L64:L70" si="34">+D64-H64</f>
        <v>130.96000000000004</v>
      </c>
      <c r="M64" s="1"/>
      <c r="N64" s="5">
        <f t="shared" ref="N64:N70" si="35">IF(H64=0,0,L64/H64)</f>
        <v>0.21826666666666672</v>
      </c>
      <c r="O64" s="13"/>
      <c r="P64" s="1">
        <f>SUM(OSRRefP22_12x_0)</f>
        <v>9429.9699999999993</v>
      </c>
      <c r="Q64" s="1"/>
      <c r="R64" s="5">
        <f t="shared" ref="R64:R70" si="36">IF(P$12=0,0,P64/P$12)</f>
        <v>0</v>
      </c>
      <c r="S64" s="1"/>
      <c r="T64" s="1">
        <f>SUM(OSRRefT22_12x_0)</f>
        <v>4800</v>
      </c>
      <c r="U64" s="1"/>
      <c r="V64" s="5">
        <f t="shared" ref="V64:V70" si="37">IF(T$12=0,0,T64/T$12)</f>
        <v>0</v>
      </c>
      <c r="W64" s="1"/>
      <c r="X64" s="1">
        <f t="shared" ref="X64:X70" si="38">+P64-T64</f>
        <v>4629.9699999999993</v>
      </c>
      <c r="Y64" s="1"/>
      <c r="Z64" s="5">
        <f t="shared" ref="Z64:Z70" si="39">IF(T64=0,0,X64/T64)</f>
        <v>0.96457708333333325</v>
      </c>
    </row>
    <row r="65" spans="1:26" s="24" customFormat="1" hidden="1" outlineLevel="2" x14ac:dyDescent="0.25">
      <c r="A65" s="25"/>
      <c r="B65" s="11" t="str">
        <f>CONCATENATE("          ", "6281", " - ", "STORAGE FEE")</f>
        <v xml:space="preserve">          6281 - STORAGE FEE</v>
      </c>
      <c r="C65" s="11"/>
      <c r="D65" s="6">
        <v>730.96</v>
      </c>
      <c r="E65" s="2"/>
      <c r="F65" s="7">
        <f t="shared" si="32"/>
        <v>0</v>
      </c>
      <c r="G65" s="2"/>
      <c r="H65" s="6">
        <v>600</v>
      </c>
      <c r="I65" s="2"/>
      <c r="J65" s="7">
        <f t="shared" si="33"/>
        <v>0</v>
      </c>
      <c r="K65" s="2"/>
      <c r="L65" s="6">
        <f t="shared" si="34"/>
        <v>130.96000000000004</v>
      </c>
      <c r="M65" s="2"/>
      <c r="N65" s="7">
        <f t="shared" si="35"/>
        <v>0.21826666666666672</v>
      </c>
      <c r="O65" s="11"/>
      <c r="P65" s="6">
        <v>9429.9699999999993</v>
      </c>
      <c r="Q65" s="2"/>
      <c r="R65" s="7">
        <f t="shared" si="36"/>
        <v>0</v>
      </c>
      <c r="S65" s="2"/>
      <c r="T65" s="6">
        <v>4800</v>
      </c>
      <c r="U65" s="2"/>
      <c r="V65" s="7">
        <f t="shared" si="37"/>
        <v>0</v>
      </c>
      <c r="W65" s="2"/>
      <c r="X65" s="6">
        <f t="shared" si="38"/>
        <v>4629.9699999999993</v>
      </c>
      <c r="Y65" s="2"/>
      <c r="Z65" s="7">
        <f t="shared" si="39"/>
        <v>0.96457708333333325</v>
      </c>
    </row>
    <row r="66" spans="1:26" s="27" customFormat="1" outlineLevel="1" collapsed="1" x14ac:dyDescent="0.25">
      <c r="A66" s="26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si="32"/>
        <v>0</v>
      </c>
      <c r="G66" s="1"/>
      <c r="H66" s="1">
        <f>SUM(OSRRefH22_13x_0)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3"/>
      <c r="P66" s="1">
        <f>SUM(OSRRefP22_13x_0)</f>
        <v>39</v>
      </c>
      <c r="Q66" s="1"/>
      <c r="R66" s="5">
        <f t="shared" si="36"/>
        <v>0</v>
      </c>
      <c r="S66" s="1"/>
      <c r="T66" s="1">
        <f>SUM(OSRRefT22_13x_0)</f>
        <v>0</v>
      </c>
      <c r="U66" s="1"/>
      <c r="V66" s="5">
        <f t="shared" si="37"/>
        <v>0</v>
      </c>
      <c r="W66" s="1"/>
      <c r="X66" s="1">
        <f t="shared" si="38"/>
        <v>39</v>
      </c>
      <c r="Y66" s="1"/>
      <c r="Z66" s="5">
        <f t="shared" si="39"/>
        <v>0</v>
      </c>
    </row>
    <row r="67" spans="1:26" s="24" customFormat="1" hidden="1" outlineLevel="2" x14ac:dyDescent="0.25">
      <c r="A67" s="25"/>
      <c r="B67" s="11" t="str">
        <f>CONCATENATE("          ", "6258", " - ", "MEMBERSHIP DUES")</f>
        <v xml:space="preserve">          6258 - MEMBERSHIP DUES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39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39</v>
      </c>
      <c r="Y67" s="2"/>
      <c r="Z67" s="7">
        <f t="shared" si="39"/>
        <v>0</v>
      </c>
    </row>
    <row r="68" spans="1:26" s="27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156.65</v>
      </c>
      <c r="E68" s="1"/>
      <c r="F68" s="5">
        <f t="shared" si="32"/>
        <v>0</v>
      </c>
      <c r="G68" s="1"/>
      <c r="H68" s="1">
        <f>SUM(OSRRefH22_14x_0)</f>
        <v>300</v>
      </c>
      <c r="I68" s="1"/>
      <c r="J68" s="5">
        <f t="shared" si="33"/>
        <v>0</v>
      </c>
      <c r="K68" s="1"/>
      <c r="L68" s="1">
        <f t="shared" si="34"/>
        <v>-143.35</v>
      </c>
      <c r="M68" s="1"/>
      <c r="N68" s="5">
        <f t="shared" si="35"/>
        <v>-0.47783333333333333</v>
      </c>
      <c r="O68" s="13"/>
      <c r="P68" s="1">
        <f>SUM(OSRRefP22_14x_0)</f>
        <v>5394.66</v>
      </c>
      <c r="Q68" s="1"/>
      <c r="R68" s="5">
        <f t="shared" si="36"/>
        <v>0</v>
      </c>
      <c r="S68" s="1"/>
      <c r="T68" s="1">
        <f>SUM(OSRRefT22_14x_0)</f>
        <v>2050</v>
      </c>
      <c r="U68" s="1"/>
      <c r="V68" s="5">
        <f t="shared" si="37"/>
        <v>0</v>
      </c>
      <c r="W68" s="1"/>
      <c r="X68" s="1">
        <f t="shared" si="38"/>
        <v>3344.66</v>
      </c>
      <c r="Y68" s="1"/>
      <c r="Z68" s="5">
        <f t="shared" si="39"/>
        <v>1.6315414634146341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156.65</v>
      </c>
      <c r="E69" s="2"/>
      <c r="F69" s="7">
        <f t="shared" si="32"/>
        <v>0</v>
      </c>
      <c r="G69" s="2"/>
      <c r="H69" s="6">
        <v>300</v>
      </c>
      <c r="I69" s="2"/>
      <c r="J69" s="7">
        <f t="shared" si="33"/>
        <v>0</v>
      </c>
      <c r="K69" s="2"/>
      <c r="L69" s="6">
        <f t="shared" si="34"/>
        <v>-143.35</v>
      </c>
      <c r="M69" s="2"/>
      <c r="N69" s="7">
        <f t="shared" si="35"/>
        <v>-0.47783333333333333</v>
      </c>
      <c r="O69" s="11"/>
      <c r="P69" s="6">
        <v>4731.75</v>
      </c>
      <c r="Q69" s="2"/>
      <c r="R69" s="7">
        <f t="shared" si="36"/>
        <v>0</v>
      </c>
      <c r="S69" s="2"/>
      <c r="T69" s="6">
        <v>2050</v>
      </c>
      <c r="U69" s="2"/>
      <c r="V69" s="7">
        <f t="shared" si="37"/>
        <v>0</v>
      </c>
      <c r="W69" s="2"/>
      <c r="X69" s="6">
        <f t="shared" si="38"/>
        <v>2681.75</v>
      </c>
      <c r="Y69" s="2"/>
      <c r="Z69" s="7">
        <f t="shared" si="39"/>
        <v>1.308170731707317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32"/>
        <v>0</v>
      </c>
      <c r="G70" s="2"/>
      <c r="H70" s="6"/>
      <c r="I70" s="2"/>
      <c r="J70" s="7">
        <f t="shared" si="33"/>
        <v>0</v>
      </c>
      <c r="K70" s="2"/>
      <c r="L70" s="6">
        <f t="shared" si="34"/>
        <v>0</v>
      </c>
      <c r="M70" s="2"/>
      <c r="N70" s="7">
        <f t="shared" si="35"/>
        <v>0</v>
      </c>
      <c r="O70" s="11"/>
      <c r="P70" s="6">
        <v>662.91</v>
      </c>
      <c r="Q70" s="2"/>
      <c r="R70" s="7">
        <f t="shared" si="36"/>
        <v>0</v>
      </c>
      <c r="S70" s="2"/>
      <c r="T70" s="6"/>
      <c r="U70" s="2"/>
      <c r="V70" s="7">
        <f t="shared" si="37"/>
        <v>0</v>
      </c>
      <c r="W70" s="2"/>
      <c r="X70" s="6">
        <f t="shared" si="38"/>
        <v>662.91</v>
      </c>
      <c r="Y70" s="2"/>
      <c r="Z70" s="7">
        <f t="shared" si="39"/>
        <v>0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SUM(OSRRefD22_15x_0)</f>
        <v>420.25</v>
      </c>
      <c r="E71" s="1"/>
      <c r="F71" s="5">
        <f t="shared" ref="F71:F74" si="40">IF(D$12=0,0,D71/D$12)</f>
        <v>0</v>
      </c>
      <c r="G71" s="1"/>
      <c r="H71" s="1">
        <f>SUM(OSRRefH22_15x_0)</f>
        <v>375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45.25</v>
      </c>
      <c r="M71" s="1"/>
      <c r="N71" s="5">
        <f t="shared" ref="N71:N74" si="43">IF(H71=0,0,L71/H71)</f>
        <v>0.12066666666666667</v>
      </c>
      <c r="O71" s="13"/>
      <c r="P71" s="1">
        <f>SUM(OSRRefP22_15x_0)</f>
        <v>3279.04</v>
      </c>
      <c r="Q71" s="1"/>
      <c r="R71" s="5">
        <f t="shared" ref="R71:R74" si="44">IF(P$12=0,0,P71/P$12)</f>
        <v>0</v>
      </c>
      <c r="S71" s="1"/>
      <c r="T71" s="1">
        <f>SUM(OSRRefT22_15x_0)</f>
        <v>3000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279.03999999999996</v>
      </c>
      <c r="Y71" s="1"/>
      <c r="Z71" s="5">
        <f t="shared" ref="Z71:Z74" si="47">IF(T71=0,0,X71/T71)</f>
        <v>9.3013333333333323E-2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6">
        <v>420.25</v>
      </c>
      <c r="E72" s="2"/>
      <c r="F72" s="7">
        <f t="shared" si="40"/>
        <v>0</v>
      </c>
      <c r="G72" s="2"/>
      <c r="H72" s="6">
        <v>375</v>
      </c>
      <c r="I72" s="2"/>
      <c r="J72" s="7">
        <f t="shared" si="41"/>
        <v>0</v>
      </c>
      <c r="K72" s="2"/>
      <c r="L72" s="6">
        <f t="shared" si="42"/>
        <v>45.25</v>
      </c>
      <c r="M72" s="2"/>
      <c r="N72" s="7">
        <f t="shared" si="43"/>
        <v>0.12066666666666667</v>
      </c>
      <c r="O72" s="11"/>
      <c r="P72" s="6">
        <v>3279.04</v>
      </c>
      <c r="Q72" s="2"/>
      <c r="R72" s="7">
        <f t="shared" si="44"/>
        <v>0</v>
      </c>
      <c r="S72" s="2"/>
      <c r="T72" s="6">
        <v>3000</v>
      </c>
      <c r="U72" s="2"/>
      <c r="V72" s="7">
        <f t="shared" si="45"/>
        <v>0</v>
      </c>
      <c r="W72" s="2"/>
      <c r="X72" s="6">
        <f t="shared" si="46"/>
        <v>279.03999999999996</v>
      </c>
      <c r="Y72" s="2"/>
      <c r="Z72" s="7">
        <f t="shared" si="47"/>
        <v>9.3013333333333323E-2</v>
      </c>
    </row>
    <row r="73" spans="1:26" s="27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SUM(OSRRefD22_16x_0)</f>
        <v>61.65</v>
      </c>
      <c r="E73" s="1"/>
      <c r="F73" s="5">
        <f t="shared" si="40"/>
        <v>0</v>
      </c>
      <c r="G73" s="1"/>
      <c r="H73" s="1">
        <f>SUM(OSRRefH22_16x_0)</f>
        <v>583</v>
      </c>
      <c r="I73" s="1"/>
      <c r="J73" s="5">
        <f t="shared" si="41"/>
        <v>0</v>
      </c>
      <c r="K73" s="1"/>
      <c r="L73" s="1">
        <f t="shared" si="42"/>
        <v>-521.35</v>
      </c>
      <c r="M73" s="1"/>
      <c r="N73" s="5">
        <f t="shared" si="43"/>
        <v>-0.89425385934819901</v>
      </c>
      <c r="O73" s="13"/>
      <c r="P73" s="1">
        <f>SUM(OSRRefP22_16x_0)</f>
        <v>400.18</v>
      </c>
      <c r="Q73" s="1"/>
      <c r="R73" s="5">
        <f t="shared" si="44"/>
        <v>0</v>
      </c>
      <c r="S73" s="1"/>
      <c r="T73" s="1">
        <f>SUM(OSRRefT22_16x_0)</f>
        <v>4664</v>
      </c>
      <c r="U73" s="1"/>
      <c r="V73" s="5">
        <f t="shared" si="45"/>
        <v>0</v>
      </c>
      <c r="W73" s="1"/>
      <c r="X73" s="1">
        <f t="shared" si="46"/>
        <v>-4263.82</v>
      </c>
      <c r="Y73" s="1"/>
      <c r="Z73" s="5">
        <f t="shared" si="47"/>
        <v>-0.91419811320754707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6">
        <v>61.65</v>
      </c>
      <c r="E74" s="2"/>
      <c r="F74" s="7">
        <f t="shared" si="40"/>
        <v>0</v>
      </c>
      <c r="G74" s="2"/>
      <c r="H74" s="6">
        <v>583</v>
      </c>
      <c r="I74" s="2"/>
      <c r="J74" s="7">
        <f t="shared" si="41"/>
        <v>0</v>
      </c>
      <c r="K74" s="2"/>
      <c r="L74" s="6">
        <f t="shared" si="42"/>
        <v>-521.35</v>
      </c>
      <c r="M74" s="2"/>
      <c r="N74" s="7">
        <f t="shared" si="43"/>
        <v>-0.89425385934819901</v>
      </c>
      <c r="O74" s="11"/>
      <c r="P74" s="6">
        <v>400.18</v>
      </c>
      <c r="Q74" s="2"/>
      <c r="R74" s="7">
        <f t="shared" si="44"/>
        <v>0</v>
      </c>
      <c r="S74" s="2"/>
      <c r="T74" s="6">
        <v>4664</v>
      </c>
      <c r="U74" s="2"/>
      <c r="V74" s="7">
        <f t="shared" si="45"/>
        <v>0</v>
      </c>
      <c r="W74" s="2"/>
      <c r="X74" s="6">
        <f t="shared" si="46"/>
        <v>-4263.82</v>
      </c>
      <c r="Y74" s="2"/>
      <c r="Z74" s="7">
        <f t="shared" si="47"/>
        <v>-0.91419811320754707</v>
      </c>
    </row>
    <row r="75" spans="1:26" s="5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3</v>
      </c>
      <c r="C78" s="28"/>
      <c r="D78" s="21">
        <f>+D16-D18+D76</f>
        <v>-65404.409999999996</v>
      </c>
      <c r="E78" s="14"/>
      <c r="F78" s="22">
        <f>IF(D$12=0,0,D78/D$12)</f>
        <v>0</v>
      </c>
      <c r="G78" s="14"/>
      <c r="H78" s="21">
        <f>+H16-H18+H76</f>
        <v>-64650.188613846098</v>
      </c>
      <c r="I78" s="14"/>
      <c r="J78" s="22">
        <f>IF(H$12=0,0,H78/H$12)</f>
        <v>0</v>
      </c>
      <c r="K78" s="15"/>
      <c r="L78" s="21">
        <f>+D78-H78</f>
        <v>-754.22138615389849</v>
      </c>
      <c r="M78" s="15"/>
      <c r="N78" s="22">
        <f>IF(H78=0,0,L78/H78)</f>
        <v>1.1666190034786183E-2</v>
      </c>
      <c r="O78" s="29"/>
      <c r="P78" s="21">
        <f>+P16-P18+P76</f>
        <v>-433986.66999999987</v>
      </c>
      <c r="Q78" s="14"/>
      <c r="R78" s="22">
        <f>IF(P$12=0,0,P78/P$12)</f>
        <v>0</v>
      </c>
      <c r="S78" s="14"/>
      <c r="T78" s="21">
        <f>+T16-T18+T76</f>
        <v>-444585.76489615359</v>
      </c>
      <c r="U78" s="14"/>
      <c r="V78" s="22">
        <f>IF(T$12=0,0,T78/T$12)</f>
        <v>0</v>
      </c>
      <c r="W78" s="15"/>
      <c r="X78" s="21">
        <f>+P78-T78</f>
        <v>10599.094896153721</v>
      </c>
      <c r="Y78" s="15"/>
      <c r="Z78" s="22">
        <f>IF(T78=0,0,X78/T78)</f>
        <v>-2.3840382965544252E-2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4</v>
      </c>
      <c r="C82" s="28"/>
      <c r="D82" s="31">
        <f>+D78-D80</f>
        <v>-65404.409999999996</v>
      </c>
      <c r="E82" s="14"/>
      <c r="F82" s="32">
        <f>IF(D$12=0,0,D82/D$12)</f>
        <v>0</v>
      </c>
      <c r="G82" s="14"/>
      <c r="H82" s="31">
        <f>+H78-H80</f>
        <v>-64650.188613846098</v>
      </c>
      <c r="I82" s="14"/>
      <c r="J82" s="32">
        <f>IF(H$12=0,0,H82/H$12)</f>
        <v>0</v>
      </c>
      <c r="K82" s="15"/>
      <c r="L82" s="31">
        <f>D82-H82</f>
        <v>-754.22138615389849</v>
      </c>
      <c r="M82" s="15"/>
      <c r="N82" s="32">
        <f>IF(H82=0,0,L82/H82)</f>
        <v>1.1666190034786183E-2</v>
      </c>
      <c r="O82" s="29"/>
      <c r="P82" s="31">
        <f>+P78-P80</f>
        <v>-433986.66999999987</v>
      </c>
      <c r="Q82" s="14"/>
      <c r="R82" s="32">
        <f>IF(P$12=0,0,P82/P$12)</f>
        <v>0</v>
      </c>
      <c r="S82" s="14"/>
      <c r="T82" s="31">
        <f>+T78-T80</f>
        <v>-444585.76489615359</v>
      </c>
      <c r="U82" s="14"/>
      <c r="V82" s="32">
        <f>IF(T$12=0,0,T82/T$12)</f>
        <v>0</v>
      </c>
      <c r="W82" s="15"/>
      <c r="X82" s="31">
        <f>P82-T82</f>
        <v>10599.094896153721</v>
      </c>
      <c r="Y82" s="15"/>
      <c r="Z82" s="32">
        <f>IF(T82=0,0,X82/T82)</f>
        <v>-2.3840382965544252E-2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5</v>
      </c>
      <c r="C85" s="28"/>
      <c r="D85" s="33">
        <f>SUM(D82:D84)</f>
        <v>-65404.409999999996</v>
      </c>
      <c r="E85" s="14"/>
      <c r="F85" s="30">
        <f>IF(D$12=0,0,D85/D$12)</f>
        <v>0</v>
      </c>
      <c r="G85" s="14"/>
      <c r="H85" s="33">
        <f>SUM(H82:H84)</f>
        <v>-64650.188613846098</v>
      </c>
      <c r="I85" s="14"/>
      <c r="J85" s="30">
        <f>IF(H$12=0,0,H85/H$12)</f>
        <v>0</v>
      </c>
      <c r="K85" s="15"/>
      <c r="L85" s="33">
        <f>+D85-H85</f>
        <v>-754.22138615389849</v>
      </c>
      <c r="M85" s="15"/>
      <c r="N85" s="30">
        <f>IF(H85=0,0,L85/H85)</f>
        <v>1.1666190034786183E-2</v>
      </c>
      <c r="O85" s="29"/>
      <c r="P85" s="33">
        <f>SUM(P82:P84)</f>
        <v>-433986.66999999987</v>
      </c>
      <c r="Q85" s="14"/>
      <c r="R85" s="30">
        <f>IF(P$12=0,0,P85/P$12)</f>
        <v>0</v>
      </c>
      <c r="S85" s="14"/>
      <c r="T85" s="33">
        <f>SUM(T82:T84)</f>
        <v>-444585.76489615359</v>
      </c>
      <c r="U85" s="14"/>
      <c r="V85" s="30">
        <f>IF(T$12=0,0,T85/T$12)</f>
        <v>0</v>
      </c>
      <c r="W85" s="15"/>
      <c r="X85" s="33">
        <f>+P85-T85</f>
        <v>10599.094896153721</v>
      </c>
      <c r="Y85" s="15"/>
      <c r="Z85" s="30">
        <f>IF(T85=0,0,X85/T85)</f>
        <v>-2.3840382965544252E-2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9">
        <v>43908.494387152779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3" t="s">
        <v>314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7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69845.759999999995</v>
      </c>
      <c r="E18" s="20"/>
      <c r="F18" s="34">
        <f t="shared" ref="F18:F29" si="0">IF(D$12=0,0,D18/D$12)</f>
        <v>0</v>
      </c>
      <c r="G18" s="20"/>
      <c r="H18" s="20">
        <f>SUM(OSRRefH22x_0)</f>
        <v>54439.426544015376</v>
      </c>
      <c r="I18" s="20"/>
      <c r="J18" s="34">
        <f t="shared" ref="J18:J29" si="1">IF(H$12=0,0,H18/H$12)</f>
        <v>0</v>
      </c>
      <c r="K18" s="4"/>
      <c r="L18" s="20">
        <f t="shared" ref="L18:L29" si="2">+D18-H18</f>
        <v>15406.333455984619</v>
      </c>
      <c r="M18" s="4"/>
      <c r="N18" s="34">
        <f t="shared" ref="N18:N29" si="3">IF(H18=0,0,L18/H18)</f>
        <v>0.28299955444108671</v>
      </c>
      <c r="O18" s="10"/>
      <c r="P18" s="20">
        <f>SUM(OSRRefP22x_0)</f>
        <v>543997.05000000005</v>
      </c>
      <c r="Q18" s="20"/>
      <c r="R18" s="34">
        <f t="shared" ref="R18:R29" si="4">IF(P$12=0,0,P18/P$12)</f>
        <v>0</v>
      </c>
      <c r="S18" s="20"/>
      <c r="T18" s="20">
        <f>SUM(OSRRefT22x_0)</f>
        <v>488642.27062248765</v>
      </c>
      <c r="U18" s="20"/>
      <c r="V18" s="34">
        <f t="shared" ref="V18:V29" si="5">IF(T$12=0,0,T18/T$12)</f>
        <v>0</v>
      </c>
      <c r="W18" s="4"/>
      <c r="X18" s="20">
        <f t="shared" ref="X18:X29" si="6">+P18-T18</f>
        <v>55354.779377512401</v>
      </c>
      <c r="Y18" s="4"/>
      <c r="Z18" s="34">
        <f t="shared" ref="Z18:Z29" si="7">IF(T18=0,0,X18/T18)</f>
        <v>0.11328283021236628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14150.249999999998</v>
      </c>
      <c r="E19" s="1"/>
      <c r="F19" s="5">
        <f t="shared" si="0"/>
        <v>0</v>
      </c>
      <c r="G19" s="1"/>
      <c r="H19" s="1">
        <f>SUM(OSRRefH22_0x_0)</f>
        <v>11316.868620938458</v>
      </c>
      <c r="I19" s="1"/>
      <c r="J19" s="5">
        <f t="shared" si="1"/>
        <v>0</v>
      </c>
      <c r="K19" s="1"/>
      <c r="L19" s="1">
        <f t="shared" si="2"/>
        <v>2833.3813790615404</v>
      </c>
      <c r="M19" s="1"/>
      <c r="N19" s="5">
        <f t="shared" si="3"/>
        <v>0.25036796608376466</v>
      </c>
      <c r="O19" s="13"/>
      <c r="P19" s="1">
        <f>SUM(OSRRefP22_0x_0)</f>
        <v>110978.48000000001</v>
      </c>
      <c r="Q19" s="1"/>
      <c r="R19" s="5">
        <f t="shared" si="4"/>
        <v>0</v>
      </c>
      <c r="S19" s="1"/>
      <c r="T19" s="1">
        <f>SUM(OSRRefT22_0x_0)</f>
        <v>86890.454345564591</v>
      </c>
      <c r="U19" s="1"/>
      <c r="V19" s="5">
        <f t="shared" si="5"/>
        <v>0</v>
      </c>
      <c r="W19" s="1"/>
      <c r="X19" s="1">
        <f t="shared" si="6"/>
        <v>24088.02565443542</v>
      </c>
      <c r="Y19" s="1"/>
      <c r="Z19" s="5">
        <f t="shared" si="7"/>
        <v>0.27722292207883958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2281.7199999999998</v>
      </c>
      <c r="E20" s="2"/>
      <c r="F20" s="7">
        <f t="shared" si="0"/>
        <v>0</v>
      </c>
      <c r="G20" s="2"/>
      <c r="H20" s="6">
        <v>1454.42757170769</v>
      </c>
      <c r="I20" s="2"/>
      <c r="J20" s="7">
        <f t="shared" si="1"/>
        <v>0</v>
      </c>
      <c r="K20" s="2"/>
      <c r="L20" s="6">
        <f t="shared" si="2"/>
        <v>827.29242829230975</v>
      </c>
      <c r="M20" s="2"/>
      <c r="N20" s="7">
        <f t="shared" si="3"/>
        <v>0.56880964331620798</v>
      </c>
      <c r="O20" s="11"/>
      <c r="P20" s="6">
        <v>16900.02</v>
      </c>
      <c r="Q20" s="2"/>
      <c r="R20" s="7">
        <f t="shared" si="4"/>
        <v>0</v>
      </c>
      <c r="S20" s="2"/>
      <c r="T20" s="6">
        <v>11416.42502187231</v>
      </c>
      <c r="U20" s="2"/>
      <c r="V20" s="7">
        <f t="shared" si="5"/>
        <v>0</v>
      </c>
      <c r="W20" s="2"/>
      <c r="X20" s="6">
        <f t="shared" si="6"/>
        <v>5483.5949781276904</v>
      </c>
      <c r="Y20" s="2"/>
      <c r="Z20" s="7">
        <f t="shared" si="7"/>
        <v>0.48032505513957935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102.61</v>
      </c>
      <c r="E21" s="2"/>
      <c r="F21" s="7">
        <f t="shared" si="0"/>
        <v>0</v>
      </c>
      <c r="G21" s="2"/>
      <c r="H21" s="6">
        <v>95.181885846153889</v>
      </c>
      <c r="I21" s="2"/>
      <c r="J21" s="7">
        <f t="shared" si="1"/>
        <v>0</v>
      </c>
      <c r="K21" s="2"/>
      <c r="L21" s="6">
        <f t="shared" si="2"/>
        <v>7.42811415384611</v>
      </c>
      <c r="M21" s="2"/>
      <c r="N21" s="7">
        <f t="shared" si="3"/>
        <v>7.8041258458068946E-2</v>
      </c>
      <c r="O21" s="11"/>
      <c r="P21" s="6">
        <v>621.84</v>
      </c>
      <c r="Q21" s="2"/>
      <c r="R21" s="7">
        <f t="shared" si="4"/>
        <v>0</v>
      </c>
      <c r="S21" s="2"/>
      <c r="T21" s="6">
        <v>727.27296655384544</v>
      </c>
      <c r="U21" s="2"/>
      <c r="V21" s="7">
        <f t="shared" si="5"/>
        <v>0</v>
      </c>
      <c r="W21" s="2"/>
      <c r="X21" s="6">
        <f t="shared" si="6"/>
        <v>-105.4329665538454</v>
      </c>
      <c r="Y21" s="2"/>
      <c r="Z21" s="7">
        <f t="shared" si="7"/>
        <v>-0.14497028131464229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6142.53</v>
      </c>
      <c r="E22" s="2"/>
      <c r="F22" s="7">
        <f t="shared" si="0"/>
        <v>0</v>
      </c>
      <c r="G22" s="2"/>
      <c r="H22" s="6">
        <v>6539.3076923076906</v>
      </c>
      <c r="I22" s="2"/>
      <c r="J22" s="7">
        <f t="shared" si="1"/>
        <v>0</v>
      </c>
      <c r="K22" s="2"/>
      <c r="L22" s="6">
        <f t="shared" si="2"/>
        <v>-396.77769230769081</v>
      </c>
      <c r="M22" s="2"/>
      <c r="N22" s="7">
        <f t="shared" si="3"/>
        <v>-6.067579489713075E-2</v>
      </c>
      <c r="O22" s="11"/>
      <c r="P22" s="6">
        <v>47404.65</v>
      </c>
      <c r="Q22" s="2"/>
      <c r="R22" s="7">
        <f t="shared" si="4"/>
        <v>0</v>
      </c>
      <c r="S22" s="2"/>
      <c r="T22" s="6">
        <v>48664.615384615361</v>
      </c>
      <c r="U22" s="2"/>
      <c r="V22" s="7">
        <f t="shared" si="5"/>
        <v>0</v>
      </c>
      <c r="W22" s="2"/>
      <c r="X22" s="6">
        <f t="shared" si="6"/>
        <v>-1259.9653846153597</v>
      </c>
      <c r="Y22" s="2"/>
      <c r="Z22" s="7">
        <f t="shared" si="7"/>
        <v>-2.5890790971167938E-2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78.459999999999994</v>
      </c>
      <c r="E23" s="2"/>
      <c r="F23" s="7">
        <f t="shared" si="0"/>
        <v>0</v>
      </c>
      <c r="G23" s="2"/>
      <c r="H23" s="6">
        <v>72.786147999999997</v>
      </c>
      <c r="I23" s="2"/>
      <c r="J23" s="7">
        <f t="shared" si="1"/>
        <v>0</v>
      </c>
      <c r="K23" s="2"/>
      <c r="L23" s="6">
        <f t="shared" si="2"/>
        <v>5.6738519999999966</v>
      </c>
      <c r="M23" s="2"/>
      <c r="N23" s="7">
        <f t="shared" si="3"/>
        <v>7.7952359836379811E-2</v>
      </c>
      <c r="O23" s="11"/>
      <c r="P23" s="6">
        <v>574.21</v>
      </c>
      <c r="Q23" s="2"/>
      <c r="R23" s="7">
        <f t="shared" si="4"/>
        <v>0</v>
      </c>
      <c r="S23" s="2"/>
      <c r="T23" s="6">
        <v>556.14991559999999</v>
      </c>
      <c r="U23" s="2"/>
      <c r="V23" s="7">
        <f t="shared" si="5"/>
        <v>0</v>
      </c>
      <c r="W23" s="2"/>
      <c r="X23" s="6">
        <f t="shared" si="6"/>
        <v>18.060084400000051</v>
      </c>
      <c r="Y23" s="2"/>
      <c r="Z23" s="7">
        <f t="shared" si="7"/>
        <v>3.2473410304334947E-2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1365.37</v>
      </c>
      <c r="E24" s="2"/>
      <c r="F24" s="7">
        <f t="shared" si="0"/>
        <v>0</v>
      </c>
      <c r="G24" s="2"/>
      <c r="H24" s="6">
        <v>684.79153846153804</v>
      </c>
      <c r="I24" s="2"/>
      <c r="J24" s="7">
        <f t="shared" si="1"/>
        <v>0</v>
      </c>
      <c r="K24" s="2"/>
      <c r="L24" s="6">
        <f t="shared" si="2"/>
        <v>680.57846153846185</v>
      </c>
      <c r="M24" s="2"/>
      <c r="N24" s="7">
        <f t="shared" si="3"/>
        <v>0.99384765043601253</v>
      </c>
      <c r="O24" s="11"/>
      <c r="P24" s="6">
        <v>10007.73</v>
      </c>
      <c r="Q24" s="2"/>
      <c r="R24" s="7">
        <f t="shared" si="4"/>
        <v>0</v>
      </c>
      <c r="S24" s="2"/>
      <c r="T24" s="6">
        <v>5991.925961538459</v>
      </c>
      <c r="U24" s="2"/>
      <c r="V24" s="7">
        <f t="shared" si="5"/>
        <v>0</v>
      </c>
      <c r="W24" s="2"/>
      <c r="X24" s="6">
        <f t="shared" si="6"/>
        <v>4015.8040384615406</v>
      </c>
      <c r="Y24" s="2"/>
      <c r="Z24" s="7">
        <f t="shared" si="7"/>
        <v>0.67020254659996858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>
        <v>733</v>
      </c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233</v>
      </c>
      <c r="M25" s="2"/>
      <c r="N25" s="7">
        <f t="shared" si="3"/>
        <v>0.46600000000000003</v>
      </c>
      <c r="O25" s="11"/>
      <c r="P25" s="6">
        <v>4936.88</v>
      </c>
      <c r="Q25" s="2"/>
      <c r="R25" s="7">
        <f t="shared" si="4"/>
        <v>0</v>
      </c>
      <c r="S25" s="2"/>
      <c r="T25" s="6">
        <v>4000</v>
      </c>
      <c r="U25" s="2"/>
      <c r="V25" s="7">
        <f t="shared" si="5"/>
        <v>0</v>
      </c>
      <c r="W25" s="2"/>
      <c r="X25" s="6">
        <f t="shared" si="6"/>
        <v>936.88000000000011</v>
      </c>
      <c r="Y25" s="2"/>
      <c r="Z25" s="7">
        <f t="shared" si="7"/>
        <v>0.23422000000000004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235.25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235.25</v>
      </c>
      <c r="M26" s="2"/>
      <c r="N26" s="7">
        <f t="shared" si="3"/>
        <v>0</v>
      </c>
      <c r="O26" s="11"/>
      <c r="P26" s="6">
        <v>3561.21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3561.21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1447.62</v>
      </c>
      <c r="E27" s="2"/>
      <c r="F27" s="7">
        <f t="shared" si="0"/>
        <v>0</v>
      </c>
      <c r="G27" s="2"/>
      <c r="H27" s="6">
        <v>950.23361538461609</v>
      </c>
      <c r="I27" s="2"/>
      <c r="J27" s="7">
        <f t="shared" si="1"/>
        <v>0</v>
      </c>
      <c r="K27" s="2"/>
      <c r="L27" s="6">
        <f t="shared" si="2"/>
        <v>497.3863846153838</v>
      </c>
      <c r="M27" s="2"/>
      <c r="N27" s="7">
        <f t="shared" si="3"/>
        <v>0.52343589677582802</v>
      </c>
      <c r="O27" s="11"/>
      <c r="P27" s="6">
        <v>14060.03</v>
      </c>
      <c r="Q27" s="2"/>
      <c r="R27" s="7">
        <f t="shared" si="4"/>
        <v>0</v>
      </c>
      <c r="S27" s="2"/>
      <c r="T27" s="6">
        <v>7458.7906846153865</v>
      </c>
      <c r="U27" s="2"/>
      <c r="V27" s="7">
        <f t="shared" si="5"/>
        <v>0</v>
      </c>
      <c r="W27" s="2"/>
      <c r="X27" s="6">
        <f t="shared" si="6"/>
        <v>6601.2393153846142</v>
      </c>
      <c r="Y27" s="2"/>
      <c r="Z27" s="7">
        <f t="shared" si="7"/>
        <v>0.88502809564027984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1153.74</v>
      </c>
      <c r="E28" s="2"/>
      <c r="F28" s="7">
        <f t="shared" si="0"/>
        <v>0</v>
      </c>
      <c r="G28" s="2"/>
      <c r="H28" s="6">
        <v>570.14016923076906</v>
      </c>
      <c r="I28" s="2"/>
      <c r="J28" s="7">
        <f t="shared" si="1"/>
        <v>0</v>
      </c>
      <c r="K28" s="2"/>
      <c r="L28" s="6">
        <f t="shared" si="2"/>
        <v>583.59983076923095</v>
      </c>
      <c r="M28" s="2"/>
      <c r="N28" s="7">
        <f t="shared" si="3"/>
        <v>1.0236076359198154</v>
      </c>
      <c r="O28" s="11"/>
      <c r="P28" s="6">
        <v>9570.56</v>
      </c>
      <c r="Q28" s="2"/>
      <c r="R28" s="7">
        <f t="shared" si="4"/>
        <v>0</v>
      </c>
      <c r="S28" s="2"/>
      <c r="T28" s="6">
        <v>4475.2744107692306</v>
      </c>
      <c r="U28" s="2"/>
      <c r="V28" s="7">
        <f t="shared" si="5"/>
        <v>0</v>
      </c>
      <c r="W28" s="2"/>
      <c r="X28" s="6">
        <f t="shared" si="6"/>
        <v>5095.2855892307689</v>
      </c>
      <c r="Y28" s="2"/>
      <c r="Z28" s="7">
        <f t="shared" si="7"/>
        <v>1.1385414885329832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609.95000000000005</v>
      </c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159.95000000000005</v>
      </c>
      <c r="M29" s="2"/>
      <c r="N29" s="7">
        <f t="shared" si="3"/>
        <v>0.35544444444444456</v>
      </c>
      <c r="O29" s="11"/>
      <c r="P29" s="6">
        <v>3341.35</v>
      </c>
      <c r="Q29" s="2"/>
      <c r="R29" s="7">
        <f t="shared" si="4"/>
        <v>0</v>
      </c>
      <c r="S29" s="2"/>
      <c r="T29" s="6">
        <v>3600</v>
      </c>
      <c r="U29" s="2"/>
      <c r="V29" s="7">
        <f t="shared" si="5"/>
        <v>0</v>
      </c>
      <c r="W29" s="2"/>
      <c r="X29" s="6">
        <f t="shared" si="6"/>
        <v>-258.65000000000009</v>
      </c>
      <c r="Y29" s="2"/>
      <c r="Z29" s="7">
        <f t="shared" si="7"/>
        <v>-7.1847222222222243E-2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29724.28</v>
      </c>
      <c r="E30" s="1"/>
      <c r="F30" s="5">
        <f t="shared" ref="F30:F40" si="8">IF(D$12=0,0,D30/D$12)</f>
        <v>0</v>
      </c>
      <c r="G30" s="1"/>
      <c r="H30" s="1">
        <f>SUM(OSRRefH22_1x_0)</f>
        <v>26805.557923076922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2918.7220769230771</v>
      </c>
      <c r="M30" s="1"/>
      <c r="N30" s="5">
        <f t="shared" ref="N30:N40" si="11">IF(H30=0,0,L30/H30)</f>
        <v>0.10888495905583623</v>
      </c>
      <c r="O30" s="13"/>
      <c r="P30" s="1">
        <f>SUM(OSRRefP22_1x_0)</f>
        <v>203246.77</v>
      </c>
      <c r="Q30" s="1"/>
      <c r="R30" s="5">
        <f t="shared" ref="R30:R40" si="12">IF(P$12=0,0,P30/P$12)</f>
        <v>0</v>
      </c>
      <c r="S30" s="1"/>
      <c r="T30" s="1">
        <f>SUM(OSRRefT22_1x_0)</f>
        <v>204354.81627692305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-1108.0462769230653</v>
      </c>
      <c r="Y30" s="1"/>
      <c r="Z30" s="5">
        <f t="shared" ref="Z30:Z40" si="15">IF(T30=0,0,X30/T30)</f>
        <v>-5.4221686432951097E-3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9220.16</v>
      </c>
      <c r="E31" s="2"/>
      <c r="F31" s="7">
        <f t="shared" si="8"/>
        <v>0</v>
      </c>
      <c r="G31" s="2"/>
      <c r="H31" s="6">
        <v>7325.6769230769205</v>
      </c>
      <c r="I31" s="2"/>
      <c r="J31" s="7">
        <f t="shared" si="9"/>
        <v>0</v>
      </c>
      <c r="K31" s="2"/>
      <c r="L31" s="6">
        <f t="shared" si="10"/>
        <v>1894.4830769230794</v>
      </c>
      <c r="M31" s="2"/>
      <c r="N31" s="7">
        <f t="shared" si="11"/>
        <v>0.25860860324800689</v>
      </c>
      <c r="O31" s="11"/>
      <c r="P31" s="6">
        <v>71286.97</v>
      </c>
      <c r="Q31" s="2"/>
      <c r="R31" s="7">
        <f t="shared" si="12"/>
        <v>0</v>
      </c>
      <c r="S31" s="2"/>
      <c r="T31" s="6">
        <v>64099.673076923056</v>
      </c>
      <c r="U31" s="2"/>
      <c r="V31" s="7">
        <f t="shared" si="13"/>
        <v>0</v>
      </c>
      <c r="W31" s="2"/>
      <c r="X31" s="6">
        <f t="shared" si="14"/>
        <v>7187.2969230769449</v>
      </c>
      <c r="Y31" s="2"/>
      <c r="Z31" s="7">
        <f t="shared" si="15"/>
        <v>0.11212688892269079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6384.62</v>
      </c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6384.62</v>
      </c>
      <c r="M32" s="2"/>
      <c r="N32" s="7">
        <f t="shared" si="11"/>
        <v>0</v>
      </c>
      <c r="O32" s="11"/>
      <c r="P32" s="6">
        <v>11172.93</v>
      </c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11172.93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9345.98</v>
      </c>
      <c r="E34" s="2"/>
      <c r="F34" s="7">
        <f t="shared" si="8"/>
        <v>0</v>
      </c>
      <c r="G34" s="2"/>
      <c r="H34" s="6">
        <v>10489.880999999999</v>
      </c>
      <c r="I34" s="2"/>
      <c r="J34" s="7">
        <f t="shared" si="9"/>
        <v>0</v>
      </c>
      <c r="K34" s="2"/>
      <c r="L34" s="6">
        <f t="shared" si="10"/>
        <v>-1143.9009999999998</v>
      </c>
      <c r="M34" s="2"/>
      <c r="N34" s="7">
        <f t="shared" si="11"/>
        <v>-0.10904804353833947</v>
      </c>
      <c r="O34" s="11"/>
      <c r="P34" s="6">
        <v>77285.72</v>
      </c>
      <c r="Q34" s="2"/>
      <c r="R34" s="7">
        <f t="shared" si="12"/>
        <v>0</v>
      </c>
      <c r="S34" s="2"/>
      <c r="T34" s="6">
        <v>75527.143199999991</v>
      </c>
      <c r="U34" s="2"/>
      <c r="V34" s="7">
        <f t="shared" si="13"/>
        <v>0</v>
      </c>
      <c r="W34" s="2"/>
      <c r="X34" s="6">
        <f t="shared" si="14"/>
        <v>1758.5768000000098</v>
      </c>
      <c r="Y34" s="2"/>
      <c r="Z34" s="7">
        <f t="shared" si="15"/>
        <v>2.3284037042725192E-2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5228.5200000000004</v>
      </c>
      <c r="E35" s="2"/>
      <c r="F35" s="7">
        <f t="shared" si="8"/>
        <v>0</v>
      </c>
      <c r="G35" s="2"/>
      <c r="H35" s="6">
        <v>8990</v>
      </c>
      <c r="I35" s="2"/>
      <c r="J35" s="7">
        <f t="shared" si="9"/>
        <v>0</v>
      </c>
      <c r="K35" s="2"/>
      <c r="L35" s="6">
        <f t="shared" si="10"/>
        <v>-3761.4799999999996</v>
      </c>
      <c r="M35" s="2"/>
      <c r="N35" s="7">
        <f t="shared" si="11"/>
        <v>-0.41840711902113453</v>
      </c>
      <c r="O35" s="11"/>
      <c r="P35" s="6">
        <v>40466.15</v>
      </c>
      <c r="Q35" s="2"/>
      <c r="R35" s="7">
        <f t="shared" si="12"/>
        <v>0</v>
      </c>
      <c r="S35" s="2"/>
      <c r="T35" s="6">
        <v>64728</v>
      </c>
      <c r="U35" s="2"/>
      <c r="V35" s="7">
        <f t="shared" si="13"/>
        <v>0</v>
      </c>
      <c r="W35" s="2"/>
      <c r="X35" s="6">
        <f t="shared" si="14"/>
        <v>-24261.85</v>
      </c>
      <c r="Y35" s="2"/>
      <c r="Z35" s="7">
        <f t="shared" si="15"/>
        <v>-0.37482774069954267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-455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-455</v>
      </c>
      <c r="M37" s="2"/>
      <c r="N37" s="7">
        <f t="shared" si="11"/>
        <v>0</v>
      </c>
      <c r="O37" s="11"/>
      <c r="P37" s="6">
        <v>3035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3035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15</v>
      </c>
      <c r="E41" s="1"/>
      <c r="F41" s="5">
        <f t="shared" ref="F41:F57" si="16">IF(D$12=0,0,D41/D$12)</f>
        <v>0</v>
      </c>
      <c r="G41" s="1"/>
      <c r="H41" s="1">
        <f>SUM(OSRRefH22_2x_0)</f>
        <v>260</v>
      </c>
      <c r="I41" s="1"/>
      <c r="J41" s="5">
        <f t="shared" ref="J41:J57" si="17">IF(H$12=0,0,H41/H$12)</f>
        <v>0</v>
      </c>
      <c r="K41" s="1"/>
      <c r="L41" s="1">
        <f t="shared" ref="L41:L57" si="18">+D41-H41</f>
        <v>-245</v>
      </c>
      <c r="M41" s="1"/>
      <c r="N41" s="5">
        <f t="shared" ref="N41:N57" si="19">IF(H41=0,0,L41/H41)</f>
        <v>-0.94230769230769229</v>
      </c>
      <c r="O41" s="13"/>
      <c r="P41" s="1">
        <f>SUM(OSRRefP22_2x_0)</f>
        <v>1556.04</v>
      </c>
      <c r="Q41" s="1"/>
      <c r="R41" s="5">
        <f t="shared" ref="R41:R57" si="20">IF(P$12=0,0,P41/P$12)</f>
        <v>0</v>
      </c>
      <c r="S41" s="1"/>
      <c r="T41" s="1">
        <f>SUM(OSRRefT22_2x_0)</f>
        <v>2080</v>
      </c>
      <c r="U41" s="1"/>
      <c r="V41" s="5">
        <f t="shared" ref="V41:V57" si="21">IF(T$12=0,0,T41/T$12)</f>
        <v>0</v>
      </c>
      <c r="W41" s="1"/>
      <c r="X41" s="1">
        <f t="shared" ref="X41:X57" si="22">+P41-T41</f>
        <v>-523.96</v>
      </c>
      <c r="Y41" s="1"/>
      <c r="Z41" s="5">
        <f t="shared" ref="Z41:Z57" si="23">IF(T41=0,0,X41/T41)</f>
        <v>-0.25190384615384614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15</v>
      </c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-245</v>
      </c>
      <c r="M42" s="2"/>
      <c r="N42" s="7">
        <f t="shared" si="19"/>
        <v>-0.94230769230769229</v>
      </c>
      <c r="O42" s="11"/>
      <c r="P42" s="6">
        <v>1556.04</v>
      </c>
      <c r="Q42" s="2"/>
      <c r="R42" s="7">
        <f t="shared" si="20"/>
        <v>0</v>
      </c>
      <c r="S42" s="2"/>
      <c r="T42" s="6">
        <v>2080</v>
      </c>
      <c r="U42" s="2"/>
      <c r="V42" s="7">
        <f t="shared" si="21"/>
        <v>0</v>
      </c>
      <c r="W42" s="2"/>
      <c r="X42" s="6">
        <f t="shared" si="22"/>
        <v>-523.96</v>
      </c>
      <c r="Y42" s="2"/>
      <c r="Z42" s="7">
        <f t="shared" si="23"/>
        <v>-0.25190384615384614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3"/>
      <c r="P43" s="1">
        <f>SUM(OSRRefP22_3x_0)</f>
        <v>1793.44</v>
      </c>
      <c r="Q43" s="1"/>
      <c r="R43" s="5">
        <f t="shared" si="20"/>
        <v>0</v>
      </c>
      <c r="S43" s="1"/>
      <c r="T43" s="1">
        <f>SUM(OSRRefT22_3x_0)</f>
        <v>1792</v>
      </c>
      <c r="U43" s="1"/>
      <c r="V43" s="5">
        <f t="shared" si="21"/>
        <v>0</v>
      </c>
      <c r="W43" s="1"/>
      <c r="X43" s="1">
        <f t="shared" si="22"/>
        <v>1.4400000000000546</v>
      </c>
      <c r="Y43" s="1"/>
      <c r="Z43" s="5">
        <f t="shared" si="23"/>
        <v>8.0357142857145902E-4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224.18</v>
      </c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0.18000000000000682</v>
      </c>
      <c r="M44" s="2"/>
      <c r="N44" s="7">
        <f t="shared" si="19"/>
        <v>8.0357142857145902E-4</v>
      </c>
      <c r="O44" s="11"/>
      <c r="P44" s="6">
        <v>1793.44</v>
      </c>
      <c r="Q44" s="2"/>
      <c r="R44" s="7">
        <f t="shared" si="20"/>
        <v>0</v>
      </c>
      <c r="S44" s="2"/>
      <c r="T44" s="6">
        <v>1792</v>
      </c>
      <c r="U44" s="2"/>
      <c r="V44" s="7">
        <f t="shared" si="21"/>
        <v>0</v>
      </c>
      <c r="W44" s="2"/>
      <c r="X44" s="6">
        <f t="shared" si="22"/>
        <v>1.4400000000000546</v>
      </c>
      <c r="Y44" s="2"/>
      <c r="Z44" s="7">
        <f t="shared" si="23"/>
        <v>8.0357142857145902E-4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1501.18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918.18000000000006</v>
      </c>
      <c r="M45" s="1"/>
      <c r="N45" s="5">
        <f t="shared" si="19"/>
        <v>1.5749228130360207</v>
      </c>
      <c r="O45" s="13"/>
      <c r="P45" s="1">
        <f>SUM(OSRRefP22_4x_0)</f>
        <v>28519.22</v>
      </c>
      <c r="Q45" s="1"/>
      <c r="R45" s="5">
        <f t="shared" si="20"/>
        <v>0</v>
      </c>
      <c r="S45" s="1"/>
      <c r="T45" s="1">
        <f>SUM(OSRRefT22_4x_0)</f>
        <v>30164</v>
      </c>
      <c r="U45" s="1"/>
      <c r="V45" s="5">
        <f t="shared" si="21"/>
        <v>0</v>
      </c>
      <c r="W45" s="1"/>
      <c r="X45" s="1">
        <f t="shared" si="22"/>
        <v>-1644.7799999999988</v>
      </c>
      <c r="Y45" s="1"/>
      <c r="Z45" s="5">
        <f t="shared" si="23"/>
        <v>-5.4527914069751986E-2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>
        <v>1501.18</v>
      </c>
      <c r="E46" s="2"/>
      <c r="F46" s="7">
        <f t="shared" si="16"/>
        <v>0</v>
      </c>
      <c r="G46" s="2"/>
      <c r="H46" s="6">
        <v>583</v>
      </c>
      <c r="I46" s="2"/>
      <c r="J46" s="7">
        <f t="shared" si="17"/>
        <v>0</v>
      </c>
      <c r="K46" s="2"/>
      <c r="L46" s="6">
        <f t="shared" si="18"/>
        <v>918.18000000000006</v>
      </c>
      <c r="M46" s="2"/>
      <c r="N46" s="7">
        <f t="shared" si="19"/>
        <v>1.5749228130360207</v>
      </c>
      <c r="O46" s="11"/>
      <c r="P46" s="6">
        <v>28519.22</v>
      </c>
      <c r="Q46" s="2"/>
      <c r="R46" s="7">
        <f t="shared" si="20"/>
        <v>0</v>
      </c>
      <c r="S46" s="2"/>
      <c r="T46" s="6">
        <v>30164</v>
      </c>
      <c r="U46" s="2"/>
      <c r="V46" s="7">
        <f t="shared" si="21"/>
        <v>0</v>
      </c>
      <c r="W46" s="2"/>
      <c r="X46" s="6">
        <f t="shared" si="22"/>
        <v>-1644.7799999999988</v>
      </c>
      <c r="Y46" s="2"/>
      <c r="Z46" s="7">
        <f t="shared" si="23"/>
        <v>-5.4527914069751986E-2</v>
      </c>
    </row>
    <row r="47" spans="1:26" s="27" customFormat="1" outlineLevel="1" collapsed="1" x14ac:dyDescent="0.25">
      <c r="A47" s="26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630</v>
      </c>
      <c r="U47" s="1"/>
      <c r="V47" s="5">
        <f t="shared" si="21"/>
        <v>0</v>
      </c>
      <c r="W47" s="1"/>
      <c r="X47" s="1">
        <f t="shared" si="22"/>
        <v>-356.22</v>
      </c>
      <c r="Y47" s="1"/>
      <c r="Z47" s="5">
        <f t="shared" si="23"/>
        <v>-0.5654285714285715</v>
      </c>
    </row>
    <row r="48" spans="1:26" s="24" customFormat="1" hidden="1" outlineLevel="2" x14ac:dyDescent="0.25">
      <c r="A48" s="25"/>
      <c r="B48" s="11" t="str">
        <f>CONCATENATE("          ", "6351", " - ", "EQUIPMENT RENTAL")</f>
        <v xml:space="preserve">          6351 - EQUIPMENT RENTAL</v>
      </c>
      <c r="C48" s="11"/>
      <c r="D48" s="6"/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-90</v>
      </c>
      <c r="M48" s="2"/>
      <c r="N48" s="7">
        <f t="shared" si="19"/>
        <v>-1</v>
      </c>
      <c r="O48" s="11"/>
      <c r="P48" s="6">
        <v>273.77999999999997</v>
      </c>
      <c r="Q48" s="2"/>
      <c r="R48" s="7">
        <f t="shared" si="20"/>
        <v>0</v>
      </c>
      <c r="S48" s="2"/>
      <c r="T48" s="6">
        <v>630</v>
      </c>
      <c r="U48" s="2"/>
      <c r="V48" s="7">
        <f t="shared" si="21"/>
        <v>0</v>
      </c>
      <c r="W48" s="2"/>
      <c r="X48" s="6">
        <f t="shared" si="22"/>
        <v>-356.22</v>
      </c>
      <c r="Y48" s="2"/>
      <c r="Z48" s="7">
        <f t="shared" si="23"/>
        <v>-0.5654285714285715</v>
      </c>
    </row>
    <row r="49" spans="1:26" s="27" customFormat="1" outlineLevel="1" collapsed="1" x14ac:dyDescent="0.25">
      <c r="A49" s="26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99.8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4.7999999999999972</v>
      </c>
      <c r="M49" s="1"/>
      <c r="N49" s="5">
        <f t="shared" si="19"/>
        <v>5.0526315789473655E-2</v>
      </c>
      <c r="O49" s="13"/>
      <c r="P49" s="1">
        <f>SUM(OSRRefP22_6x_0)</f>
        <v>956.6</v>
      </c>
      <c r="Q49" s="1"/>
      <c r="R49" s="5">
        <f t="shared" si="20"/>
        <v>0</v>
      </c>
      <c r="S49" s="1"/>
      <c r="T49" s="1">
        <f>SUM(OSRRefT22_6x_0)</f>
        <v>665</v>
      </c>
      <c r="U49" s="1"/>
      <c r="V49" s="5">
        <f t="shared" si="21"/>
        <v>0</v>
      </c>
      <c r="W49" s="1"/>
      <c r="X49" s="1">
        <f t="shared" si="22"/>
        <v>291.60000000000002</v>
      </c>
      <c r="Y49" s="1"/>
      <c r="Z49" s="5">
        <f t="shared" si="23"/>
        <v>0.43849624060150377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6">
        <v>99.8</v>
      </c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4.7999999999999972</v>
      </c>
      <c r="M50" s="2"/>
      <c r="N50" s="7">
        <f t="shared" si="19"/>
        <v>5.0526315789473655E-2</v>
      </c>
      <c r="O50" s="11"/>
      <c r="P50" s="6">
        <v>956.6</v>
      </c>
      <c r="Q50" s="2"/>
      <c r="R50" s="7">
        <f t="shared" si="20"/>
        <v>0</v>
      </c>
      <c r="S50" s="2"/>
      <c r="T50" s="6">
        <v>665</v>
      </c>
      <c r="U50" s="2"/>
      <c r="V50" s="7">
        <f t="shared" si="21"/>
        <v>0</v>
      </c>
      <c r="W50" s="2"/>
      <c r="X50" s="6">
        <f t="shared" si="22"/>
        <v>291.60000000000002</v>
      </c>
      <c r="Y50" s="2"/>
      <c r="Z50" s="7">
        <f t="shared" si="23"/>
        <v>0.43849624060150377</v>
      </c>
    </row>
    <row r="51" spans="1:26" s="27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2730</v>
      </c>
      <c r="U51" s="1"/>
      <c r="V51" s="5">
        <f t="shared" si="21"/>
        <v>0</v>
      </c>
      <c r="W51" s="1"/>
      <c r="X51" s="1">
        <f t="shared" si="22"/>
        <v>-2030</v>
      </c>
      <c r="Y51" s="1"/>
      <c r="Z51" s="5">
        <f t="shared" si="23"/>
        <v>-0.74358974358974361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>
        <v>700</v>
      </c>
      <c r="Q52" s="2"/>
      <c r="R52" s="7">
        <f t="shared" si="20"/>
        <v>0</v>
      </c>
      <c r="S52" s="2"/>
      <c r="T52" s="6">
        <v>2730</v>
      </c>
      <c r="U52" s="2"/>
      <c r="V52" s="7">
        <f t="shared" si="21"/>
        <v>0</v>
      </c>
      <c r="W52" s="2"/>
      <c r="X52" s="6">
        <f t="shared" si="22"/>
        <v>-2030</v>
      </c>
      <c r="Y52" s="2"/>
      <c r="Z52" s="7">
        <f t="shared" si="23"/>
        <v>-0.74358974358974361</v>
      </c>
    </row>
    <row r="53" spans="1:26" s="27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523.76</v>
      </c>
      <c r="Q53" s="1"/>
      <c r="R53" s="5">
        <f t="shared" si="20"/>
        <v>0</v>
      </c>
      <c r="S53" s="1"/>
      <c r="T53" s="1">
        <f>SUM(OSRRefT22_8x_0)</f>
        <v>520</v>
      </c>
      <c r="U53" s="1"/>
      <c r="V53" s="5">
        <f t="shared" si="21"/>
        <v>0</v>
      </c>
      <c r="W53" s="1"/>
      <c r="X53" s="1">
        <f t="shared" si="22"/>
        <v>3.7599999999999909</v>
      </c>
      <c r="Y53" s="1"/>
      <c r="Z53" s="5">
        <f t="shared" si="23"/>
        <v>7.2307692307692134E-3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523.76</v>
      </c>
      <c r="Q54" s="2"/>
      <c r="R54" s="7">
        <f t="shared" si="20"/>
        <v>0</v>
      </c>
      <c r="S54" s="2"/>
      <c r="T54" s="6">
        <v>520</v>
      </c>
      <c r="U54" s="2"/>
      <c r="V54" s="7">
        <f t="shared" si="21"/>
        <v>0</v>
      </c>
      <c r="W54" s="2"/>
      <c r="X54" s="6">
        <f t="shared" si="22"/>
        <v>3.7599999999999909</v>
      </c>
      <c r="Y54" s="2"/>
      <c r="Z54" s="7">
        <f t="shared" si="23"/>
        <v>7.2307692307692134E-3</v>
      </c>
    </row>
    <row r="55" spans="1:26" s="27" customFormat="1" outlineLevel="1" collapsed="1" x14ac:dyDescent="0.25">
      <c r="A55" s="26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2077.5300000000002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1244.5300000000002</v>
      </c>
      <c r="M55" s="1"/>
      <c r="N55" s="5">
        <f t="shared" si="19"/>
        <v>1.4940336134453784</v>
      </c>
      <c r="O55" s="13"/>
      <c r="P55" s="1">
        <f>SUM(OSRRefP22_9x_0)</f>
        <v>57433.520000000004</v>
      </c>
      <c r="Q55" s="1"/>
      <c r="R55" s="5">
        <f t="shared" si="20"/>
        <v>0</v>
      </c>
      <c r="S55" s="1"/>
      <c r="T55" s="1">
        <f>SUM(OSRRefT22_9x_0)</f>
        <v>38664</v>
      </c>
      <c r="U55" s="1"/>
      <c r="V55" s="5">
        <f t="shared" si="21"/>
        <v>0</v>
      </c>
      <c r="W55" s="1"/>
      <c r="X55" s="1">
        <f t="shared" si="22"/>
        <v>18769.520000000004</v>
      </c>
      <c r="Y55" s="1"/>
      <c r="Z55" s="5">
        <f t="shared" si="23"/>
        <v>0.48545210014483769</v>
      </c>
    </row>
    <row r="56" spans="1:26" s="24" customFormat="1" hidden="1" outlineLevel="2" x14ac:dyDescent="0.25">
      <c r="A56" s="25"/>
      <c r="B56" s="11" t="str">
        <f>CONCATENATE("          ", "6334", " - ", "LEGAL COUNCIL EXPENSE")</f>
        <v xml:space="preserve">          6334 - LEGAL COUNCIL EXPENSE</v>
      </c>
      <c r="C56" s="11"/>
      <c r="D56" s="6"/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-833</v>
      </c>
      <c r="M56" s="2"/>
      <c r="N56" s="7">
        <f t="shared" si="19"/>
        <v>-1</v>
      </c>
      <c r="O56" s="11"/>
      <c r="P56" s="6">
        <v>38010</v>
      </c>
      <c r="Q56" s="2"/>
      <c r="R56" s="7">
        <f t="shared" si="20"/>
        <v>0</v>
      </c>
      <c r="S56" s="2"/>
      <c r="T56" s="6">
        <v>6664</v>
      </c>
      <c r="U56" s="2"/>
      <c r="V56" s="7">
        <f t="shared" si="21"/>
        <v>0</v>
      </c>
      <c r="W56" s="2"/>
      <c r="X56" s="6">
        <f t="shared" si="22"/>
        <v>31346</v>
      </c>
      <c r="Y56" s="2"/>
      <c r="Z56" s="7">
        <f t="shared" si="23"/>
        <v>4.7037815126050422</v>
      </c>
    </row>
    <row r="57" spans="1:26" s="24" customFormat="1" hidden="1" outlineLevel="2" x14ac:dyDescent="0.25">
      <c r="A57" s="25"/>
      <c r="B57" s="11" t="str">
        <f>CONCATENATE("          ", "6336", " - ", "PROFESSIONAL SERVICES")</f>
        <v xml:space="preserve">          6336 - PROFESSIONAL SERVICES</v>
      </c>
      <c r="C57" s="11"/>
      <c r="D57" s="6">
        <v>2077.5300000000002</v>
      </c>
      <c r="E57" s="2"/>
      <c r="F57" s="7">
        <f t="shared" si="16"/>
        <v>0</v>
      </c>
      <c r="G57" s="2"/>
      <c r="H57" s="6"/>
      <c r="I57" s="2"/>
      <c r="J57" s="7">
        <f t="shared" si="17"/>
        <v>0</v>
      </c>
      <c r="K57" s="2"/>
      <c r="L57" s="6">
        <f t="shared" si="18"/>
        <v>2077.5300000000002</v>
      </c>
      <c r="M57" s="2"/>
      <c r="N57" s="7">
        <f t="shared" si="19"/>
        <v>0</v>
      </c>
      <c r="O57" s="11"/>
      <c r="P57" s="6">
        <v>19423.52</v>
      </c>
      <c r="Q57" s="2"/>
      <c r="R57" s="7">
        <f t="shared" si="20"/>
        <v>0</v>
      </c>
      <c r="S57" s="2"/>
      <c r="T57" s="6">
        <v>32000</v>
      </c>
      <c r="U57" s="2"/>
      <c r="V57" s="7">
        <f t="shared" si="21"/>
        <v>0</v>
      </c>
      <c r="W57" s="2"/>
      <c r="X57" s="6">
        <f t="shared" si="22"/>
        <v>-12576.48</v>
      </c>
      <c r="Y57" s="2"/>
      <c r="Z57" s="7">
        <f t="shared" si="23"/>
        <v>-0.393015</v>
      </c>
    </row>
    <row r="58" spans="1:26" s="27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20367.189999999999</v>
      </c>
      <c r="E58" s="1"/>
      <c r="F58" s="5">
        <f t="shared" ref="F58:F60" si="24">IF(D$12=0,0,D58/D$12)</f>
        <v>0</v>
      </c>
      <c r="G58" s="1"/>
      <c r="H58" s="1">
        <f>SUM(OSRRefH22_10x_0)</f>
        <v>12920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7447.1899999999987</v>
      </c>
      <c r="M58" s="1"/>
      <c r="N58" s="5">
        <f t="shared" ref="N58:N60" si="27">IF(H58=0,0,L58/H58)</f>
        <v>0.57640789473684195</v>
      </c>
      <c r="O58" s="13"/>
      <c r="P58" s="1">
        <f>SUM(OSRRefP22_10x_0)</f>
        <v>106304.12000000001</v>
      </c>
      <c r="Q58" s="1"/>
      <c r="R58" s="5">
        <f t="shared" ref="R58:R60" si="28">IF(P$12=0,0,P58/P$12)</f>
        <v>0</v>
      </c>
      <c r="S58" s="1"/>
      <c r="T58" s="1">
        <f>SUM(OSRRefT22_10x_0)</f>
        <v>90440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15864.12000000001</v>
      </c>
      <c r="Y58" s="1"/>
      <c r="Z58" s="5">
        <f t="shared" ref="Z58:Z60" si="31">IF(T58=0,0,X58/T58)</f>
        <v>0.17541043785935437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19956.439999999999</v>
      </c>
      <c r="E59" s="2"/>
      <c r="F59" s="7">
        <f t="shared" si="24"/>
        <v>0</v>
      </c>
      <c r="G59" s="2"/>
      <c r="H59" s="6">
        <v>12920</v>
      </c>
      <c r="I59" s="2"/>
      <c r="J59" s="7">
        <f t="shared" si="25"/>
        <v>0</v>
      </c>
      <c r="K59" s="2"/>
      <c r="L59" s="6">
        <f t="shared" si="26"/>
        <v>7036.4399999999987</v>
      </c>
      <c r="M59" s="2"/>
      <c r="N59" s="7">
        <f t="shared" si="27"/>
        <v>0.54461609907120734</v>
      </c>
      <c r="O59" s="11"/>
      <c r="P59" s="6">
        <v>105610.45000000001</v>
      </c>
      <c r="Q59" s="2"/>
      <c r="R59" s="7">
        <f t="shared" si="28"/>
        <v>0</v>
      </c>
      <c r="S59" s="2"/>
      <c r="T59" s="6">
        <v>90440</v>
      </c>
      <c r="U59" s="2"/>
      <c r="V59" s="7">
        <f t="shared" si="29"/>
        <v>0</v>
      </c>
      <c r="W59" s="2"/>
      <c r="X59" s="6">
        <f t="shared" si="30"/>
        <v>15170.450000000012</v>
      </c>
      <c r="Y59" s="2"/>
      <c r="Z59" s="7">
        <f t="shared" si="31"/>
        <v>0.16774049093321552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>
        <v>410.75</v>
      </c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410.75</v>
      </c>
      <c r="M60" s="2"/>
      <c r="N60" s="7">
        <f t="shared" si="27"/>
        <v>0</v>
      </c>
      <c r="O60" s="11"/>
      <c r="P60" s="6">
        <v>693.67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693.67</v>
      </c>
      <c r="Y60" s="2"/>
      <c r="Z60" s="7">
        <f t="shared" si="31"/>
        <v>0</v>
      </c>
    </row>
    <row r="61" spans="1:26" s="27" customFormat="1" outlineLevel="1" collapsed="1" x14ac:dyDescent="0.25">
      <c r="A61" s="26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0</v>
      </c>
      <c r="E61" s="1"/>
      <c r="F61" s="5">
        <f t="shared" ref="F61:F66" si="32">IF(D$12=0,0,D61/D$12)</f>
        <v>0</v>
      </c>
      <c r="G61" s="1"/>
      <c r="H61" s="1">
        <f>SUM(OSRRefH22_11x_0)</f>
        <v>0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0</v>
      </c>
      <c r="M61" s="1"/>
      <c r="N61" s="5">
        <f t="shared" ref="N61:N66" si="35">IF(H61=0,0,L61/H61)</f>
        <v>0</v>
      </c>
      <c r="O61" s="13"/>
      <c r="P61" s="1">
        <f>SUM(OSRRefP22_11x_0)</f>
        <v>587</v>
      </c>
      <c r="Q61" s="1"/>
      <c r="R61" s="5">
        <f t="shared" ref="R61:R66" si="36">IF(P$12=0,0,P61/P$12)</f>
        <v>0</v>
      </c>
      <c r="S61" s="1"/>
      <c r="T61" s="1">
        <f>SUM(OSRRefT22_11x_0)</f>
        <v>627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-40</v>
      </c>
      <c r="Y61" s="1"/>
      <c r="Z61" s="5">
        <f t="shared" ref="Z61:Z66" si="39">IF(T61=0,0,X61/T61)</f>
        <v>-6.3795853269537475E-2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587</v>
      </c>
      <c r="Q62" s="2"/>
      <c r="R62" s="7">
        <f t="shared" si="36"/>
        <v>0</v>
      </c>
      <c r="S62" s="2"/>
      <c r="T62" s="6">
        <v>627</v>
      </c>
      <c r="U62" s="2"/>
      <c r="V62" s="7">
        <f t="shared" si="37"/>
        <v>0</v>
      </c>
      <c r="W62" s="2"/>
      <c r="X62" s="6">
        <f t="shared" si="38"/>
        <v>-40</v>
      </c>
      <c r="Y62" s="2"/>
      <c r="Z62" s="7">
        <f t="shared" si="39"/>
        <v>-6.3795853269537475E-2</v>
      </c>
    </row>
    <row r="63" spans="1:26" s="27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1038.1199999999999</v>
      </c>
      <c r="E63" s="1"/>
      <c r="F63" s="5">
        <f t="shared" si="32"/>
        <v>0</v>
      </c>
      <c r="G63" s="1"/>
      <c r="H63" s="1">
        <f>SUM(OSRRefH22_12x_0)</f>
        <v>567</v>
      </c>
      <c r="I63" s="1"/>
      <c r="J63" s="5">
        <f t="shared" si="33"/>
        <v>0</v>
      </c>
      <c r="K63" s="1"/>
      <c r="L63" s="1">
        <f t="shared" si="34"/>
        <v>471.11999999999989</v>
      </c>
      <c r="M63" s="1"/>
      <c r="N63" s="5">
        <f t="shared" si="35"/>
        <v>0.83089947089947069</v>
      </c>
      <c r="O63" s="13"/>
      <c r="P63" s="1">
        <f>SUM(OSRRefP22_12x_0)</f>
        <v>15991.61</v>
      </c>
      <c r="Q63" s="1"/>
      <c r="R63" s="5">
        <f t="shared" si="36"/>
        <v>0</v>
      </c>
      <c r="S63" s="1"/>
      <c r="T63" s="1">
        <f>SUM(OSRRefT22_12x_0)</f>
        <v>13886</v>
      </c>
      <c r="U63" s="1"/>
      <c r="V63" s="5">
        <f t="shared" si="37"/>
        <v>0</v>
      </c>
      <c r="W63" s="1"/>
      <c r="X63" s="1">
        <f t="shared" si="38"/>
        <v>2105.6100000000006</v>
      </c>
      <c r="Y63" s="1"/>
      <c r="Z63" s="5">
        <f t="shared" si="39"/>
        <v>0.15163546017571658</v>
      </c>
    </row>
    <row r="64" spans="1:26" s="24" customFormat="1" hidden="1" outlineLevel="2" x14ac:dyDescent="0.25">
      <c r="A64" s="25"/>
      <c r="B64" s="11" t="str">
        <f>CONCATENATE("          ", "6241", " - ", "OFFICE EXPENSE")</f>
        <v xml:space="preserve">          6241 - OFFICE EXPENSE</v>
      </c>
      <c r="C64" s="11"/>
      <c r="D64" s="6">
        <v>831.26</v>
      </c>
      <c r="E64" s="2"/>
      <c r="F64" s="7">
        <f t="shared" si="32"/>
        <v>0</v>
      </c>
      <c r="G64" s="2"/>
      <c r="H64" s="6">
        <v>150</v>
      </c>
      <c r="I64" s="2"/>
      <c r="J64" s="7">
        <f t="shared" si="33"/>
        <v>0</v>
      </c>
      <c r="K64" s="2"/>
      <c r="L64" s="6">
        <f t="shared" si="34"/>
        <v>681.26</v>
      </c>
      <c r="M64" s="2"/>
      <c r="N64" s="7">
        <f t="shared" si="35"/>
        <v>4.5417333333333332</v>
      </c>
      <c r="O64" s="11"/>
      <c r="P64" s="6">
        <v>11780.62</v>
      </c>
      <c r="Q64" s="2"/>
      <c r="R64" s="7">
        <f t="shared" si="36"/>
        <v>0</v>
      </c>
      <c r="S64" s="2"/>
      <c r="T64" s="6">
        <v>10550</v>
      </c>
      <c r="U64" s="2"/>
      <c r="V64" s="7">
        <f t="shared" si="37"/>
        <v>0</v>
      </c>
      <c r="W64" s="2"/>
      <c r="X64" s="6">
        <f t="shared" si="38"/>
        <v>1230.6200000000008</v>
      </c>
      <c r="Y64" s="2"/>
      <c r="Z64" s="7">
        <f t="shared" si="39"/>
        <v>0.11664644549763041</v>
      </c>
    </row>
    <row r="65" spans="1:26" s="24" customFormat="1" hidden="1" outlineLevel="2" x14ac:dyDescent="0.25">
      <c r="A65" s="25"/>
      <c r="B65" s="11" t="str">
        <f>CONCATENATE("          ", "6244", " - ", "SAFETY SUPPLY EXPENSE")</f>
        <v xml:space="preserve">          6244 - SAFETY SUPPLY EXPENSE</v>
      </c>
      <c r="C65" s="11"/>
      <c r="D65" s="6">
        <v>175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-242</v>
      </c>
      <c r="M65" s="2"/>
      <c r="N65" s="7">
        <f t="shared" si="35"/>
        <v>-0.58033573141486805</v>
      </c>
      <c r="O65" s="11"/>
      <c r="P65" s="6">
        <v>2007.33</v>
      </c>
      <c r="Q65" s="2"/>
      <c r="R65" s="7">
        <f t="shared" si="36"/>
        <v>0</v>
      </c>
      <c r="S65" s="2"/>
      <c r="T65" s="6">
        <v>3336</v>
      </c>
      <c r="U65" s="2"/>
      <c r="V65" s="7">
        <f t="shared" si="37"/>
        <v>0</v>
      </c>
      <c r="W65" s="2"/>
      <c r="X65" s="6">
        <f t="shared" si="38"/>
        <v>-1328.67</v>
      </c>
      <c r="Y65" s="2"/>
      <c r="Z65" s="7">
        <f t="shared" si="39"/>
        <v>-0.39828237410071943</v>
      </c>
    </row>
    <row r="66" spans="1:26" s="24" customFormat="1" hidden="1" outlineLevel="2" x14ac:dyDescent="0.25">
      <c r="A66" s="25"/>
      <c r="B66" s="11" t="str">
        <f>CONCATENATE("          ", "6245", " - ", "PRINTING")</f>
        <v xml:space="preserve">          6245 - PRINTING</v>
      </c>
      <c r="C66" s="11"/>
      <c r="D66" s="6">
        <v>31.86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31.86</v>
      </c>
      <c r="M66" s="2"/>
      <c r="N66" s="7">
        <f t="shared" si="35"/>
        <v>0</v>
      </c>
      <c r="O66" s="11"/>
      <c r="P66" s="6">
        <v>2203.66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2203.66</v>
      </c>
      <c r="Y66" s="2"/>
      <c r="Z66" s="7">
        <f t="shared" si="39"/>
        <v>0</v>
      </c>
    </row>
    <row r="67" spans="1:26" s="27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334.75</v>
      </c>
      <c r="E67" s="1"/>
      <c r="F67" s="5">
        <f t="shared" ref="F67:F72" si="40">IF(D$12=0,0,D67/D$12)</f>
        <v>0</v>
      </c>
      <c r="G67" s="1"/>
      <c r="H67" s="1">
        <f>SUM(OSRRefH22_13x_0)</f>
        <v>290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44.75</v>
      </c>
      <c r="M67" s="1"/>
      <c r="N67" s="5">
        <f t="shared" ref="N67:N72" si="43">IF(H67=0,0,L67/H67)</f>
        <v>0.15431034482758621</v>
      </c>
      <c r="O67" s="13"/>
      <c r="P67" s="1">
        <f>SUM(OSRRefP22_13x_0)</f>
        <v>2612.9</v>
      </c>
      <c r="Q67" s="1"/>
      <c r="R67" s="5">
        <f t="shared" ref="R67:R72" si="44">IF(P$12=0,0,P67/P$12)</f>
        <v>0</v>
      </c>
      <c r="S67" s="1"/>
      <c r="T67" s="1">
        <f>SUM(OSRRefT22_13x_0)</f>
        <v>2320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292.90000000000009</v>
      </c>
      <c r="Y67" s="1"/>
      <c r="Z67" s="5">
        <f t="shared" ref="Z67:Z72" si="47">IF(T67=0,0,X67/T67)</f>
        <v>0.12625000000000003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6">
        <v>334.75</v>
      </c>
      <c r="E68" s="2"/>
      <c r="F68" s="7">
        <f t="shared" si="40"/>
        <v>0</v>
      </c>
      <c r="G68" s="2"/>
      <c r="H68" s="6">
        <v>290</v>
      </c>
      <c r="I68" s="2"/>
      <c r="J68" s="7">
        <f t="shared" si="41"/>
        <v>0</v>
      </c>
      <c r="K68" s="2"/>
      <c r="L68" s="6">
        <f t="shared" si="42"/>
        <v>44.75</v>
      </c>
      <c r="M68" s="2"/>
      <c r="N68" s="7">
        <f t="shared" si="43"/>
        <v>0.15431034482758621</v>
      </c>
      <c r="O68" s="11"/>
      <c r="P68" s="6">
        <v>2612.9</v>
      </c>
      <c r="Q68" s="2"/>
      <c r="R68" s="7">
        <f t="shared" si="44"/>
        <v>0</v>
      </c>
      <c r="S68" s="2"/>
      <c r="T68" s="6">
        <v>2320</v>
      </c>
      <c r="U68" s="2"/>
      <c r="V68" s="7">
        <f t="shared" si="45"/>
        <v>0</v>
      </c>
      <c r="W68" s="2"/>
      <c r="X68" s="6">
        <f t="shared" si="46"/>
        <v>292.90000000000009</v>
      </c>
      <c r="Y68" s="2"/>
      <c r="Z68" s="7">
        <f t="shared" si="47"/>
        <v>0.12625000000000003</v>
      </c>
    </row>
    <row r="69" spans="1:26" s="27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248.01</v>
      </c>
      <c r="E69" s="1"/>
      <c r="F69" s="5">
        <f t="shared" si="40"/>
        <v>0</v>
      </c>
      <c r="G69" s="1"/>
      <c r="H69" s="1">
        <f>SUM(OSRRefH22_14x_0)</f>
        <v>0</v>
      </c>
      <c r="I69" s="1"/>
      <c r="J69" s="5">
        <f t="shared" si="41"/>
        <v>0</v>
      </c>
      <c r="K69" s="1"/>
      <c r="L69" s="1">
        <f t="shared" si="42"/>
        <v>248.01</v>
      </c>
      <c r="M69" s="1"/>
      <c r="N69" s="5">
        <f t="shared" si="43"/>
        <v>0</v>
      </c>
      <c r="O69" s="13"/>
      <c r="P69" s="1">
        <f>SUM(OSRRefP22_14x_0)</f>
        <v>9032.7999999999993</v>
      </c>
      <c r="Q69" s="1"/>
      <c r="R69" s="5">
        <f t="shared" si="44"/>
        <v>0</v>
      </c>
      <c r="S69" s="1"/>
      <c r="T69" s="1">
        <f>SUM(OSRRefT22_14x_0)</f>
        <v>8000</v>
      </c>
      <c r="U69" s="1"/>
      <c r="V69" s="5">
        <f t="shared" si="45"/>
        <v>0</v>
      </c>
      <c r="W69" s="1"/>
      <c r="X69" s="1">
        <f t="shared" si="46"/>
        <v>1032.7999999999993</v>
      </c>
      <c r="Y69" s="1"/>
      <c r="Z69" s="5">
        <f t="shared" si="47"/>
        <v>0.12909999999999991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6">
        <v>248.01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248.01</v>
      </c>
      <c r="M70" s="2"/>
      <c r="N70" s="7">
        <f t="shared" si="43"/>
        <v>0</v>
      </c>
      <c r="O70" s="11"/>
      <c r="P70" s="6">
        <v>9032.7999999999993</v>
      </c>
      <c r="Q70" s="2"/>
      <c r="R70" s="7">
        <f t="shared" si="44"/>
        <v>0</v>
      </c>
      <c r="S70" s="2"/>
      <c r="T70" s="6">
        <v>8000</v>
      </c>
      <c r="U70" s="2"/>
      <c r="V70" s="7">
        <f t="shared" si="45"/>
        <v>0</v>
      </c>
      <c r="W70" s="2"/>
      <c r="X70" s="6">
        <f t="shared" si="46"/>
        <v>1032.7999999999993</v>
      </c>
      <c r="Y70" s="2"/>
      <c r="Z70" s="7">
        <f t="shared" si="47"/>
        <v>0.12909999999999991</v>
      </c>
    </row>
    <row r="71" spans="1:26" s="27" customFormat="1" outlineLevel="1" collapsed="1" x14ac:dyDescent="0.25">
      <c r="A71" s="26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SUM(OSRRefD22_15x_0)</f>
        <v>0</v>
      </c>
      <c r="E71" s="1"/>
      <c r="F71" s="5">
        <f t="shared" si="40"/>
        <v>0</v>
      </c>
      <c r="G71" s="1"/>
      <c r="H71" s="1">
        <f>SUM(OSRRefH22_15x_0)</f>
        <v>0</v>
      </c>
      <c r="I71" s="1"/>
      <c r="J71" s="5">
        <f t="shared" si="41"/>
        <v>0</v>
      </c>
      <c r="K71" s="1"/>
      <c r="L71" s="1">
        <f t="shared" si="42"/>
        <v>0</v>
      </c>
      <c r="M71" s="1"/>
      <c r="N71" s="5">
        <f t="shared" si="43"/>
        <v>0</v>
      </c>
      <c r="O71" s="13"/>
      <c r="P71" s="1">
        <f>SUM(OSRRefP22_15x_0)</f>
        <v>3487.01</v>
      </c>
      <c r="Q71" s="1"/>
      <c r="R71" s="5">
        <f t="shared" si="44"/>
        <v>0</v>
      </c>
      <c r="S71" s="1"/>
      <c r="T71" s="1">
        <f>SUM(OSRRefT22_15x_0)</f>
        <v>4879</v>
      </c>
      <c r="U71" s="1"/>
      <c r="V71" s="5">
        <f t="shared" si="45"/>
        <v>0</v>
      </c>
      <c r="W71" s="1"/>
      <c r="X71" s="1">
        <f t="shared" si="46"/>
        <v>-1391.9899999999998</v>
      </c>
      <c r="Y71" s="1"/>
      <c r="Z71" s="5">
        <f t="shared" si="47"/>
        <v>-0.28530231604837053</v>
      </c>
    </row>
    <row r="72" spans="1:26" s="24" customFormat="1" hidden="1" outlineLevel="2" x14ac:dyDescent="0.25">
      <c r="A72" s="25"/>
      <c r="B72" s="11" t="str">
        <f>CONCATENATE("          ", "6292", " - ", "TRAVEL/CONFERENCE")</f>
        <v xml:space="preserve">          6292 - TRAVEL/CONFERENCE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3487.01</v>
      </c>
      <c r="Q72" s="2"/>
      <c r="R72" s="7">
        <f t="shared" si="44"/>
        <v>0</v>
      </c>
      <c r="S72" s="2"/>
      <c r="T72" s="6">
        <v>4879</v>
      </c>
      <c r="U72" s="2"/>
      <c r="V72" s="7">
        <f t="shared" si="45"/>
        <v>0</v>
      </c>
      <c r="W72" s="2"/>
      <c r="X72" s="6">
        <f t="shared" si="46"/>
        <v>-1391.9899999999998</v>
      </c>
      <c r="Y72" s="2"/>
      <c r="Z72" s="7">
        <f t="shared" si="47"/>
        <v>-0.28530231604837053</v>
      </c>
    </row>
    <row r="73" spans="1:26" s="5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1">
        <f>+D16-D18+D74</f>
        <v>-69845.759999999995</v>
      </c>
      <c r="E76" s="14"/>
      <c r="F76" s="22">
        <f>IF(D$12=0,0,D76/D$12)</f>
        <v>0</v>
      </c>
      <c r="G76" s="14"/>
      <c r="H76" s="21">
        <f>+H16-H18+H74</f>
        <v>-54439.426544015376</v>
      </c>
      <c r="I76" s="14"/>
      <c r="J76" s="22">
        <f>IF(H$12=0,0,H76/H$12)</f>
        <v>0</v>
      </c>
      <c r="K76" s="15"/>
      <c r="L76" s="21">
        <f>+D76-H76</f>
        <v>-15406.333455984619</v>
      </c>
      <c r="M76" s="15"/>
      <c r="N76" s="22">
        <f>IF(H76=0,0,L76/H76)</f>
        <v>0.28299955444108671</v>
      </c>
      <c r="O76" s="29"/>
      <c r="P76" s="21">
        <f>+P16-P18+P74</f>
        <v>-543997.05000000005</v>
      </c>
      <c r="Q76" s="14"/>
      <c r="R76" s="22">
        <f>IF(P$12=0,0,P76/P$12)</f>
        <v>0</v>
      </c>
      <c r="S76" s="14"/>
      <c r="T76" s="21">
        <f>+T16-T18+T74</f>
        <v>-488642.27062248765</v>
      </c>
      <c r="U76" s="14"/>
      <c r="V76" s="22">
        <f>IF(T$12=0,0,T76/T$12)</f>
        <v>0</v>
      </c>
      <c r="W76" s="15"/>
      <c r="X76" s="21">
        <f>+P76-T76</f>
        <v>-55354.779377512401</v>
      </c>
      <c r="Y76" s="15"/>
      <c r="Z76" s="22">
        <f>IF(T76=0,0,X76/T76)</f>
        <v>0.11328283021236628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1">
        <f>+D76-D78</f>
        <v>-69845.759999999995</v>
      </c>
      <c r="E80" s="14"/>
      <c r="F80" s="32">
        <f>IF(D$12=0,0,D80/D$12)</f>
        <v>0</v>
      </c>
      <c r="G80" s="14"/>
      <c r="H80" s="31">
        <f>+H76-H78</f>
        <v>-54439.426544015376</v>
      </c>
      <c r="I80" s="14"/>
      <c r="J80" s="32">
        <f>IF(H$12=0,0,H80/H$12)</f>
        <v>0</v>
      </c>
      <c r="K80" s="15"/>
      <c r="L80" s="31">
        <f>D80-H80</f>
        <v>-15406.333455984619</v>
      </c>
      <c r="M80" s="15"/>
      <c r="N80" s="32">
        <f>IF(H80=0,0,L80/H80)</f>
        <v>0.28299955444108671</v>
      </c>
      <c r="O80" s="29"/>
      <c r="P80" s="31">
        <f>+P76-P78</f>
        <v>-543997.05000000005</v>
      </c>
      <c r="Q80" s="14"/>
      <c r="R80" s="32">
        <f>IF(P$12=0,0,P80/P$12)</f>
        <v>0</v>
      </c>
      <c r="S80" s="14"/>
      <c r="T80" s="31">
        <f>+T76-T78</f>
        <v>-488642.27062248765</v>
      </c>
      <c r="U80" s="14"/>
      <c r="V80" s="32">
        <f>IF(T$12=0,0,T80/T$12)</f>
        <v>0</v>
      </c>
      <c r="W80" s="15"/>
      <c r="X80" s="31">
        <f>P80-T80</f>
        <v>-55354.779377512401</v>
      </c>
      <c r="Y80" s="15"/>
      <c r="Z80" s="32">
        <f>IF(T80=0,0,X80/T80)</f>
        <v>0.11328283021236628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3">
        <f>SUM(D80:D82)</f>
        <v>-69845.759999999995</v>
      </c>
      <c r="E83" s="14"/>
      <c r="F83" s="30">
        <f>IF(D$12=0,0,D83/D$12)</f>
        <v>0</v>
      </c>
      <c r="G83" s="14"/>
      <c r="H83" s="33">
        <f>SUM(H80:H82)</f>
        <v>-54439.426544015376</v>
      </c>
      <c r="I83" s="14"/>
      <c r="J83" s="30">
        <f>IF(H$12=0,0,H83/H$12)</f>
        <v>0</v>
      </c>
      <c r="K83" s="15"/>
      <c r="L83" s="33">
        <f>+D83-H83</f>
        <v>-15406.333455984619</v>
      </c>
      <c r="M83" s="15"/>
      <c r="N83" s="30">
        <f>IF(H83=0,0,L83/H83)</f>
        <v>0.28299955444108671</v>
      </c>
      <c r="O83" s="29"/>
      <c r="P83" s="33">
        <f>SUM(P80:P82)</f>
        <v>-543997.05000000005</v>
      </c>
      <c r="Q83" s="14"/>
      <c r="R83" s="30">
        <f>IF(P$12=0,0,P83/P$12)</f>
        <v>0</v>
      </c>
      <c r="S83" s="14"/>
      <c r="T83" s="33">
        <f>SUM(T80:T82)</f>
        <v>-488642.27062248765</v>
      </c>
      <c r="U83" s="14"/>
      <c r="V83" s="30">
        <f>IF(T$12=0,0,T83/T$12)</f>
        <v>0</v>
      </c>
      <c r="W83" s="15"/>
      <c r="X83" s="33">
        <f>+P83-T83</f>
        <v>-55354.779377512401</v>
      </c>
      <c r="Y83" s="15"/>
      <c r="Z83" s="30">
        <f>IF(T83=0,0,X83/T83)</f>
        <v>0.11328283021236628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9">
        <v>43908.494404398145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3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7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0</v>
      </c>
      <c r="E17" s="14"/>
      <c r="F17" s="22">
        <f>IF(D$12=0,0,D17/D$12)</f>
        <v>0</v>
      </c>
      <c r="G17" s="14"/>
      <c r="H17" s="21">
        <f>H12-H15</f>
        <v>0</v>
      </c>
      <c r="I17" s="14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9"/>
      <c r="P17" s="21">
        <f>P12-P15</f>
        <v>0</v>
      </c>
      <c r="Q17" s="14"/>
      <c r="R17" s="22">
        <f>IF(P$12=0,0,P17/P$12)</f>
        <v>0</v>
      </c>
      <c r="S17" s="14"/>
      <c r="T17" s="21">
        <f>T12-T15</f>
        <v>200</v>
      </c>
      <c r="U17" s="14"/>
      <c r="V17" s="22">
        <f>IF(T$12=0,0,T17/T$12)</f>
        <v>1</v>
      </c>
      <c r="W17" s="15"/>
      <c r="X17" s="21">
        <f>+P17-T17</f>
        <v>-200</v>
      </c>
      <c r="Y17" s="15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56736.340000000004</v>
      </c>
      <c r="E19" s="20"/>
      <c r="F19" s="34">
        <f t="shared" ref="F19:F30" si="4">IF(D$12=0,0,D19/D$12)</f>
        <v>0</v>
      </c>
      <c r="G19" s="20"/>
      <c r="H19" s="20">
        <f>SUM(OSRRefH22x_0)</f>
        <v>63550.765232076883</v>
      </c>
      <c r="I19" s="20"/>
      <c r="J19" s="34">
        <f t="shared" ref="J19:J30" si="5">IF(H$12=0,0,H19/H$12)</f>
        <v>0</v>
      </c>
      <c r="K19" s="4"/>
      <c r="L19" s="20">
        <f t="shared" ref="L19:L30" si="6">+D19-H19</f>
        <v>-6814.4252320768792</v>
      </c>
      <c r="M19" s="4"/>
      <c r="N19" s="34">
        <f t="shared" ref="N19:N30" si="7">IF(H19=0,0,L19/H19)</f>
        <v>-0.10722805944494493</v>
      </c>
      <c r="O19" s="10"/>
      <c r="P19" s="20">
        <f>SUM(OSRRefP22x_0)</f>
        <v>481561.76999999996</v>
      </c>
      <c r="Q19" s="20"/>
      <c r="R19" s="34">
        <f t="shared" ref="R19:R30" si="8">IF(P$12=0,0,P19/P$12)</f>
        <v>0</v>
      </c>
      <c r="S19" s="20"/>
      <c r="T19" s="20">
        <f>SUM(OSRRefT22x_0)</f>
        <v>537211.999634846</v>
      </c>
      <c r="U19" s="20"/>
      <c r="V19" s="34">
        <f t="shared" ref="V19:V30" si="9">IF(T$12=0,0,T19/T$12)</f>
        <v>2686.0599981742298</v>
      </c>
      <c r="W19" s="4"/>
      <c r="X19" s="20">
        <f t="shared" ref="X19:X30" si="10">+P19-T19</f>
        <v>-55650.229634846037</v>
      </c>
      <c r="Y19" s="4"/>
      <c r="Z19" s="34">
        <f t="shared" ref="Z19:Z30" si="11">IF(T19=0,0,X19/T19)</f>
        <v>-0.10359081642381897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12348.060000000001</v>
      </c>
      <c r="E20" s="1"/>
      <c r="F20" s="5">
        <f t="shared" si="4"/>
        <v>0</v>
      </c>
      <c r="G20" s="1"/>
      <c r="H20" s="1">
        <f>SUM(OSRRefH22_0x_0)</f>
        <v>13849.540693615387</v>
      </c>
      <c r="I20" s="1"/>
      <c r="J20" s="5">
        <f t="shared" si="5"/>
        <v>0</v>
      </c>
      <c r="K20" s="1"/>
      <c r="L20" s="1">
        <f t="shared" si="6"/>
        <v>-1501.4806936153855</v>
      </c>
      <c r="M20" s="1"/>
      <c r="N20" s="5">
        <f t="shared" si="7"/>
        <v>-0.10841375369997398</v>
      </c>
      <c r="O20" s="13"/>
      <c r="P20" s="1">
        <f>SUM(OSRRefP22_0x_0)</f>
        <v>103928.8</v>
      </c>
      <c r="Q20" s="1"/>
      <c r="R20" s="5">
        <f t="shared" si="8"/>
        <v>0</v>
      </c>
      <c r="S20" s="1"/>
      <c r="T20" s="1">
        <f>SUM(OSRRefT22_0x_0)</f>
        <v>118473.59417330776</v>
      </c>
      <c r="U20" s="1"/>
      <c r="V20" s="5">
        <f t="shared" si="9"/>
        <v>592.36797086653883</v>
      </c>
      <c r="W20" s="1"/>
      <c r="X20" s="1">
        <f t="shared" si="10"/>
        <v>-14544.794173307761</v>
      </c>
      <c r="Y20" s="1"/>
      <c r="Z20" s="5">
        <f t="shared" si="11"/>
        <v>-0.12276823603436114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1925.88</v>
      </c>
      <c r="E21" s="2"/>
      <c r="F21" s="7">
        <f t="shared" si="4"/>
        <v>0</v>
      </c>
      <c r="G21" s="2"/>
      <c r="H21" s="6">
        <v>2309.1979705384601</v>
      </c>
      <c r="I21" s="2"/>
      <c r="J21" s="7">
        <f t="shared" si="5"/>
        <v>0</v>
      </c>
      <c r="K21" s="2"/>
      <c r="L21" s="6">
        <f t="shared" si="6"/>
        <v>-383.31797053846003</v>
      </c>
      <c r="M21" s="2"/>
      <c r="N21" s="7">
        <f t="shared" si="7"/>
        <v>-0.16599614906515692</v>
      </c>
      <c r="O21" s="11"/>
      <c r="P21" s="6">
        <v>16954.34</v>
      </c>
      <c r="Q21" s="2"/>
      <c r="R21" s="7">
        <f t="shared" si="8"/>
        <v>0</v>
      </c>
      <c r="S21" s="2"/>
      <c r="T21" s="6">
        <v>20125.03581946154</v>
      </c>
      <c r="U21" s="2"/>
      <c r="V21" s="7">
        <f t="shared" si="9"/>
        <v>100.62517909730769</v>
      </c>
      <c r="W21" s="2"/>
      <c r="X21" s="6">
        <f t="shared" si="10"/>
        <v>-3170.6958194615399</v>
      </c>
      <c r="Y21" s="2"/>
      <c r="Z21" s="7">
        <f t="shared" si="11"/>
        <v>-0.15754982241548995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94.78</v>
      </c>
      <c r="E22" s="2"/>
      <c r="F22" s="7">
        <f t="shared" si="4"/>
        <v>0</v>
      </c>
      <c r="G22" s="2"/>
      <c r="H22" s="6">
        <v>102.590789230769</v>
      </c>
      <c r="I22" s="2"/>
      <c r="J22" s="7">
        <f t="shared" si="5"/>
        <v>0</v>
      </c>
      <c r="K22" s="2"/>
      <c r="L22" s="6">
        <f t="shared" si="6"/>
        <v>-7.8107892307690037</v>
      </c>
      <c r="M22" s="2"/>
      <c r="N22" s="7">
        <f t="shared" si="7"/>
        <v>-7.613538495350998E-2</v>
      </c>
      <c r="O22" s="11"/>
      <c r="P22" s="6">
        <v>645.47</v>
      </c>
      <c r="Q22" s="2"/>
      <c r="R22" s="7">
        <f t="shared" si="8"/>
        <v>0</v>
      </c>
      <c r="S22" s="2"/>
      <c r="T22" s="6">
        <v>907.42341076923094</v>
      </c>
      <c r="U22" s="2"/>
      <c r="V22" s="7">
        <f t="shared" si="9"/>
        <v>4.5371170538461545</v>
      </c>
      <c r="W22" s="2"/>
      <c r="X22" s="6">
        <f t="shared" si="10"/>
        <v>-261.95341076923091</v>
      </c>
      <c r="Y22" s="2"/>
      <c r="Z22" s="7">
        <f t="shared" si="11"/>
        <v>-0.28867825941053327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5567.87</v>
      </c>
      <c r="E23" s="2"/>
      <c r="F23" s="7">
        <f t="shared" si="4"/>
        <v>0</v>
      </c>
      <c r="G23" s="2"/>
      <c r="H23" s="6">
        <v>7007.1923076923094</v>
      </c>
      <c r="I23" s="2"/>
      <c r="J23" s="7">
        <f t="shared" si="5"/>
        <v>0</v>
      </c>
      <c r="K23" s="2"/>
      <c r="L23" s="6">
        <f t="shared" si="6"/>
        <v>-1439.3223076923096</v>
      </c>
      <c r="M23" s="2"/>
      <c r="N23" s="7">
        <f t="shared" si="7"/>
        <v>-0.20540642307080109</v>
      </c>
      <c r="O23" s="11"/>
      <c r="P23" s="6">
        <v>42111.519999999997</v>
      </c>
      <c r="Q23" s="2"/>
      <c r="R23" s="7">
        <f t="shared" si="8"/>
        <v>0</v>
      </c>
      <c r="S23" s="2"/>
      <c r="T23" s="6">
        <v>58447.730769230788</v>
      </c>
      <c r="U23" s="2"/>
      <c r="V23" s="7">
        <f t="shared" si="9"/>
        <v>292.23865384615397</v>
      </c>
      <c r="W23" s="2"/>
      <c r="X23" s="6">
        <f t="shared" si="10"/>
        <v>-16336.210769230791</v>
      </c>
      <c r="Y23" s="2"/>
      <c r="Z23" s="7">
        <f t="shared" si="11"/>
        <v>-0.27950119798031275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72.48</v>
      </c>
      <c r="E24" s="2"/>
      <c r="F24" s="7">
        <f t="shared" si="4"/>
        <v>0</v>
      </c>
      <c r="G24" s="2"/>
      <c r="H24" s="6">
        <v>78.451779999999999</v>
      </c>
      <c r="I24" s="2"/>
      <c r="J24" s="7">
        <f t="shared" si="5"/>
        <v>0</v>
      </c>
      <c r="K24" s="2"/>
      <c r="L24" s="6">
        <f t="shared" si="6"/>
        <v>-5.9717799999999954</v>
      </c>
      <c r="M24" s="2"/>
      <c r="N24" s="7">
        <f t="shared" si="7"/>
        <v>-7.6120388855421703E-2</v>
      </c>
      <c r="O24" s="11"/>
      <c r="P24" s="6">
        <v>619.48</v>
      </c>
      <c r="Q24" s="2"/>
      <c r="R24" s="7">
        <f t="shared" si="8"/>
        <v>0</v>
      </c>
      <c r="S24" s="2"/>
      <c r="T24" s="6">
        <v>693.91201999999998</v>
      </c>
      <c r="U24" s="2"/>
      <c r="V24" s="7">
        <f t="shared" si="9"/>
        <v>3.4695600999999998</v>
      </c>
      <c r="W24" s="2"/>
      <c r="X24" s="6">
        <f t="shared" si="10"/>
        <v>-74.432019999999966</v>
      </c>
      <c r="Y24" s="2"/>
      <c r="Z24" s="7">
        <f t="shared" si="11"/>
        <v>-0.10726434743124924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1382.95</v>
      </c>
      <c r="E25" s="2"/>
      <c r="F25" s="7">
        <f t="shared" si="4"/>
        <v>0</v>
      </c>
      <c r="G25" s="2"/>
      <c r="H25" s="6">
        <v>1608.0676923076899</v>
      </c>
      <c r="I25" s="2"/>
      <c r="J25" s="7">
        <f t="shared" si="5"/>
        <v>0</v>
      </c>
      <c r="K25" s="2"/>
      <c r="L25" s="6">
        <f t="shared" si="6"/>
        <v>-225.11769230768982</v>
      </c>
      <c r="M25" s="2"/>
      <c r="N25" s="7">
        <f t="shared" si="7"/>
        <v>-0.13999267156759437</v>
      </c>
      <c r="O25" s="11"/>
      <c r="P25" s="6">
        <v>13188.53</v>
      </c>
      <c r="Q25" s="2"/>
      <c r="R25" s="7">
        <f t="shared" si="8"/>
        <v>0</v>
      </c>
      <c r="S25" s="2"/>
      <c r="T25" s="6">
        <v>14070.59230769231</v>
      </c>
      <c r="U25" s="2"/>
      <c r="V25" s="7">
        <f t="shared" si="9"/>
        <v>70.352961538461557</v>
      </c>
      <c r="W25" s="2"/>
      <c r="X25" s="6">
        <f t="shared" si="10"/>
        <v>-882.06230769230933</v>
      </c>
      <c r="Y25" s="2"/>
      <c r="Z25" s="7">
        <f t="shared" si="11"/>
        <v>-6.2688356566915168E-2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>
        <v>134</v>
      </c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134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6">
        <v>194.37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194.37</v>
      </c>
      <c r="M27" s="2"/>
      <c r="N27" s="7">
        <f t="shared" si="7"/>
        <v>0</v>
      </c>
      <c r="O27" s="11"/>
      <c r="P27" s="6">
        <v>3324.37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3324.37</v>
      </c>
      <c r="Y27" s="2"/>
      <c r="Z27" s="7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>
        <v>1455.62</v>
      </c>
      <c r="E28" s="2"/>
      <c r="F28" s="7">
        <f t="shared" si="4"/>
        <v>0</v>
      </c>
      <c r="G28" s="2"/>
      <c r="H28" s="6">
        <v>1313.44807692308</v>
      </c>
      <c r="I28" s="2"/>
      <c r="J28" s="7">
        <f t="shared" si="5"/>
        <v>0</v>
      </c>
      <c r="K28" s="2"/>
      <c r="L28" s="6">
        <f t="shared" si="6"/>
        <v>142.17192307691994</v>
      </c>
      <c r="M28" s="2"/>
      <c r="N28" s="7">
        <f t="shared" si="7"/>
        <v>0.10824327628540585</v>
      </c>
      <c r="O28" s="11"/>
      <c r="P28" s="6">
        <v>13064.7</v>
      </c>
      <c r="Q28" s="2"/>
      <c r="R28" s="7">
        <f t="shared" si="8"/>
        <v>0</v>
      </c>
      <c r="S28" s="2"/>
      <c r="T28" s="6">
        <v>11587.30192307695</v>
      </c>
      <c r="U28" s="2"/>
      <c r="V28" s="7">
        <f t="shared" si="9"/>
        <v>57.93650961538475</v>
      </c>
      <c r="W28" s="2"/>
      <c r="X28" s="6">
        <f t="shared" si="10"/>
        <v>1477.3980769230511</v>
      </c>
      <c r="Y28" s="2"/>
      <c r="Z28" s="7">
        <f t="shared" si="11"/>
        <v>0.12750147417671978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>
        <v>976.26</v>
      </c>
      <c r="E29" s="2"/>
      <c r="F29" s="7">
        <f t="shared" si="4"/>
        <v>0</v>
      </c>
      <c r="G29" s="2"/>
      <c r="H29" s="6">
        <v>1430.59207692308</v>
      </c>
      <c r="I29" s="2"/>
      <c r="J29" s="7">
        <f t="shared" si="5"/>
        <v>0</v>
      </c>
      <c r="K29" s="2"/>
      <c r="L29" s="6">
        <f t="shared" si="6"/>
        <v>-454.33207692307997</v>
      </c>
      <c r="M29" s="2"/>
      <c r="N29" s="7">
        <f t="shared" si="7"/>
        <v>-0.31758324700096074</v>
      </c>
      <c r="O29" s="11"/>
      <c r="P29" s="6">
        <v>8749.2800000000007</v>
      </c>
      <c r="Q29" s="2"/>
      <c r="R29" s="7">
        <f t="shared" si="8"/>
        <v>0</v>
      </c>
      <c r="S29" s="2"/>
      <c r="T29" s="6">
        <v>12641.59792307695</v>
      </c>
      <c r="U29" s="2"/>
      <c r="V29" s="7">
        <f t="shared" si="9"/>
        <v>63.207989615384747</v>
      </c>
      <c r="W29" s="2"/>
      <c r="X29" s="6">
        <f t="shared" si="10"/>
        <v>-3892.3179230769492</v>
      </c>
      <c r="Y29" s="2"/>
      <c r="Z29" s="7">
        <f t="shared" si="11"/>
        <v>-0.30789762075659843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677.85</v>
      </c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677.85</v>
      </c>
      <c r="M30" s="2"/>
      <c r="N30" s="7">
        <f t="shared" si="7"/>
        <v>0</v>
      </c>
      <c r="O30" s="11"/>
      <c r="P30" s="6">
        <v>5137.1099999999997</v>
      </c>
      <c r="Q30" s="2"/>
      <c r="R30" s="7">
        <f t="shared" si="8"/>
        <v>0</v>
      </c>
      <c r="S30" s="2"/>
      <c r="T30" s="6"/>
      <c r="U30" s="2"/>
      <c r="V30" s="7">
        <f t="shared" si="9"/>
        <v>0</v>
      </c>
      <c r="W30" s="2"/>
      <c r="X30" s="6">
        <f t="shared" si="10"/>
        <v>5137.1099999999997</v>
      </c>
      <c r="Y30" s="2"/>
      <c r="Z30" s="7">
        <f t="shared" si="11"/>
        <v>0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24234.480000000003</v>
      </c>
      <c r="E31" s="1"/>
      <c r="F31" s="5">
        <f t="shared" ref="F31:F41" si="12">IF(D$12=0,0,D31/D$12)</f>
        <v>0</v>
      </c>
      <c r="G31" s="1"/>
      <c r="H31" s="1">
        <f>SUM(OSRRefH22_1x_0)</f>
        <v>27920.224538461502</v>
      </c>
      <c r="I31" s="1"/>
      <c r="J31" s="5">
        <f t="shared" ref="J31:J41" si="13">IF(H$12=0,0,H31/H$12)</f>
        <v>0</v>
      </c>
      <c r="K31" s="1"/>
      <c r="L31" s="1">
        <f t="shared" ref="L31:L41" si="14">+D31-H31</f>
        <v>-3685.7445384614985</v>
      </c>
      <c r="M31" s="1"/>
      <c r="N31" s="5">
        <f t="shared" ref="N31:N41" si="15">IF(H31=0,0,L31/H31)</f>
        <v>-0.13200984588731374</v>
      </c>
      <c r="O31" s="13"/>
      <c r="P31" s="1">
        <f>SUM(OSRRefP22_1x_0)</f>
        <v>212111.23</v>
      </c>
      <c r="Q31" s="1"/>
      <c r="R31" s="5">
        <f t="shared" ref="R31:R41" si="16">IF(P$12=0,0,P31/P$12)</f>
        <v>0</v>
      </c>
      <c r="S31" s="1"/>
      <c r="T31" s="1">
        <f>SUM(OSRRefT22_1x_0)</f>
        <v>246607.4054615382</v>
      </c>
      <c r="U31" s="1"/>
      <c r="V31" s="5">
        <f t="shared" ref="V31:V41" si="17">IF(T$12=0,0,T31/T$12)</f>
        <v>1233.037027307691</v>
      </c>
      <c r="W31" s="1"/>
      <c r="X31" s="1">
        <f t="shared" ref="X31:X41" si="18">+P31-T31</f>
        <v>-34496.175461538194</v>
      </c>
      <c r="Y31" s="1"/>
      <c r="Z31" s="5">
        <f t="shared" ref="Z31:Z41" si="19">IF(T31=0,0,X31/T31)</f>
        <v>-0.13988296660019947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10659.8</v>
      </c>
      <c r="E33" s="2"/>
      <c r="F33" s="7">
        <f t="shared" si="12"/>
        <v>0</v>
      </c>
      <c r="G33" s="2"/>
      <c r="H33" s="6">
        <v>18698.461538461499</v>
      </c>
      <c r="I33" s="2"/>
      <c r="J33" s="7">
        <f t="shared" si="13"/>
        <v>0</v>
      </c>
      <c r="K33" s="2"/>
      <c r="L33" s="6">
        <f t="shared" si="14"/>
        <v>-8038.6615384614997</v>
      </c>
      <c r="M33" s="2"/>
      <c r="N33" s="7">
        <f t="shared" si="15"/>
        <v>-0.42991031759091541</v>
      </c>
      <c r="O33" s="11"/>
      <c r="P33" s="6">
        <v>99447.079999999987</v>
      </c>
      <c r="Q33" s="2"/>
      <c r="R33" s="7">
        <f t="shared" si="16"/>
        <v>0</v>
      </c>
      <c r="S33" s="2"/>
      <c r="T33" s="6">
        <v>163611.53846153821</v>
      </c>
      <c r="U33" s="2"/>
      <c r="V33" s="7">
        <f t="shared" si="17"/>
        <v>818.05769230769101</v>
      </c>
      <c r="W33" s="2"/>
      <c r="X33" s="6">
        <f t="shared" si="18"/>
        <v>-64164.458461538219</v>
      </c>
      <c r="Y33" s="2"/>
      <c r="Z33" s="7">
        <f t="shared" si="19"/>
        <v>-0.39217563177319548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6">
        <v>7416.91</v>
      </c>
      <c r="E35" s="2"/>
      <c r="F35" s="7">
        <f t="shared" si="12"/>
        <v>0</v>
      </c>
      <c r="G35" s="2"/>
      <c r="H35" s="6">
        <v>7541.7630000000008</v>
      </c>
      <c r="I35" s="2"/>
      <c r="J35" s="7">
        <f t="shared" si="13"/>
        <v>0</v>
      </c>
      <c r="K35" s="2"/>
      <c r="L35" s="6">
        <f t="shared" si="14"/>
        <v>-124.85300000000097</v>
      </c>
      <c r="M35" s="2"/>
      <c r="N35" s="7">
        <f t="shared" si="15"/>
        <v>-1.6554882459181092E-2</v>
      </c>
      <c r="O35" s="11"/>
      <c r="P35" s="6">
        <v>64258.439999999995</v>
      </c>
      <c r="Q35" s="2"/>
      <c r="R35" s="7">
        <f t="shared" si="16"/>
        <v>0</v>
      </c>
      <c r="S35" s="2"/>
      <c r="T35" s="6">
        <v>67875.866999999998</v>
      </c>
      <c r="U35" s="2"/>
      <c r="V35" s="7">
        <f t="shared" si="17"/>
        <v>339.37933499999997</v>
      </c>
      <c r="W35" s="2"/>
      <c r="X35" s="6">
        <f t="shared" si="18"/>
        <v>-3617.4270000000033</v>
      </c>
      <c r="Y35" s="2"/>
      <c r="Z35" s="7">
        <f t="shared" si="19"/>
        <v>-5.3294744654974399E-2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6">
        <v>3065.26</v>
      </c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3065.26</v>
      </c>
      <c r="M36" s="2"/>
      <c r="N36" s="7">
        <f t="shared" si="15"/>
        <v>0</v>
      </c>
      <c r="O36" s="11"/>
      <c r="P36" s="6">
        <v>20335.510000000002</v>
      </c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20335.510000000002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6">
        <v>3092.51</v>
      </c>
      <c r="E38" s="2"/>
      <c r="F38" s="7">
        <f t="shared" si="12"/>
        <v>0</v>
      </c>
      <c r="G38" s="2"/>
      <c r="H38" s="6">
        <v>1680</v>
      </c>
      <c r="I38" s="2"/>
      <c r="J38" s="7">
        <f t="shared" si="13"/>
        <v>0</v>
      </c>
      <c r="K38" s="2"/>
      <c r="L38" s="6">
        <f t="shared" si="14"/>
        <v>1412.5100000000002</v>
      </c>
      <c r="M38" s="2"/>
      <c r="N38" s="7">
        <f t="shared" si="15"/>
        <v>0.840779761904762</v>
      </c>
      <c r="O38" s="11"/>
      <c r="P38" s="6">
        <v>25550.2</v>
      </c>
      <c r="Q38" s="2"/>
      <c r="R38" s="7">
        <f t="shared" si="16"/>
        <v>0</v>
      </c>
      <c r="S38" s="2"/>
      <c r="T38" s="6">
        <v>11200</v>
      </c>
      <c r="U38" s="2"/>
      <c r="V38" s="7">
        <f t="shared" si="17"/>
        <v>56</v>
      </c>
      <c r="W38" s="2"/>
      <c r="X38" s="6">
        <f t="shared" si="18"/>
        <v>14350.2</v>
      </c>
      <c r="Y38" s="2"/>
      <c r="Z38" s="7">
        <f t="shared" si="19"/>
        <v>1.2812678571428573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>
        <v>2520</v>
      </c>
      <c r="Q39" s="2"/>
      <c r="R39" s="7">
        <f t="shared" si="16"/>
        <v>0</v>
      </c>
      <c r="S39" s="2"/>
      <c r="T39" s="6">
        <v>3920</v>
      </c>
      <c r="U39" s="2"/>
      <c r="V39" s="7">
        <f t="shared" si="17"/>
        <v>19.600000000000001</v>
      </c>
      <c r="W39" s="2"/>
      <c r="X39" s="6">
        <f t="shared" si="18"/>
        <v>-1400</v>
      </c>
      <c r="Y39" s="2"/>
      <c r="Z39" s="7">
        <f t="shared" si="19"/>
        <v>-0.35714285714285715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7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46" si="20">IF(D$12=0,0,D42/D$12)</f>
        <v>0</v>
      </c>
      <c r="G42" s="1"/>
      <c r="H42" s="1">
        <f>SUM(OSRRefH22_2x_0)</f>
        <v>0</v>
      </c>
      <c r="I42" s="1"/>
      <c r="J42" s="5">
        <f t="shared" ref="J42:J46" si="21">IF(H$12=0,0,H42/H$12)</f>
        <v>0</v>
      </c>
      <c r="K42" s="1"/>
      <c r="L42" s="1">
        <f t="shared" ref="L42:L46" si="22">+D42-H42</f>
        <v>0</v>
      </c>
      <c r="M42" s="1"/>
      <c r="N42" s="5">
        <f t="shared" ref="N42:N46" si="23">IF(H42=0,0,L42/H42)</f>
        <v>0</v>
      </c>
      <c r="O42" s="13"/>
      <c r="P42" s="1">
        <f>SUM(OSRRefP22_2x_0)</f>
        <v>9.99</v>
      </c>
      <c r="Q42" s="1"/>
      <c r="R42" s="5">
        <f t="shared" ref="R42:R46" si="24">IF(P$12=0,0,P42/P$12)</f>
        <v>0</v>
      </c>
      <c r="S42" s="1"/>
      <c r="T42" s="1">
        <f>SUM(OSRRefT22_2x_0)</f>
        <v>0</v>
      </c>
      <c r="U42" s="1"/>
      <c r="V42" s="5">
        <f t="shared" ref="V42:V46" si="25">IF(T$12=0,0,T42/T$12)</f>
        <v>0</v>
      </c>
      <c r="W42" s="1"/>
      <c r="X42" s="1">
        <f t="shared" ref="X42:X46" si="26">+P42-T42</f>
        <v>9.99</v>
      </c>
      <c r="Y42" s="1"/>
      <c r="Z42" s="5">
        <f t="shared" ref="Z42:Z46" si="27">IF(T42=0,0,X42/T42)</f>
        <v>0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9.99</v>
      </c>
      <c r="Q43" s="2"/>
      <c r="R43" s="7">
        <f t="shared" si="24"/>
        <v>0</v>
      </c>
      <c r="S43" s="2"/>
      <c r="T43" s="6"/>
      <c r="U43" s="2"/>
      <c r="V43" s="7">
        <f t="shared" si="25"/>
        <v>0</v>
      </c>
      <c r="W43" s="2"/>
      <c r="X43" s="6">
        <f t="shared" si="26"/>
        <v>9.99</v>
      </c>
      <c r="Y43" s="2"/>
      <c r="Z43" s="7">
        <f t="shared" si="27"/>
        <v>0</v>
      </c>
    </row>
    <row r="44" spans="1:26" s="27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SUM(OSRRefD22_3x_0)</f>
        <v>6175.97</v>
      </c>
      <c r="E44" s="1"/>
      <c r="F44" s="5">
        <f t="shared" si="20"/>
        <v>0</v>
      </c>
      <c r="G44" s="1"/>
      <c r="H44" s="1">
        <f>SUM(OSRRefH22_3x_0)</f>
        <v>6476</v>
      </c>
      <c r="I44" s="1"/>
      <c r="J44" s="5">
        <f t="shared" si="21"/>
        <v>0</v>
      </c>
      <c r="K44" s="1"/>
      <c r="L44" s="1">
        <f t="shared" si="22"/>
        <v>-300.02999999999975</v>
      </c>
      <c r="M44" s="1"/>
      <c r="N44" s="5">
        <f t="shared" si="23"/>
        <v>-4.6329524397776364E-2</v>
      </c>
      <c r="O44" s="13"/>
      <c r="P44" s="1">
        <f>SUM(OSRRefP22_3x_0)</f>
        <v>49407.76</v>
      </c>
      <c r="Q44" s="1"/>
      <c r="R44" s="5">
        <f t="shared" si="24"/>
        <v>0</v>
      </c>
      <c r="S44" s="1"/>
      <c r="T44" s="1">
        <f>SUM(OSRRefT22_3x_0)</f>
        <v>50191</v>
      </c>
      <c r="U44" s="1"/>
      <c r="V44" s="5">
        <f t="shared" si="25"/>
        <v>250.95500000000001</v>
      </c>
      <c r="W44" s="1"/>
      <c r="X44" s="1">
        <f t="shared" si="26"/>
        <v>-783.23999999999796</v>
      </c>
      <c r="Y44" s="1"/>
      <c r="Z44" s="5">
        <f t="shared" si="27"/>
        <v>-1.5605188181147974E-2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6175.97</v>
      </c>
      <c r="E45" s="2"/>
      <c r="F45" s="7">
        <f t="shared" si="20"/>
        <v>0</v>
      </c>
      <c r="G45" s="2"/>
      <c r="H45" s="6">
        <v>6176</v>
      </c>
      <c r="I45" s="2"/>
      <c r="J45" s="7">
        <f t="shared" si="21"/>
        <v>0</v>
      </c>
      <c r="K45" s="2"/>
      <c r="L45" s="6">
        <f t="shared" si="22"/>
        <v>-2.9999999999745341E-2</v>
      </c>
      <c r="M45" s="2"/>
      <c r="N45" s="7">
        <f t="shared" si="23"/>
        <v>-4.8575129533266417E-6</v>
      </c>
      <c r="O45" s="11"/>
      <c r="P45" s="6">
        <v>49407.76</v>
      </c>
      <c r="Q45" s="2"/>
      <c r="R45" s="7">
        <f t="shared" si="24"/>
        <v>0</v>
      </c>
      <c r="S45" s="2"/>
      <c r="T45" s="6">
        <v>49408</v>
      </c>
      <c r="U45" s="2"/>
      <c r="V45" s="7">
        <f t="shared" si="25"/>
        <v>247.04</v>
      </c>
      <c r="W45" s="2"/>
      <c r="X45" s="6">
        <f t="shared" si="26"/>
        <v>-0.23999999999796273</v>
      </c>
      <c r="Y45" s="2"/>
      <c r="Z45" s="7">
        <f t="shared" si="27"/>
        <v>-4.8575129533266417E-6</v>
      </c>
    </row>
    <row r="46" spans="1:26" s="24" customFormat="1" hidden="1" outlineLevel="2" x14ac:dyDescent="0.25">
      <c r="A46" s="25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20"/>
        <v>0</v>
      </c>
      <c r="G46" s="2"/>
      <c r="H46" s="6">
        <v>300</v>
      </c>
      <c r="I46" s="2"/>
      <c r="J46" s="7">
        <f t="shared" si="21"/>
        <v>0</v>
      </c>
      <c r="K46" s="2"/>
      <c r="L46" s="6">
        <f t="shared" si="22"/>
        <v>-300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783</v>
      </c>
      <c r="U46" s="2"/>
      <c r="V46" s="7">
        <f t="shared" si="25"/>
        <v>3.915</v>
      </c>
      <c r="W46" s="2"/>
      <c r="X46" s="6">
        <f t="shared" si="26"/>
        <v>-783</v>
      </c>
      <c r="Y46" s="2"/>
      <c r="Z46" s="7">
        <f t="shared" si="27"/>
        <v>-1</v>
      </c>
    </row>
    <row r="47" spans="1:26" s="27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SUM(OSRRefD22_4x_0)</f>
        <v>0</v>
      </c>
      <c r="E47" s="1"/>
      <c r="F47" s="5">
        <f t="shared" ref="F47:F57" si="28">IF(D$12=0,0,D47/D$12)</f>
        <v>0</v>
      </c>
      <c r="G47" s="1"/>
      <c r="H47" s="1">
        <f>SUM(OSRRefH22_4x_0)</f>
        <v>100</v>
      </c>
      <c r="I47" s="1"/>
      <c r="J47" s="5">
        <f t="shared" ref="J47:J57" si="29">IF(H$12=0,0,H47/H$12)</f>
        <v>0</v>
      </c>
      <c r="K47" s="1"/>
      <c r="L47" s="1">
        <f t="shared" ref="L47:L57" si="30">+D47-H47</f>
        <v>-100</v>
      </c>
      <c r="M47" s="1"/>
      <c r="N47" s="5">
        <f t="shared" ref="N47:N57" si="31">IF(H47=0,0,L47/H47)</f>
        <v>-1</v>
      </c>
      <c r="O47" s="13"/>
      <c r="P47" s="1">
        <f>SUM(OSRRefP22_4x_0)</f>
        <v>0</v>
      </c>
      <c r="Q47" s="1"/>
      <c r="R47" s="5">
        <f t="shared" ref="R47:R57" si="32">IF(P$12=0,0,P47/P$12)</f>
        <v>0</v>
      </c>
      <c r="S47" s="1"/>
      <c r="T47" s="1">
        <f>SUM(OSRRefT22_4x_0)</f>
        <v>800</v>
      </c>
      <c r="U47" s="1"/>
      <c r="V47" s="5">
        <f t="shared" ref="V47:V57" si="33">IF(T$12=0,0,T47/T$12)</f>
        <v>4</v>
      </c>
      <c r="W47" s="1"/>
      <c r="X47" s="1">
        <f t="shared" ref="X47:X57" si="34">+P47-T47</f>
        <v>-800</v>
      </c>
      <c r="Y47" s="1"/>
      <c r="Z47" s="5">
        <f t="shared" ref="Z47:Z57" si="35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8"/>
        <v>0</v>
      </c>
      <c r="G48" s="2"/>
      <c r="H48" s="6">
        <v>100</v>
      </c>
      <c r="I48" s="2"/>
      <c r="J48" s="7">
        <f t="shared" si="29"/>
        <v>0</v>
      </c>
      <c r="K48" s="2"/>
      <c r="L48" s="6">
        <f t="shared" si="30"/>
        <v>-100</v>
      </c>
      <c r="M48" s="2"/>
      <c r="N48" s="7">
        <f t="shared" si="31"/>
        <v>-1</v>
      </c>
      <c r="O48" s="11"/>
      <c r="P48" s="6"/>
      <c r="Q48" s="2"/>
      <c r="R48" s="7">
        <f t="shared" si="32"/>
        <v>0</v>
      </c>
      <c r="S48" s="2"/>
      <c r="T48" s="6">
        <v>800</v>
      </c>
      <c r="U48" s="2"/>
      <c r="V48" s="7">
        <f t="shared" si="33"/>
        <v>4</v>
      </c>
      <c r="W48" s="2"/>
      <c r="X48" s="6">
        <f t="shared" si="34"/>
        <v>-800</v>
      </c>
      <c r="Y48" s="2"/>
      <c r="Z48" s="7">
        <f t="shared" si="35"/>
        <v>-1</v>
      </c>
    </row>
    <row r="49" spans="1:26" s="27" customFormat="1" outlineLevel="1" collapsed="1" x14ac:dyDescent="0.25">
      <c r="A49" s="26"/>
      <c r="B49" s="13" t="str">
        <f>CONCATENATE("     ","Insurance                                         ")</f>
        <v xml:space="preserve">     Insurance                                         </v>
      </c>
      <c r="C49" s="13"/>
      <c r="D49" s="1">
        <f>SUM(OSRRefD22_5x_0)</f>
        <v>56.34</v>
      </c>
      <c r="E49" s="1"/>
      <c r="F49" s="5">
        <f t="shared" si="28"/>
        <v>0</v>
      </c>
      <c r="G49" s="1"/>
      <c r="H49" s="1">
        <f>SUM(OSRRefH22_5x_0)</f>
        <v>55</v>
      </c>
      <c r="I49" s="1"/>
      <c r="J49" s="5">
        <f t="shared" si="29"/>
        <v>0</v>
      </c>
      <c r="K49" s="1"/>
      <c r="L49" s="1">
        <f t="shared" si="30"/>
        <v>1.3400000000000034</v>
      </c>
      <c r="M49" s="1"/>
      <c r="N49" s="5">
        <f t="shared" si="31"/>
        <v>2.4363636363636424E-2</v>
      </c>
      <c r="O49" s="13"/>
      <c r="P49" s="1">
        <f>SUM(OSRRefP22_5x_0)</f>
        <v>450.72</v>
      </c>
      <c r="Q49" s="1"/>
      <c r="R49" s="5">
        <f t="shared" si="32"/>
        <v>0</v>
      </c>
      <c r="S49" s="1"/>
      <c r="T49" s="1">
        <f>SUM(OSRRefT22_5x_0)</f>
        <v>440</v>
      </c>
      <c r="U49" s="1"/>
      <c r="V49" s="5">
        <f t="shared" si="33"/>
        <v>2.2000000000000002</v>
      </c>
      <c r="W49" s="1"/>
      <c r="X49" s="1">
        <f t="shared" si="34"/>
        <v>10.720000000000027</v>
      </c>
      <c r="Y49" s="1"/>
      <c r="Z49" s="5">
        <f t="shared" si="35"/>
        <v>2.4363636363636424E-2</v>
      </c>
    </row>
    <row r="50" spans="1:26" s="24" customFormat="1" hidden="1" outlineLevel="2" x14ac:dyDescent="0.25">
      <c r="A50" s="25"/>
      <c r="B50" s="11" t="str">
        <f>CONCATENATE("          ", "6314", " - ", "LIABILITY INSURANCE")</f>
        <v xml:space="preserve">          6314 - LIABILITY INSURANCE</v>
      </c>
      <c r="C50" s="11"/>
      <c r="D50" s="6">
        <v>56.34</v>
      </c>
      <c r="E50" s="2"/>
      <c r="F50" s="7">
        <f t="shared" si="28"/>
        <v>0</v>
      </c>
      <c r="G50" s="2"/>
      <c r="H50" s="6">
        <v>55</v>
      </c>
      <c r="I50" s="2"/>
      <c r="J50" s="7">
        <f t="shared" si="29"/>
        <v>0</v>
      </c>
      <c r="K50" s="2"/>
      <c r="L50" s="6">
        <f t="shared" si="30"/>
        <v>1.3400000000000034</v>
      </c>
      <c r="M50" s="2"/>
      <c r="N50" s="7">
        <f t="shared" si="31"/>
        <v>2.4363636363636424E-2</v>
      </c>
      <c r="O50" s="11"/>
      <c r="P50" s="6">
        <v>450.72</v>
      </c>
      <c r="Q50" s="2"/>
      <c r="R50" s="7">
        <f t="shared" si="32"/>
        <v>0</v>
      </c>
      <c r="S50" s="2"/>
      <c r="T50" s="6">
        <v>440</v>
      </c>
      <c r="U50" s="2"/>
      <c r="V50" s="7">
        <f t="shared" si="33"/>
        <v>2.2000000000000002</v>
      </c>
      <c r="W50" s="2"/>
      <c r="X50" s="6">
        <f t="shared" si="34"/>
        <v>10.720000000000027</v>
      </c>
      <c r="Y50" s="2"/>
      <c r="Z50" s="7">
        <f t="shared" si="35"/>
        <v>2.4363636363636424E-2</v>
      </c>
    </row>
    <row r="51" spans="1:26" s="27" customFormat="1" outlineLevel="1" collapsed="1" x14ac:dyDescent="0.25">
      <c r="A51" s="26"/>
      <c r="B51" s="13" t="str">
        <f>CONCATENATE("     ","Professional Services                             ")</f>
        <v xml:space="preserve">     Professional Services  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500</v>
      </c>
      <c r="I51" s="1"/>
      <c r="J51" s="5">
        <f t="shared" si="29"/>
        <v>0</v>
      </c>
      <c r="K51" s="1"/>
      <c r="L51" s="1">
        <f t="shared" si="30"/>
        <v>-500</v>
      </c>
      <c r="M51" s="1"/>
      <c r="N51" s="5">
        <f t="shared" si="31"/>
        <v>-1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4000</v>
      </c>
      <c r="U51" s="1"/>
      <c r="V51" s="5">
        <f t="shared" si="33"/>
        <v>20</v>
      </c>
      <c r="W51" s="1"/>
      <c r="X51" s="1">
        <f t="shared" si="34"/>
        <v>-4000</v>
      </c>
      <c r="Y51" s="1"/>
      <c r="Z51" s="5">
        <f t="shared" si="35"/>
        <v>-1</v>
      </c>
    </row>
    <row r="52" spans="1:26" s="24" customFormat="1" hidden="1" outlineLevel="2" x14ac:dyDescent="0.25">
      <c r="A52" s="25"/>
      <c r="B52" s="11" t="str">
        <f>CONCATENATE("          ", "6332", " - ", "CONSULTANT FEES")</f>
        <v xml:space="preserve">          6332 - CONSULTANT FEES</v>
      </c>
      <c r="C52" s="11"/>
      <c r="D52" s="6"/>
      <c r="E52" s="2"/>
      <c r="F52" s="7">
        <f t="shared" si="28"/>
        <v>0</v>
      </c>
      <c r="G52" s="2"/>
      <c r="H52" s="6">
        <v>500</v>
      </c>
      <c r="I52" s="2"/>
      <c r="J52" s="7">
        <f t="shared" si="29"/>
        <v>0</v>
      </c>
      <c r="K52" s="2"/>
      <c r="L52" s="6">
        <f t="shared" si="30"/>
        <v>-500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4000</v>
      </c>
      <c r="U52" s="2"/>
      <c r="V52" s="7">
        <f t="shared" si="33"/>
        <v>20</v>
      </c>
      <c r="W52" s="2"/>
      <c r="X52" s="6">
        <f t="shared" si="34"/>
        <v>-4000</v>
      </c>
      <c r="Y52" s="2"/>
      <c r="Z52" s="7">
        <f t="shared" si="35"/>
        <v>-1</v>
      </c>
    </row>
    <row r="53" spans="1:26" s="27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SUM(OSRRefD22_7x_0)</f>
        <v>9862.48</v>
      </c>
      <c r="E53" s="1"/>
      <c r="F53" s="5">
        <f t="shared" si="28"/>
        <v>0</v>
      </c>
      <c r="G53" s="1"/>
      <c r="H53" s="1">
        <f>SUM(OSRRefH22_7x_0)</f>
        <v>12600</v>
      </c>
      <c r="I53" s="1"/>
      <c r="J53" s="5">
        <f t="shared" si="29"/>
        <v>0</v>
      </c>
      <c r="K53" s="1"/>
      <c r="L53" s="1">
        <f t="shared" si="30"/>
        <v>-2737.5200000000004</v>
      </c>
      <c r="M53" s="1"/>
      <c r="N53" s="5">
        <f t="shared" si="31"/>
        <v>-0.2172634920634921</v>
      </c>
      <c r="O53" s="13"/>
      <c r="P53" s="1">
        <f>SUM(OSRRefP22_7x_0)</f>
        <v>76915.42</v>
      </c>
      <c r="Q53" s="1"/>
      <c r="R53" s="5">
        <f t="shared" si="32"/>
        <v>0</v>
      </c>
      <c r="S53" s="1"/>
      <c r="T53" s="1">
        <f>SUM(OSRRefT22_7x_0)</f>
        <v>92700</v>
      </c>
      <c r="U53" s="1"/>
      <c r="V53" s="5">
        <f t="shared" si="33"/>
        <v>463.5</v>
      </c>
      <c r="W53" s="1"/>
      <c r="X53" s="1">
        <f t="shared" si="34"/>
        <v>-15784.580000000002</v>
      </c>
      <c r="Y53" s="1"/>
      <c r="Z53" s="5">
        <f t="shared" si="35"/>
        <v>-0.17027594390507014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263.89999999999998</v>
      </c>
      <c r="E54" s="2"/>
      <c r="F54" s="7">
        <f t="shared" si="28"/>
        <v>0</v>
      </c>
      <c r="G54" s="2"/>
      <c r="H54" s="6">
        <v>500</v>
      </c>
      <c r="I54" s="2"/>
      <c r="J54" s="7">
        <f t="shared" si="29"/>
        <v>0</v>
      </c>
      <c r="K54" s="2"/>
      <c r="L54" s="6">
        <f t="shared" si="30"/>
        <v>-236.10000000000002</v>
      </c>
      <c r="M54" s="2"/>
      <c r="N54" s="7">
        <f t="shared" si="31"/>
        <v>-0.47220000000000006</v>
      </c>
      <c r="O54" s="11"/>
      <c r="P54" s="6">
        <v>1019.35</v>
      </c>
      <c r="Q54" s="2"/>
      <c r="R54" s="7">
        <f t="shared" si="32"/>
        <v>0</v>
      </c>
      <c r="S54" s="2"/>
      <c r="T54" s="6">
        <v>5000</v>
      </c>
      <c r="U54" s="2"/>
      <c r="V54" s="7">
        <f t="shared" si="33"/>
        <v>25</v>
      </c>
      <c r="W54" s="2"/>
      <c r="X54" s="6">
        <f t="shared" si="34"/>
        <v>-3980.65</v>
      </c>
      <c r="Y54" s="2"/>
      <c r="Z54" s="7">
        <f t="shared" si="35"/>
        <v>-0.79613</v>
      </c>
    </row>
    <row r="55" spans="1:26" s="24" customFormat="1" hidden="1" outlineLevel="2" x14ac:dyDescent="0.25">
      <c r="A55" s="25"/>
      <c r="B55" s="11" t="str">
        <f>CONCATENATE("          ", "6372", " - ", "COMPUTER HARDWARE MAINTENANCE")</f>
        <v xml:space="preserve">          6372 - COMPUTER HARDWARE MAINTENANCE</v>
      </c>
      <c r="C55" s="11"/>
      <c r="D55" s="6"/>
      <c r="E55" s="2"/>
      <c r="F55" s="7">
        <f t="shared" si="28"/>
        <v>0</v>
      </c>
      <c r="G55" s="2"/>
      <c r="H55" s="6">
        <v>500</v>
      </c>
      <c r="I55" s="2"/>
      <c r="J55" s="7">
        <f t="shared" si="29"/>
        <v>0</v>
      </c>
      <c r="K55" s="2"/>
      <c r="L55" s="6">
        <f t="shared" si="30"/>
        <v>-500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6500</v>
      </c>
      <c r="U55" s="2"/>
      <c r="V55" s="7">
        <f t="shared" si="33"/>
        <v>32.5</v>
      </c>
      <c r="W55" s="2"/>
      <c r="X55" s="6">
        <f t="shared" si="34"/>
        <v>-6500</v>
      </c>
      <c r="Y55" s="2"/>
      <c r="Z55" s="7">
        <f t="shared" si="35"/>
        <v>-1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6">
        <v>9598.58</v>
      </c>
      <c r="E56" s="2"/>
      <c r="F56" s="7">
        <f t="shared" si="28"/>
        <v>0</v>
      </c>
      <c r="G56" s="2"/>
      <c r="H56" s="6">
        <v>11600</v>
      </c>
      <c r="I56" s="2"/>
      <c r="J56" s="7">
        <f t="shared" si="29"/>
        <v>0</v>
      </c>
      <c r="K56" s="2"/>
      <c r="L56" s="6">
        <f t="shared" si="30"/>
        <v>-2001.42</v>
      </c>
      <c r="M56" s="2"/>
      <c r="N56" s="7">
        <f t="shared" si="31"/>
        <v>-0.17253620689655172</v>
      </c>
      <c r="O56" s="11"/>
      <c r="P56" s="6">
        <v>75737.67</v>
      </c>
      <c r="Q56" s="2"/>
      <c r="R56" s="7">
        <f t="shared" si="32"/>
        <v>0</v>
      </c>
      <c r="S56" s="2"/>
      <c r="T56" s="6">
        <v>81200</v>
      </c>
      <c r="U56" s="2"/>
      <c r="V56" s="7">
        <f t="shared" si="33"/>
        <v>406</v>
      </c>
      <c r="W56" s="2"/>
      <c r="X56" s="6">
        <f t="shared" si="34"/>
        <v>-5462.3300000000017</v>
      </c>
      <c r="Y56" s="2"/>
      <c r="Z56" s="7">
        <f t="shared" si="35"/>
        <v>-6.7270073891625634E-2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158.4</v>
      </c>
      <c r="Q57" s="2"/>
      <c r="R57" s="7">
        <f t="shared" si="32"/>
        <v>0</v>
      </c>
      <c r="S57" s="2"/>
      <c r="T57" s="6"/>
      <c r="U57" s="2"/>
      <c r="V57" s="7">
        <f t="shared" si="33"/>
        <v>0</v>
      </c>
      <c r="W57" s="2"/>
      <c r="X57" s="6">
        <f t="shared" si="34"/>
        <v>158.4</v>
      </c>
      <c r="Y57" s="2"/>
      <c r="Z57" s="7">
        <f t="shared" si="35"/>
        <v>0</v>
      </c>
    </row>
    <row r="58" spans="1:26" s="27" customFormat="1" outlineLevel="1" collapsed="1" x14ac:dyDescent="0.25">
      <c r="A58" s="26"/>
      <c r="B58" s="13" t="str">
        <f>CONCATENATE("     ","Subscriptions &amp; Dues                              ")</f>
        <v xml:space="preserve">     Subscriptions &amp; Dues                              </v>
      </c>
      <c r="C58" s="13"/>
      <c r="D58" s="1">
        <f>SUM(OSRRefD22_8x_0)</f>
        <v>0</v>
      </c>
      <c r="E58" s="1"/>
      <c r="F58" s="5">
        <f t="shared" ref="F58:F62" si="36">IF(D$12=0,0,D58/D$12)</f>
        <v>0</v>
      </c>
      <c r="G58" s="1"/>
      <c r="H58" s="1">
        <f>SUM(OSRRefH22_8x_0)</f>
        <v>100</v>
      </c>
      <c r="I58" s="1"/>
      <c r="J58" s="5">
        <f t="shared" ref="J58:J62" si="37">IF(H$12=0,0,H58/H$12)</f>
        <v>0</v>
      </c>
      <c r="K58" s="1"/>
      <c r="L58" s="1">
        <f t="shared" ref="L58:L62" si="38">+D58-H58</f>
        <v>-100</v>
      </c>
      <c r="M58" s="1"/>
      <c r="N58" s="5">
        <f t="shared" ref="N58:N62" si="39">IF(H58=0,0,L58/H58)</f>
        <v>-1</v>
      </c>
      <c r="O58" s="13"/>
      <c r="P58" s="1">
        <f>SUM(OSRRefP22_8x_0)</f>
        <v>0</v>
      </c>
      <c r="Q58" s="1"/>
      <c r="R58" s="5">
        <f t="shared" ref="R58:R62" si="40">IF(P$12=0,0,P58/P$12)</f>
        <v>0</v>
      </c>
      <c r="S58" s="1"/>
      <c r="T58" s="1">
        <f>SUM(OSRRefT22_8x_0)</f>
        <v>900</v>
      </c>
      <c r="U58" s="1"/>
      <c r="V58" s="5">
        <f t="shared" ref="V58:V62" si="41">IF(T$12=0,0,T58/T$12)</f>
        <v>4.5</v>
      </c>
      <c r="W58" s="1"/>
      <c r="X58" s="1">
        <f t="shared" ref="X58:X62" si="42">+P58-T58</f>
        <v>-900</v>
      </c>
      <c r="Y58" s="1"/>
      <c r="Z58" s="5">
        <f t="shared" ref="Z58:Z62" si="43">IF(T58=0,0,X58/T58)</f>
        <v>-1</v>
      </c>
    </row>
    <row r="59" spans="1:26" s="24" customFormat="1" hidden="1" outlineLevel="2" x14ac:dyDescent="0.25">
      <c r="A59" s="25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6"/>
        <v>0</v>
      </c>
      <c r="G59" s="2"/>
      <c r="H59" s="6">
        <v>100</v>
      </c>
      <c r="I59" s="2"/>
      <c r="J59" s="7">
        <f t="shared" si="37"/>
        <v>0</v>
      </c>
      <c r="K59" s="2"/>
      <c r="L59" s="6">
        <f t="shared" si="38"/>
        <v>-100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900</v>
      </c>
      <c r="U59" s="2"/>
      <c r="V59" s="7">
        <f t="shared" si="41"/>
        <v>4.5</v>
      </c>
      <c r="W59" s="2"/>
      <c r="X59" s="6">
        <f t="shared" si="42"/>
        <v>-900</v>
      </c>
      <c r="Y59" s="2"/>
      <c r="Z59" s="7">
        <f t="shared" si="43"/>
        <v>-1</v>
      </c>
    </row>
    <row r="60" spans="1:26" s="27" customFormat="1" outlineLevel="1" collapsed="1" x14ac:dyDescent="0.25">
      <c r="A60" s="26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SUM(OSRRefD22_9x_0)</f>
        <v>732.83</v>
      </c>
      <c r="E60" s="1"/>
      <c r="F60" s="5">
        <f t="shared" si="36"/>
        <v>0</v>
      </c>
      <c r="G60" s="1"/>
      <c r="H60" s="1">
        <f>SUM(OSRRefH22_9x_0)</f>
        <v>400</v>
      </c>
      <c r="I60" s="1"/>
      <c r="J60" s="5">
        <f t="shared" si="37"/>
        <v>0</v>
      </c>
      <c r="K60" s="1"/>
      <c r="L60" s="1">
        <f t="shared" si="38"/>
        <v>332.83000000000004</v>
      </c>
      <c r="M60" s="1"/>
      <c r="N60" s="5">
        <f t="shared" si="39"/>
        <v>0.83207500000000012</v>
      </c>
      <c r="O60" s="13"/>
      <c r="P60" s="1">
        <f>SUM(OSRRefP22_9x_0)</f>
        <v>23023.06</v>
      </c>
      <c r="Q60" s="1"/>
      <c r="R60" s="5">
        <f t="shared" si="40"/>
        <v>0</v>
      </c>
      <c r="S60" s="1"/>
      <c r="T60" s="1">
        <f>SUM(OSRRefT22_9x_0)</f>
        <v>3800</v>
      </c>
      <c r="U60" s="1"/>
      <c r="V60" s="5">
        <f t="shared" si="41"/>
        <v>19</v>
      </c>
      <c r="W60" s="1"/>
      <c r="X60" s="1">
        <f t="shared" si="42"/>
        <v>19223.060000000001</v>
      </c>
      <c r="Y60" s="1"/>
      <c r="Z60" s="5">
        <f t="shared" si="43"/>
        <v>5.0587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6">
        <v>732.83</v>
      </c>
      <c r="E61" s="2"/>
      <c r="F61" s="7">
        <f t="shared" si="36"/>
        <v>0</v>
      </c>
      <c r="G61" s="2"/>
      <c r="H61" s="6">
        <v>400</v>
      </c>
      <c r="I61" s="2"/>
      <c r="J61" s="7">
        <f t="shared" si="37"/>
        <v>0</v>
      </c>
      <c r="K61" s="2"/>
      <c r="L61" s="6">
        <f t="shared" si="38"/>
        <v>332.83000000000004</v>
      </c>
      <c r="M61" s="2"/>
      <c r="N61" s="7">
        <f t="shared" si="39"/>
        <v>0.83207500000000012</v>
      </c>
      <c r="O61" s="11"/>
      <c r="P61" s="6">
        <v>23023.06</v>
      </c>
      <c r="Q61" s="2"/>
      <c r="R61" s="7">
        <f t="shared" si="40"/>
        <v>0</v>
      </c>
      <c r="S61" s="2"/>
      <c r="T61" s="6">
        <v>3100</v>
      </c>
      <c r="U61" s="2"/>
      <c r="V61" s="7">
        <f t="shared" si="41"/>
        <v>15.5</v>
      </c>
      <c r="W61" s="2"/>
      <c r="X61" s="6">
        <f t="shared" si="42"/>
        <v>19923.060000000001</v>
      </c>
      <c r="Y61" s="2"/>
      <c r="Z61" s="7">
        <f t="shared" si="43"/>
        <v>6.4267935483870975</v>
      </c>
    </row>
    <row r="62" spans="1:26" s="24" customFormat="1" hidden="1" outlineLevel="2" x14ac:dyDescent="0.25">
      <c r="A62" s="25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700</v>
      </c>
      <c r="U62" s="2"/>
      <c r="V62" s="7">
        <f t="shared" si="41"/>
        <v>3.5</v>
      </c>
      <c r="W62" s="2"/>
      <c r="X62" s="6">
        <f t="shared" si="42"/>
        <v>-700</v>
      </c>
      <c r="Y62" s="2"/>
      <c r="Z62" s="7">
        <f t="shared" si="43"/>
        <v>-1</v>
      </c>
    </row>
    <row r="63" spans="1:26" s="27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1038.3699999999999</v>
      </c>
      <c r="E63" s="1"/>
      <c r="F63" s="5">
        <f t="shared" ref="F63:F65" si="44">IF(D$12=0,0,D63/D$12)</f>
        <v>0</v>
      </c>
      <c r="G63" s="1"/>
      <c r="H63" s="1">
        <f>SUM(OSRRefH22_10x_0)</f>
        <v>550</v>
      </c>
      <c r="I63" s="1"/>
      <c r="J63" s="5">
        <f t="shared" ref="J63:J65" si="45">IF(H$12=0,0,H63/H$12)</f>
        <v>0</v>
      </c>
      <c r="K63" s="1"/>
      <c r="L63" s="1">
        <f t="shared" ref="L63:L65" si="46">+D63-H63</f>
        <v>488.36999999999989</v>
      </c>
      <c r="M63" s="1"/>
      <c r="N63" s="5">
        <f t="shared" ref="N63:N65" si="47">IF(H63=0,0,L63/H63)</f>
        <v>0.88794545454545437</v>
      </c>
      <c r="O63" s="13"/>
      <c r="P63" s="1">
        <f>SUM(OSRRefP22_10x_0)</f>
        <v>10639.720000000001</v>
      </c>
      <c r="Q63" s="1"/>
      <c r="R63" s="5">
        <f t="shared" ref="R63:R65" si="48">IF(P$12=0,0,P63/P$12)</f>
        <v>0</v>
      </c>
      <c r="S63" s="1"/>
      <c r="T63" s="1">
        <f>SUM(OSRRefT22_10x_0)</f>
        <v>3800</v>
      </c>
      <c r="U63" s="1"/>
      <c r="V63" s="5">
        <f t="shared" ref="V63:V65" si="49">IF(T$12=0,0,T63/T$12)</f>
        <v>19</v>
      </c>
      <c r="W63" s="1"/>
      <c r="X63" s="1">
        <f t="shared" ref="X63:X65" si="50">+P63-T63</f>
        <v>6839.7200000000012</v>
      </c>
      <c r="Y63" s="1"/>
      <c r="Z63" s="5">
        <f t="shared" ref="Z63:Z65" si="51">IF(T63=0,0,X63/T63)</f>
        <v>1.799926315789474</v>
      </c>
    </row>
    <row r="64" spans="1:26" s="24" customFormat="1" hidden="1" outlineLevel="2" x14ac:dyDescent="0.25">
      <c r="A64" s="25"/>
      <c r="B64" s="11" t="str">
        <f>CONCATENATE("          ", "6303", " - ", "DATA PHONE LINES")</f>
        <v xml:space="preserve">          6303 - DATA PHONE LINES</v>
      </c>
      <c r="C64" s="11"/>
      <c r="D64" s="6">
        <v>143.97999999999999</v>
      </c>
      <c r="E64" s="2"/>
      <c r="F64" s="7">
        <f t="shared" si="44"/>
        <v>0</v>
      </c>
      <c r="G64" s="2"/>
      <c r="H64" s="6">
        <v>300</v>
      </c>
      <c r="I64" s="2"/>
      <c r="J64" s="7">
        <f t="shared" si="45"/>
        <v>0</v>
      </c>
      <c r="K64" s="2"/>
      <c r="L64" s="6">
        <f t="shared" si="46"/>
        <v>-156.02000000000001</v>
      </c>
      <c r="M64" s="2"/>
      <c r="N64" s="7">
        <f t="shared" si="47"/>
        <v>-0.52006666666666668</v>
      </c>
      <c r="O64" s="11"/>
      <c r="P64" s="6">
        <v>1249.04</v>
      </c>
      <c r="Q64" s="2"/>
      <c r="R64" s="7">
        <f t="shared" si="48"/>
        <v>0</v>
      </c>
      <c r="S64" s="2"/>
      <c r="T64" s="6">
        <v>1800</v>
      </c>
      <c r="U64" s="2"/>
      <c r="V64" s="7">
        <f t="shared" si="49"/>
        <v>9</v>
      </c>
      <c r="W64" s="2"/>
      <c r="X64" s="6">
        <f t="shared" si="50"/>
        <v>-550.96</v>
      </c>
      <c r="Y64" s="2"/>
      <c r="Z64" s="7">
        <f t="shared" si="51"/>
        <v>-0.30608888888888891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6">
        <v>894.39</v>
      </c>
      <c r="E65" s="2"/>
      <c r="F65" s="7">
        <f t="shared" si="44"/>
        <v>0</v>
      </c>
      <c r="G65" s="2"/>
      <c r="H65" s="6">
        <v>250</v>
      </c>
      <c r="I65" s="2"/>
      <c r="J65" s="7">
        <f t="shared" si="45"/>
        <v>0</v>
      </c>
      <c r="K65" s="2"/>
      <c r="L65" s="6">
        <f t="shared" si="46"/>
        <v>644.39</v>
      </c>
      <c r="M65" s="2"/>
      <c r="N65" s="7">
        <f t="shared" si="47"/>
        <v>2.5775600000000001</v>
      </c>
      <c r="O65" s="11"/>
      <c r="P65" s="6">
        <v>9390.68</v>
      </c>
      <c r="Q65" s="2"/>
      <c r="R65" s="7">
        <f t="shared" si="48"/>
        <v>0</v>
      </c>
      <c r="S65" s="2"/>
      <c r="T65" s="6">
        <v>2000</v>
      </c>
      <c r="U65" s="2"/>
      <c r="V65" s="7">
        <f t="shared" si="49"/>
        <v>10</v>
      </c>
      <c r="W65" s="2"/>
      <c r="X65" s="6">
        <f t="shared" si="50"/>
        <v>7390.68</v>
      </c>
      <c r="Y65" s="2"/>
      <c r="Z65" s="7">
        <f t="shared" si="51"/>
        <v>3.6953400000000003</v>
      </c>
    </row>
    <row r="66" spans="1:26" s="27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SUM(OSRRefD22_11x_0)</f>
        <v>2287.81</v>
      </c>
      <c r="E66" s="1"/>
      <c r="F66" s="5">
        <f t="shared" ref="F66:F70" si="52">IF(D$12=0,0,D66/D$12)</f>
        <v>0</v>
      </c>
      <c r="G66" s="1"/>
      <c r="H66" s="1">
        <f>SUM(OSRRefH22_11x_0)</f>
        <v>1000</v>
      </c>
      <c r="I66" s="1"/>
      <c r="J66" s="5">
        <f t="shared" ref="J66:J70" si="53">IF(H$12=0,0,H66/H$12)</f>
        <v>0</v>
      </c>
      <c r="K66" s="1"/>
      <c r="L66" s="1">
        <f t="shared" ref="L66:L70" si="54">+D66-H66</f>
        <v>1287.81</v>
      </c>
      <c r="M66" s="1"/>
      <c r="N66" s="5">
        <f t="shared" ref="N66:N70" si="55">IF(H66=0,0,L66/H66)</f>
        <v>1.2878099999999999</v>
      </c>
      <c r="O66" s="13"/>
      <c r="P66" s="1">
        <f>SUM(OSRRefP22_11x_0)</f>
        <v>3691.86</v>
      </c>
      <c r="Q66" s="1"/>
      <c r="R66" s="5">
        <f t="shared" ref="R66:R70" si="56">IF(P$12=0,0,P66/P$12)</f>
        <v>0</v>
      </c>
      <c r="S66" s="1"/>
      <c r="T66" s="1">
        <f>SUM(OSRRefT22_11x_0)</f>
        <v>8000</v>
      </c>
      <c r="U66" s="1"/>
      <c r="V66" s="5">
        <f t="shared" ref="V66:V70" si="57">IF(T$12=0,0,T66/T$12)</f>
        <v>40</v>
      </c>
      <c r="W66" s="1"/>
      <c r="X66" s="1">
        <f t="shared" ref="X66:X70" si="58">+P66-T66</f>
        <v>-4308.1399999999994</v>
      </c>
      <c r="Y66" s="1"/>
      <c r="Z66" s="5">
        <f t="shared" ref="Z66:Z70" si="59">IF(T66=0,0,X66/T66)</f>
        <v>-0.53851749999999998</v>
      </c>
    </row>
    <row r="67" spans="1:26" s="24" customFormat="1" hidden="1" outlineLevel="2" x14ac:dyDescent="0.25">
      <c r="A67" s="25"/>
      <c r="B67" s="11" t="str">
        <f>CONCATENATE("          ", "6376", " - ", "TRAINING")</f>
        <v xml:space="preserve">          6376 - TRAINING</v>
      </c>
      <c r="C67" s="11"/>
      <c r="D67" s="6">
        <v>2287.81</v>
      </c>
      <c r="E67" s="2"/>
      <c r="F67" s="7">
        <f t="shared" si="52"/>
        <v>0</v>
      </c>
      <c r="G67" s="2"/>
      <c r="H67" s="6">
        <v>1000</v>
      </c>
      <c r="I67" s="2"/>
      <c r="J67" s="7">
        <f t="shared" si="53"/>
        <v>0</v>
      </c>
      <c r="K67" s="2"/>
      <c r="L67" s="6">
        <f t="shared" si="54"/>
        <v>1287.81</v>
      </c>
      <c r="M67" s="2"/>
      <c r="N67" s="7">
        <f t="shared" si="55"/>
        <v>1.2878099999999999</v>
      </c>
      <c r="O67" s="11"/>
      <c r="P67" s="6">
        <v>3691.86</v>
      </c>
      <c r="Q67" s="2"/>
      <c r="R67" s="7">
        <f t="shared" si="56"/>
        <v>0</v>
      </c>
      <c r="S67" s="2"/>
      <c r="T67" s="6">
        <v>8000</v>
      </c>
      <c r="U67" s="2"/>
      <c r="V67" s="7">
        <f t="shared" si="57"/>
        <v>40</v>
      </c>
      <c r="W67" s="2"/>
      <c r="X67" s="6">
        <f t="shared" si="58"/>
        <v>-4308.1399999999994</v>
      </c>
      <c r="Y67" s="2"/>
      <c r="Z67" s="7">
        <f t="shared" si="59"/>
        <v>-0.53851749999999998</v>
      </c>
    </row>
    <row r="68" spans="1:26" s="27" customFormat="1" outlineLevel="1" collapsed="1" x14ac:dyDescent="0.25">
      <c r="A68" s="26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SUM(OSRRefD22_12x_0)</f>
        <v>0</v>
      </c>
      <c r="E68" s="1"/>
      <c r="F68" s="5">
        <f t="shared" si="52"/>
        <v>0</v>
      </c>
      <c r="G68" s="1"/>
      <c r="H68" s="1">
        <f>SUM(OSRRefH22_12x_0)</f>
        <v>0</v>
      </c>
      <c r="I68" s="1"/>
      <c r="J68" s="5">
        <f t="shared" si="53"/>
        <v>0</v>
      </c>
      <c r="K68" s="1"/>
      <c r="L68" s="1">
        <f t="shared" si="54"/>
        <v>0</v>
      </c>
      <c r="M68" s="1"/>
      <c r="N68" s="5">
        <f t="shared" si="55"/>
        <v>0</v>
      </c>
      <c r="O68" s="13"/>
      <c r="P68" s="1">
        <f>SUM(OSRRefP22_12x_0)</f>
        <v>1383.21</v>
      </c>
      <c r="Q68" s="1"/>
      <c r="R68" s="5">
        <f t="shared" si="56"/>
        <v>0</v>
      </c>
      <c r="S68" s="1"/>
      <c r="T68" s="1">
        <f>SUM(OSRRefT22_12x_0)</f>
        <v>7500</v>
      </c>
      <c r="U68" s="1"/>
      <c r="V68" s="5">
        <f t="shared" si="57"/>
        <v>37.5</v>
      </c>
      <c r="W68" s="1"/>
      <c r="X68" s="1">
        <f t="shared" si="58"/>
        <v>-6116.79</v>
      </c>
      <c r="Y68" s="1"/>
      <c r="Z68" s="5">
        <f t="shared" si="59"/>
        <v>-0.81557199999999996</v>
      </c>
    </row>
    <row r="69" spans="1:26" s="24" customFormat="1" hidden="1" outlineLevel="2" x14ac:dyDescent="0.25">
      <c r="A69" s="25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1359.31</v>
      </c>
      <c r="Q69" s="2"/>
      <c r="R69" s="7">
        <f t="shared" si="56"/>
        <v>0</v>
      </c>
      <c r="S69" s="2"/>
      <c r="T69" s="6">
        <v>7500</v>
      </c>
      <c r="U69" s="2"/>
      <c r="V69" s="7">
        <f t="shared" si="57"/>
        <v>37.5</v>
      </c>
      <c r="W69" s="2"/>
      <c r="X69" s="6">
        <f t="shared" si="58"/>
        <v>-6140.6900000000005</v>
      </c>
      <c r="Y69" s="2"/>
      <c r="Z69" s="7">
        <f t="shared" si="59"/>
        <v>-0.81875866666666675</v>
      </c>
    </row>
    <row r="70" spans="1:26" s="24" customFormat="1" hidden="1" outlineLevel="2" x14ac:dyDescent="0.25">
      <c r="A70" s="25"/>
      <c r="B70" s="11" t="str">
        <f>CONCATENATE("          ", "6294", " - ", "TRAVEL OPERATIONAL")</f>
        <v xml:space="preserve">          6294 - TRAVEL OPERATIONAL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23.9</v>
      </c>
      <c r="Q70" s="2"/>
      <c r="R70" s="7">
        <f t="shared" si="56"/>
        <v>0</v>
      </c>
      <c r="S70" s="2"/>
      <c r="T70" s="6"/>
      <c r="U70" s="2"/>
      <c r="V70" s="7">
        <f t="shared" si="57"/>
        <v>0</v>
      </c>
      <c r="W70" s="2"/>
      <c r="X70" s="6">
        <f t="shared" si="58"/>
        <v>23.9</v>
      </c>
      <c r="Y70" s="2"/>
      <c r="Z70" s="7">
        <f t="shared" si="59"/>
        <v>0</v>
      </c>
    </row>
    <row r="71" spans="1:26" s="5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1">
        <f>+D17-D19+D72</f>
        <v>-56736.340000000004</v>
      </c>
      <c r="E74" s="14"/>
      <c r="F74" s="22">
        <f>IF(D$12=0,0,D74/D$12)</f>
        <v>0</v>
      </c>
      <c r="G74" s="14"/>
      <c r="H74" s="21">
        <f>+H17-H19+H72</f>
        <v>-63550.765232076883</v>
      </c>
      <c r="I74" s="14"/>
      <c r="J74" s="22">
        <f>IF(H$12=0,0,H74/H$12)</f>
        <v>0</v>
      </c>
      <c r="K74" s="15"/>
      <c r="L74" s="21">
        <f>+D74-H74</f>
        <v>6814.4252320768792</v>
      </c>
      <c r="M74" s="15"/>
      <c r="N74" s="22">
        <f>IF(H74=0,0,L74/H74)</f>
        <v>-0.10722805944494493</v>
      </c>
      <c r="O74" s="29"/>
      <c r="P74" s="21">
        <f>+P17-P19+P72</f>
        <v>-481561.76999999996</v>
      </c>
      <c r="Q74" s="14"/>
      <c r="R74" s="22">
        <f>IF(P$12=0,0,P74/P$12)</f>
        <v>0</v>
      </c>
      <c r="S74" s="14"/>
      <c r="T74" s="21">
        <f>+T17-T19+T72</f>
        <v>-537011.999634846</v>
      </c>
      <c r="U74" s="14"/>
      <c r="V74" s="22">
        <f>IF(T$12=0,0,T74/T$12)</f>
        <v>-2685.0599981742298</v>
      </c>
      <c r="W74" s="15"/>
      <c r="X74" s="21">
        <f>+P74-T74</f>
        <v>55450.229634846037</v>
      </c>
      <c r="Y74" s="15"/>
      <c r="Z74" s="22">
        <f>IF(T74=0,0,X74/T74)</f>
        <v>-0.10325696571501332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1">
        <f>+D74-D76</f>
        <v>-56736.340000000004</v>
      </c>
      <c r="E78" s="14"/>
      <c r="F78" s="32">
        <f>IF(D$12=0,0,D78/D$12)</f>
        <v>0</v>
      </c>
      <c r="G78" s="14"/>
      <c r="H78" s="31">
        <f>+H74-H76</f>
        <v>-63550.765232076883</v>
      </c>
      <c r="I78" s="14"/>
      <c r="J78" s="32">
        <f>IF(H$12=0,0,H78/H$12)</f>
        <v>0</v>
      </c>
      <c r="K78" s="15"/>
      <c r="L78" s="31">
        <f>D78-H78</f>
        <v>6814.4252320768792</v>
      </c>
      <c r="M78" s="15"/>
      <c r="N78" s="32">
        <f>IF(H78=0,0,L78/H78)</f>
        <v>-0.10722805944494493</v>
      </c>
      <c r="O78" s="29"/>
      <c r="P78" s="31">
        <f>+P74-P76</f>
        <v>-481561.76999999996</v>
      </c>
      <c r="Q78" s="14"/>
      <c r="R78" s="32">
        <f>IF(P$12=0,0,P78/P$12)</f>
        <v>0</v>
      </c>
      <c r="S78" s="14"/>
      <c r="T78" s="31">
        <f>+T74-T76</f>
        <v>-537011.999634846</v>
      </c>
      <c r="U78" s="14"/>
      <c r="V78" s="32">
        <f>IF(T$12=0,0,T78/T$12)</f>
        <v>-2685.0599981742298</v>
      </c>
      <c r="W78" s="15"/>
      <c r="X78" s="31">
        <f>P78-T78</f>
        <v>55450.229634846037</v>
      </c>
      <c r="Y78" s="15"/>
      <c r="Z78" s="32">
        <f>IF(T78=0,0,X78/T78)</f>
        <v>-0.10325696571501332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3">
        <f>SUM(D78:D80)</f>
        <v>-56736.340000000004</v>
      </c>
      <c r="E81" s="14"/>
      <c r="F81" s="30">
        <f>IF(D$12=0,0,D81/D$12)</f>
        <v>0</v>
      </c>
      <c r="G81" s="14"/>
      <c r="H81" s="33">
        <f>SUM(H78:H80)</f>
        <v>-63550.765232076883</v>
      </c>
      <c r="I81" s="14"/>
      <c r="J81" s="30">
        <f>IF(H$12=0,0,H81/H$12)</f>
        <v>0</v>
      </c>
      <c r="K81" s="15"/>
      <c r="L81" s="33">
        <f>+D81-H81</f>
        <v>6814.4252320768792</v>
      </c>
      <c r="M81" s="15"/>
      <c r="N81" s="30">
        <f>IF(H81=0,0,L81/H81)</f>
        <v>-0.10722805944494493</v>
      </c>
      <c r="O81" s="29"/>
      <c r="P81" s="33">
        <f>SUM(P78:P80)</f>
        <v>-481561.76999999996</v>
      </c>
      <c r="Q81" s="14"/>
      <c r="R81" s="30">
        <f>IF(P$12=0,0,P81/P$12)</f>
        <v>0</v>
      </c>
      <c r="S81" s="14"/>
      <c r="T81" s="33">
        <f>SUM(T78:T80)</f>
        <v>-537011.999634846</v>
      </c>
      <c r="U81" s="14"/>
      <c r="V81" s="30">
        <f>IF(T$12=0,0,T81/T$12)</f>
        <v>-2685.0599981742298</v>
      </c>
      <c r="W81" s="15"/>
      <c r="X81" s="33">
        <f>+P81-T81</f>
        <v>55450.229634846037</v>
      </c>
      <c r="Y81" s="15"/>
      <c r="Z81" s="30">
        <f>IF(T81=0,0,X81/T81)</f>
        <v>-0.10325696571501332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9">
        <v>43908.494428275466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63" t="s">
        <v>314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7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7108.4000000000015</v>
      </c>
      <c r="E18" s="20"/>
      <c r="F18" s="34">
        <f t="shared" ref="F18:F28" si="0">IF(D$12=0,0,D18/D$12)</f>
        <v>0</v>
      </c>
      <c r="G18" s="20"/>
      <c r="H18" s="20">
        <f>SUM(OSRRefH22x_0)</f>
        <v>7260.5090453384582</v>
      </c>
      <c r="I18" s="20"/>
      <c r="J18" s="34">
        <f t="shared" ref="J18:J28" si="1">IF(H$12=0,0,H18/H$12)</f>
        <v>0</v>
      </c>
      <c r="K18" s="4"/>
      <c r="L18" s="20">
        <f t="shared" ref="L18:L28" si="2">+D18-H18</f>
        <v>-152.10904533845678</v>
      </c>
      <c r="M18" s="4"/>
      <c r="N18" s="34">
        <f t="shared" ref="N18:N28" si="3">IF(H18=0,0,L18/H18)</f>
        <v>-2.0950190184821402E-2</v>
      </c>
      <c r="O18" s="10"/>
      <c r="P18" s="20">
        <f>SUM(OSRRefP22x_0)</f>
        <v>66733.62000000001</v>
      </c>
      <c r="Q18" s="20"/>
      <c r="R18" s="34">
        <f t="shared" ref="R18:R28" si="4">IF(P$12=0,0,P18/P$12)</f>
        <v>0</v>
      </c>
      <c r="S18" s="20"/>
      <c r="T18" s="20">
        <f>SUM(OSRRefT22x_0)</f>
        <v>67674.704146711549</v>
      </c>
      <c r="U18" s="20"/>
      <c r="V18" s="34">
        <f t="shared" ref="V18:V28" si="5">IF(T$12=0,0,T18/T$12)</f>
        <v>0</v>
      </c>
      <c r="W18" s="4"/>
      <c r="X18" s="20">
        <f t="shared" ref="X18:X28" si="6">+P18-T18</f>
        <v>-941.08414671153878</v>
      </c>
      <c r="Y18" s="4"/>
      <c r="Z18" s="34">
        <f t="shared" ref="Z18:Z28" si="7">IF(T18=0,0,X18/T18)</f>
        <v>-1.3905995727315905E-2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2460.4699999999998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165.68767773846184</v>
      </c>
      <c r="M19" s="1"/>
      <c r="N19" s="5">
        <f t="shared" si="3"/>
        <v>7.2201914809581796E-2</v>
      </c>
      <c r="O19" s="13"/>
      <c r="P19" s="1">
        <f>SUM(OSRRefP22_0x_0)</f>
        <v>21459.309999999998</v>
      </c>
      <c r="Q19" s="1"/>
      <c r="R19" s="5">
        <f t="shared" si="4"/>
        <v>0</v>
      </c>
      <c r="S19" s="1"/>
      <c r="T19" s="1">
        <f>SUM(OSRRefT22_0x_0)</f>
        <v>19469.595319788463</v>
      </c>
      <c r="U19" s="1"/>
      <c r="V19" s="5">
        <f t="shared" si="5"/>
        <v>0</v>
      </c>
      <c r="W19" s="1"/>
      <c r="X19" s="1">
        <f t="shared" si="6"/>
        <v>1989.7146802115349</v>
      </c>
      <c r="Y19" s="1"/>
      <c r="Z19" s="5">
        <f t="shared" si="7"/>
        <v>0.10219599573234238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315.83999999999997</v>
      </c>
      <c r="E20" s="2"/>
      <c r="F20" s="7">
        <f t="shared" si="0"/>
        <v>0</v>
      </c>
      <c r="G20" s="2"/>
      <c r="H20" s="6">
        <v>321.40351195384602</v>
      </c>
      <c r="I20" s="2"/>
      <c r="J20" s="7">
        <f t="shared" si="1"/>
        <v>0</v>
      </c>
      <c r="K20" s="2"/>
      <c r="L20" s="6">
        <f t="shared" si="2"/>
        <v>-5.5635119538460458</v>
      </c>
      <c r="M20" s="2"/>
      <c r="N20" s="7">
        <f t="shared" si="3"/>
        <v>-1.7310053396818431E-2</v>
      </c>
      <c r="O20" s="11"/>
      <c r="P20" s="6">
        <v>2776.28</v>
      </c>
      <c r="Q20" s="2"/>
      <c r="R20" s="7">
        <f t="shared" si="4"/>
        <v>0</v>
      </c>
      <c r="S20" s="2"/>
      <c r="T20" s="6">
        <v>2812.2807295961538</v>
      </c>
      <c r="U20" s="2"/>
      <c r="V20" s="7">
        <f t="shared" si="5"/>
        <v>0</v>
      </c>
      <c r="W20" s="2"/>
      <c r="X20" s="6">
        <f t="shared" si="6"/>
        <v>-36.000729596153633</v>
      </c>
      <c r="Y20" s="2"/>
      <c r="Z20" s="7">
        <f t="shared" si="7"/>
        <v>-1.2801257433970105E-2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279.52</v>
      </c>
      <c r="E21" s="2"/>
      <c r="F21" s="7">
        <f t="shared" si="0"/>
        <v>0</v>
      </c>
      <c r="G21" s="2"/>
      <c r="H21" s="6">
        <v>284.32010661538499</v>
      </c>
      <c r="I21" s="2"/>
      <c r="J21" s="7">
        <f t="shared" si="1"/>
        <v>0</v>
      </c>
      <c r="K21" s="2"/>
      <c r="L21" s="6">
        <f t="shared" si="2"/>
        <v>-4.8001066153850047</v>
      </c>
      <c r="M21" s="2"/>
      <c r="N21" s="7">
        <f t="shared" si="3"/>
        <v>-1.6882754696903535E-2</v>
      </c>
      <c r="O21" s="11"/>
      <c r="P21" s="6">
        <v>2092.9299999999998</v>
      </c>
      <c r="Q21" s="2"/>
      <c r="R21" s="7">
        <f t="shared" si="4"/>
        <v>0</v>
      </c>
      <c r="S21" s="2"/>
      <c r="T21" s="6">
        <v>2487.8009328846179</v>
      </c>
      <c r="U21" s="2"/>
      <c r="V21" s="7">
        <f t="shared" si="5"/>
        <v>0</v>
      </c>
      <c r="W21" s="2"/>
      <c r="X21" s="6">
        <f t="shared" si="6"/>
        <v>-394.87093288461801</v>
      </c>
      <c r="Y21" s="2"/>
      <c r="Z21" s="7">
        <f t="shared" si="7"/>
        <v>-0.15872288158794248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33.159999999999968</v>
      </c>
      <c r="M22" s="2"/>
      <c r="N22" s="7">
        <f t="shared" si="3"/>
        <v>5.001508295625938E-2</v>
      </c>
      <c r="O22" s="11"/>
      <c r="P22" s="6">
        <v>5563.16</v>
      </c>
      <c r="Q22" s="2"/>
      <c r="R22" s="7">
        <f t="shared" si="4"/>
        <v>0</v>
      </c>
      <c r="S22" s="2"/>
      <c r="T22" s="6">
        <v>5304</v>
      </c>
      <c r="U22" s="2"/>
      <c r="V22" s="7">
        <f t="shared" si="5"/>
        <v>0</v>
      </c>
      <c r="W22" s="2"/>
      <c r="X22" s="6">
        <f t="shared" si="6"/>
        <v>259.15999999999985</v>
      </c>
      <c r="Y22" s="2"/>
      <c r="Z22" s="7">
        <f t="shared" si="7"/>
        <v>4.8861236802413242E-2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10.74</v>
      </c>
      <c r="E23" s="2"/>
      <c r="F23" s="7">
        <f t="shared" si="0"/>
        <v>0</v>
      </c>
      <c r="G23" s="2"/>
      <c r="H23" s="6">
        <v>10.919236</v>
      </c>
      <c r="I23" s="2"/>
      <c r="J23" s="7">
        <f t="shared" si="1"/>
        <v>0</v>
      </c>
      <c r="K23" s="2"/>
      <c r="L23" s="6">
        <f t="shared" si="2"/>
        <v>-0.17923599999999951</v>
      </c>
      <c r="M23" s="2"/>
      <c r="N23" s="7">
        <f t="shared" si="3"/>
        <v>-1.6414701541389846E-2</v>
      </c>
      <c r="O23" s="11"/>
      <c r="P23" s="6">
        <v>93.42</v>
      </c>
      <c r="Q23" s="2"/>
      <c r="R23" s="7">
        <f t="shared" si="4"/>
        <v>0</v>
      </c>
      <c r="S23" s="2"/>
      <c r="T23" s="6">
        <v>95.543315000000007</v>
      </c>
      <c r="U23" s="2"/>
      <c r="V23" s="7">
        <f t="shared" si="5"/>
        <v>0</v>
      </c>
      <c r="W23" s="2"/>
      <c r="X23" s="6">
        <f t="shared" si="6"/>
        <v>-2.1233150000000052</v>
      </c>
      <c r="Y23" s="2"/>
      <c r="Z23" s="7">
        <f t="shared" si="7"/>
        <v>-2.2223585187514217E-2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361.174729230769</v>
      </c>
      <c r="I24" s="2"/>
      <c r="J24" s="7">
        <f t="shared" si="1"/>
        <v>0</v>
      </c>
      <c r="K24" s="2"/>
      <c r="L24" s="6">
        <f t="shared" si="2"/>
        <v>68.085270769230988</v>
      </c>
      <c r="M24" s="2"/>
      <c r="N24" s="7">
        <f t="shared" si="3"/>
        <v>0.18851061621680784</v>
      </c>
      <c r="O24" s="11"/>
      <c r="P24" s="6">
        <v>3648.7</v>
      </c>
      <c r="Q24" s="2"/>
      <c r="R24" s="7">
        <f t="shared" si="4"/>
        <v>0</v>
      </c>
      <c r="S24" s="2"/>
      <c r="T24" s="6">
        <v>3160.2788807692309</v>
      </c>
      <c r="U24" s="2"/>
      <c r="V24" s="7">
        <f t="shared" si="5"/>
        <v>0</v>
      </c>
      <c r="W24" s="2"/>
      <c r="X24" s="6">
        <f t="shared" si="6"/>
        <v>488.42111923076891</v>
      </c>
      <c r="Y24" s="2"/>
      <c r="Z24" s="7">
        <f t="shared" si="7"/>
        <v>0.15455000576148023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387.96</v>
      </c>
      <c r="E26" s="2"/>
      <c r="F26" s="7">
        <f t="shared" si="0"/>
        <v>0</v>
      </c>
      <c r="G26" s="2"/>
      <c r="H26" s="6">
        <v>419.97061538461503</v>
      </c>
      <c r="I26" s="2"/>
      <c r="J26" s="7">
        <f t="shared" si="1"/>
        <v>0</v>
      </c>
      <c r="K26" s="2"/>
      <c r="L26" s="6">
        <f t="shared" si="2"/>
        <v>-32.010615384615051</v>
      </c>
      <c r="M26" s="2"/>
      <c r="N26" s="7">
        <f t="shared" si="3"/>
        <v>-7.622108359962107E-2</v>
      </c>
      <c r="O26" s="11"/>
      <c r="P26" s="6">
        <v>3612.89</v>
      </c>
      <c r="Q26" s="2"/>
      <c r="R26" s="7">
        <f t="shared" si="4"/>
        <v>0</v>
      </c>
      <c r="S26" s="2"/>
      <c r="T26" s="6">
        <v>3674.7428846153816</v>
      </c>
      <c r="U26" s="2"/>
      <c r="V26" s="7">
        <f t="shared" si="5"/>
        <v>0</v>
      </c>
      <c r="W26" s="2"/>
      <c r="X26" s="6">
        <f t="shared" si="6"/>
        <v>-61.852884615381754</v>
      </c>
      <c r="Y26" s="2"/>
      <c r="Z26" s="7">
        <f t="shared" si="7"/>
        <v>-1.683189451820807E-2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83.994123076923103</v>
      </c>
      <c r="I27" s="2"/>
      <c r="J27" s="7">
        <f t="shared" si="1"/>
        <v>0</v>
      </c>
      <c r="K27" s="2"/>
      <c r="L27" s="6">
        <f t="shared" si="2"/>
        <v>109.7258769230769</v>
      </c>
      <c r="M27" s="2"/>
      <c r="N27" s="7">
        <f t="shared" si="3"/>
        <v>1.3063518363372668</v>
      </c>
      <c r="O27" s="11"/>
      <c r="P27" s="6">
        <v>2491.66</v>
      </c>
      <c r="Q27" s="2"/>
      <c r="R27" s="7">
        <f t="shared" si="4"/>
        <v>0</v>
      </c>
      <c r="S27" s="2"/>
      <c r="T27" s="6">
        <v>734.94857692307755</v>
      </c>
      <c r="U27" s="2"/>
      <c r="V27" s="7">
        <f t="shared" si="5"/>
        <v>0</v>
      </c>
      <c r="W27" s="2"/>
      <c r="X27" s="6">
        <f t="shared" si="6"/>
        <v>1756.7114230769223</v>
      </c>
      <c r="Y27" s="2"/>
      <c r="Z27" s="7">
        <f t="shared" si="7"/>
        <v>2.3902507988130797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147.27000000000001</v>
      </c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-2.7299999999999898</v>
      </c>
      <c r="M28" s="2"/>
      <c r="N28" s="7">
        <f t="shared" si="3"/>
        <v>-1.8199999999999932E-2</v>
      </c>
      <c r="O28" s="11"/>
      <c r="P28" s="6">
        <v>1180.27</v>
      </c>
      <c r="Q28" s="2"/>
      <c r="R28" s="7">
        <f t="shared" si="4"/>
        <v>0</v>
      </c>
      <c r="S28" s="2"/>
      <c r="T28" s="6">
        <v>1200</v>
      </c>
      <c r="U28" s="2"/>
      <c r="V28" s="7">
        <f t="shared" si="5"/>
        <v>0</v>
      </c>
      <c r="W28" s="2"/>
      <c r="X28" s="6">
        <f t="shared" si="6"/>
        <v>-19.730000000000018</v>
      </c>
      <c r="Y28" s="2"/>
      <c r="Z28" s="7">
        <f t="shared" si="7"/>
        <v>-1.6441666666666681E-2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3254.8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-650.9267230769201</v>
      </c>
      <c r="M29" s="1"/>
      <c r="N29" s="5">
        <f t="shared" ref="N29:N39" si="11">IF(H29=0,0,L29/H29)</f>
        <v>-0.16665956663863105</v>
      </c>
      <c r="O29" s="13"/>
      <c r="P29" s="1">
        <f>SUM(OSRRefP22_1x_0)</f>
        <v>33348.700000000004</v>
      </c>
      <c r="Q29" s="1"/>
      <c r="R29" s="5">
        <f t="shared" ref="R29:R39" si="12">IF(P$12=0,0,P29/P$12)</f>
        <v>0</v>
      </c>
      <c r="S29" s="1"/>
      <c r="T29" s="1">
        <f>SUM(OSRRefT22_1x_0)</f>
        <v>34175.108826923082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-826.40882692307787</v>
      </c>
      <c r="Y29" s="1"/>
      <c r="Z29" s="5">
        <f t="shared" ref="Z29:Z39" si="15">IF(T29=0,0,X29/T29)</f>
        <v>-2.4181600448102587E-2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3254.8</v>
      </c>
      <c r="E31" s="2"/>
      <c r="F31" s="7">
        <f t="shared" si="8"/>
        <v>0</v>
      </c>
      <c r="G31" s="2"/>
      <c r="H31" s="6">
        <v>3905.7267230769203</v>
      </c>
      <c r="I31" s="2"/>
      <c r="J31" s="7">
        <f t="shared" si="9"/>
        <v>0</v>
      </c>
      <c r="K31" s="2"/>
      <c r="L31" s="6">
        <f t="shared" si="10"/>
        <v>-650.9267230769201</v>
      </c>
      <c r="M31" s="2"/>
      <c r="N31" s="7">
        <f t="shared" si="11"/>
        <v>-0.16665956663863105</v>
      </c>
      <c r="O31" s="11"/>
      <c r="P31" s="6">
        <v>33348.700000000004</v>
      </c>
      <c r="Q31" s="2"/>
      <c r="R31" s="7">
        <f t="shared" si="12"/>
        <v>0</v>
      </c>
      <c r="S31" s="2"/>
      <c r="T31" s="6">
        <v>34175.108826923082</v>
      </c>
      <c r="U31" s="2"/>
      <c r="V31" s="7">
        <f t="shared" si="13"/>
        <v>0</v>
      </c>
      <c r="W31" s="2"/>
      <c r="X31" s="6">
        <f t="shared" si="14"/>
        <v>-826.40882692307787</v>
      </c>
      <c r="Y31" s="2"/>
      <c r="Z31" s="7">
        <f t="shared" si="15"/>
        <v>-2.4181600448102587E-2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-90.83</v>
      </c>
      <c r="E40" s="1"/>
      <c r="F40" s="5">
        <f t="shared" ref="F40:F48" si="16">IF(D$12=0,0,D40/D$12)</f>
        <v>0</v>
      </c>
      <c r="G40" s="1"/>
      <c r="H40" s="1">
        <f>SUM(OSRRefH22_2x_0)</f>
        <v>-500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409.17</v>
      </c>
      <c r="M40" s="1"/>
      <c r="N40" s="5">
        <f t="shared" ref="N40:N48" si="19">IF(H40=0,0,L40/H40)</f>
        <v>-0.81834000000000007</v>
      </c>
      <c r="O40" s="13"/>
      <c r="P40" s="1">
        <f>SUM(OSRRefP22_2x_0)</f>
        <v>-709.61</v>
      </c>
      <c r="Q40" s="1"/>
      <c r="R40" s="5">
        <f t="shared" ref="R40:R48" si="20">IF(P$12=0,0,P40/P$12)</f>
        <v>0</v>
      </c>
      <c r="S40" s="1"/>
      <c r="T40" s="1">
        <f>SUM(OSRRefT22_2x_0)</f>
        <v>-4000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3290.39</v>
      </c>
      <c r="Y40" s="1"/>
      <c r="Z40" s="5">
        <f t="shared" ref="Z40:Z48" si="23">IF(T40=0,0,X40/T40)</f>
        <v>-0.82259749999999998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6">
        <v>-90.83</v>
      </c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409.17</v>
      </c>
      <c r="M41" s="2"/>
      <c r="N41" s="7">
        <f t="shared" si="19"/>
        <v>-0.81834000000000007</v>
      </c>
      <c r="O41" s="11"/>
      <c r="P41" s="6">
        <v>-709.61</v>
      </c>
      <c r="Q41" s="2"/>
      <c r="R41" s="7">
        <f t="shared" si="20"/>
        <v>0</v>
      </c>
      <c r="S41" s="2"/>
      <c r="T41" s="6">
        <v>-4000</v>
      </c>
      <c r="U41" s="2"/>
      <c r="V41" s="7">
        <f t="shared" si="21"/>
        <v>0</v>
      </c>
      <c r="W41" s="2"/>
      <c r="X41" s="6">
        <f t="shared" si="22"/>
        <v>3290.39</v>
      </c>
      <c r="Y41" s="2"/>
      <c r="Z41" s="7">
        <f t="shared" si="23"/>
        <v>-0.82259749999999998</v>
      </c>
    </row>
    <row r="42" spans="1:26" s="27" customFormat="1" outlineLevel="1" collapsed="1" x14ac:dyDescent="0.25">
      <c r="A42" s="26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196.48</v>
      </c>
      <c r="Q42" s="1"/>
      <c r="R42" s="5">
        <f t="shared" si="20"/>
        <v>0</v>
      </c>
      <c r="S42" s="1"/>
      <c r="T42" s="1">
        <f>SUM(OSRRefT22_3x_0)</f>
        <v>200</v>
      </c>
      <c r="U42" s="1"/>
      <c r="V42" s="5">
        <f t="shared" si="21"/>
        <v>0</v>
      </c>
      <c r="W42" s="1"/>
      <c r="X42" s="1">
        <f t="shared" si="22"/>
        <v>-3.5200000000000102</v>
      </c>
      <c r="Y42" s="1"/>
      <c r="Z42" s="5">
        <f t="shared" si="23"/>
        <v>-1.760000000000005E-2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196.48</v>
      </c>
      <c r="Q43" s="2"/>
      <c r="R43" s="7">
        <f t="shared" si="20"/>
        <v>0</v>
      </c>
      <c r="S43" s="2"/>
      <c r="T43" s="6">
        <v>200</v>
      </c>
      <c r="U43" s="2"/>
      <c r="V43" s="7">
        <f t="shared" si="21"/>
        <v>0</v>
      </c>
      <c r="W43" s="2"/>
      <c r="X43" s="6">
        <f t="shared" si="22"/>
        <v>-3.5200000000000102</v>
      </c>
      <c r="Y43" s="2"/>
      <c r="Z43" s="7">
        <f t="shared" si="23"/>
        <v>-1.760000000000005E-2</v>
      </c>
    </row>
    <row r="44" spans="1:26" s="27" customFormat="1" outlineLevel="1" collapsed="1" x14ac:dyDescent="0.25">
      <c r="A44" s="26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7" customFormat="1" outlineLevel="1" collapsed="1" x14ac:dyDescent="0.25">
      <c r="A46" s="26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1455.95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-44.049999999999955</v>
      </c>
      <c r="M46" s="1"/>
      <c r="N46" s="5">
        <f t="shared" si="19"/>
        <v>-2.9366666666666635E-2</v>
      </c>
      <c r="O46" s="13"/>
      <c r="P46" s="1">
        <f>SUM(OSRRefP22_5x_0)</f>
        <v>10452.76</v>
      </c>
      <c r="Q46" s="1"/>
      <c r="R46" s="5">
        <f t="shared" si="20"/>
        <v>0</v>
      </c>
      <c r="S46" s="1"/>
      <c r="T46" s="1">
        <f>SUM(OSRRefT22_5x_0)</f>
        <v>12000</v>
      </c>
      <c r="U46" s="1"/>
      <c r="V46" s="5">
        <f t="shared" si="21"/>
        <v>0</v>
      </c>
      <c r="W46" s="1"/>
      <c r="X46" s="1">
        <f t="shared" si="22"/>
        <v>-1547.2399999999998</v>
      </c>
      <c r="Y46" s="1"/>
      <c r="Z46" s="5">
        <f t="shared" si="23"/>
        <v>-0.12893666666666664</v>
      </c>
    </row>
    <row r="47" spans="1:26" s="24" customFormat="1" hidden="1" outlineLevel="2" x14ac:dyDescent="0.25">
      <c r="A47" s="25"/>
      <c r="B47" s="11" t="str">
        <f>CONCATENATE("          ", "6373", " - ", "MAINTENANCE CONTRACTS")</f>
        <v xml:space="preserve">          6373 - MAINTENANCE CONTRACTS</v>
      </c>
      <c r="C47" s="11"/>
      <c r="D47" s="6">
        <v>1455.95</v>
      </c>
      <c r="E47" s="2"/>
      <c r="F47" s="7">
        <f t="shared" si="16"/>
        <v>0</v>
      </c>
      <c r="G47" s="2"/>
      <c r="H47" s="6">
        <v>1500</v>
      </c>
      <c r="I47" s="2"/>
      <c r="J47" s="7">
        <f t="shared" si="17"/>
        <v>0</v>
      </c>
      <c r="K47" s="2"/>
      <c r="L47" s="6">
        <f t="shared" si="18"/>
        <v>-44.049999999999955</v>
      </c>
      <c r="M47" s="2"/>
      <c r="N47" s="7">
        <f t="shared" si="19"/>
        <v>-2.9366666666666635E-2</v>
      </c>
      <c r="O47" s="11"/>
      <c r="P47" s="6">
        <v>9891.65</v>
      </c>
      <c r="Q47" s="2"/>
      <c r="R47" s="7">
        <f t="shared" si="20"/>
        <v>0</v>
      </c>
      <c r="S47" s="2"/>
      <c r="T47" s="6">
        <v>12000</v>
      </c>
      <c r="U47" s="2"/>
      <c r="V47" s="7">
        <f t="shared" si="21"/>
        <v>0</v>
      </c>
      <c r="W47" s="2"/>
      <c r="X47" s="6">
        <f t="shared" si="22"/>
        <v>-2108.3500000000004</v>
      </c>
      <c r="Y47" s="2"/>
      <c r="Z47" s="7">
        <f t="shared" si="23"/>
        <v>-0.17569583333333336</v>
      </c>
    </row>
    <row r="48" spans="1:26" s="24" customFormat="1" hidden="1" outlineLevel="2" x14ac:dyDescent="0.25">
      <c r="A48" s="25"/>
      <c r="B48" s="11" t="str">
        <f>CONCATENATE("          ", "6375", " - ", "OUTSIDE REPAIRS &amp; MAINTENANCE")</f>
        <v xml:space="preserve">          6375 - OUTSIDE REPAIRS &amp; MAINTENANCE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561.11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561.11</v>
      </c>
      <c r="Y48" s="2"/>
      <c r="Z48" s="7">
        <f t="shared" si="23"/>
        <v>0</v>
      </c>
    </row>
    <row r="49" spans="1:26" s="27" customFormat="1" outlineLevel="1" collapsed="1" x14ac:dyDescent="0.25">
      <c r="A49" s="26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SUM(OSRRefD22_6x_0)</f>
        <v>13.26</v>
      </c>
      <c r="E49" s="1"/>
      <c r="F49" s="5">
        <f t="shared" ref="F49:F53" si="24">IF(D$12=0,0,D49/D$12)</f>
        <v>0</v>
      </c>
      <c r="G49" s="1"/>
      <c r="H49" s="1">
        <f>SUM(OSRRefH22_6x_0)</f>
        <v>10</v>
      </c>
      <c r="I49" s="1"/>
      <c r="J49" s="5">
        <f t="shared" ref="J49:J53" si="25">IF(H$12=0,0,H49/H$12)</f>
        <v>0</v>
      </c>
      <c r="K49" s="1"/>
      <c r="L49" s="1">
        <f t="shared" ref="L49:L53" si="26">+D49-H49</f>
        <v>3.26</v>
      </c>
      <c r="M49" s="1"/>
      <c r="N49" s="5">
        <f t="shared" ref="N49:N53" si="27">IF(H49=0,0,L49/H49)</f>
        <v>0.32599999999999996</v>
      </c>
      <c r="O49" s="13"/>
      <c r="P49" s="1">
        <f>SUM(OSRRefP22_6x_0)</f>
        <v>70.72</v>
      </c>
      <c r="Q49" s="1"/>
      <c r="R49" s="5">
        <f t="shared" ref="R49:R53" si="28">IF(P$12=0,0,P49/P$12)</f>
        <v>0</v>
      </c>
      <c r="S49" s="1"/>
      <c r="T49" s="1">
        <f>SUM(OSRRefT22_6x_0)</f>
        <v>80</v>
      </c>
      <c r="U49" s="1"/>
      <c r="V49" s="5">
        <f t="shared" ref="V49:V53" si="29">IF(T$12=0,0,T49/T$12)</f>
        <v>0</v>
      </c>
      <c r="W49" s="1"/>
      <c r="X49" s="1">
        <f t="shared" ref="X49:X53" si="30">+P49-T49</f>
        <v>-9.2800000000000011</v>
      </c>
      <c r="Y49" s="1"/>
      <c r="Z49" s="5">
        <f t="shared" ref="Z49:Z53" si="31">IF(T49=0,0,X49/T49)</f>
        <v>-0.11600000000000002</v>
      </c>
    </row>
    <row r="50" spans="1:26" s="24" customFormat="1" hidden="1" outlineLevel="2" x14ac:dyDescent="0.25">
      <c r="A50" s="25"/>
      <c r="B50" s="11" t="str">
        <f>CONCATENATE("          ", "6286", " - ", "LAUNDRY EXPENSE")</f>
        <v xml:space="preserve">          6286 - LAUNDRY EXPENSE</v>
      </c>
      <c r="C50" s="11"/>
      <c r="D50" s="6">
        <v>13.26</v>
      </c>
      <c r="E50" s="2"/>
      <c r="F50" s="7">
        <f t="shared" si="24"/>
        <v>0</v>
      </c>
      <c r="G50" s="2"/>
      <c r="H50" s="6">
        <v>10</v>
      </c>
      <c r="I50" s="2"/>
      <c r="J50" s="7">
        <f t="shared" si="25"/>
        <v>0</v>
      </c>
      <c r="K50" s="2"/>
      <c r="L50" s="6">
        <f t="shared" si="26"/>
        <v>3.26</v>
      </c>
      <c r="M50" s="2"/>
      <c r="N50" s="7">
        <f t="shared" si="27"/>
        <v>0.32599999999999996</v>
      </c>
      <c r="O50" s="11"/>
      <c r="P50" s="6">
        <v>70.72</v>
      </c>
      <c r="Q50" s="2"/>
      <c r="R50" s="7">
        <f t="shared" si="28"/>
        <v>0</v>
      </c>
      <c r="S50" s="2"/>
      <c r="T50" s="6">
        <v>80</v>
      </c>
      <c r="U50" s="2"/>
      <c r="V50" s="7">
        <f t="shared" si="29"/>
        <v>0</v>
      </c>
      <c r="W50" s="2"/>
      <c r="X50" s="6">
        <f t="shared" si="30"/>
        <v>-9.2800000000000011</v>
      </c>
      <c r="Y50" s="2"/>
      <c r="Z50" s="7">
        <f t="shared" si="31"/>
        <v>-0.11600000000000002</v>
      </c>
    </row>
    <row r="51" spans="1:26" s="27" customFormat="1" outlineLevel="1" collapsed="1" x14ac:dyDescent="0.25">
      <c r="A51" s="26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65.89</v>
      </c>
      <c r="E51" s="1"/>
      <c r="F51" s="5">
        <f t="shared" si="24"/>
        <v>0</v>
      </c>
      <c r="G51" s="1"/>
      <c r="H51" s="1">
        <f>SUM(OSRRefH22_7x_0)</f>
        <v>10</v>
      </c>
      <c r="I51" s="1"/>
      <c r="J51" s="5">
        <f t="shared" si="25"/>
        <v>0</v>
      </c>
      <c r="K51" s="1"/>
      <c r="L51" s="1">
        <f t="shared" si="26"/>
        <v>55.89</v>
      </c>
      <c r="M51" s="1"/>
      <c r="N51" s="5">
        <f t="shared" si="27"/>
        <v>5.5890000000000004</v>
      </c>
      <c r="O51" s="13"/>
      <c r="P51" s="1">
        <f>SUM(OSRRefP22_7x_0)</f>
        <v>1123.9000000000001</v>
      </c>
      <c r="Q51" s="1"/>
      <c r="R51" s="5">
        <f t="shared" si="28"/>
        <v>0</v>
      </c>
      <c r="S51" s="1"/>
      <c r="T51" s="1">
        <f>SUM(OSRRefT22_7x_0)</f>
        <v>680</v>
      </c>
      <c r="U51" s="1"/>
      <c r="V51" s="5">
        <f t="shared" si="29"/>
        <v>0</v>
      </c>
      <c r="W51" s="1"/>
      <c r="X51" s="1">
        <f t="shared" si="30"/>
        <v>443.90000000000009</v>
      </c>
      <c r="Y51" s="1"/>
      <c r="Z51" s="5">
        <f t="shared" si="31"/>
        <v>0.65279411764705897</v>
      </c>
    </row>
    <row r="52" spans="1:26" s="24" customFormat="1" hidden="1" outlineLevel="2" x14ac:dyDescent="0.25">
      <c r="A52" s="25"/>
      <c r="B52" s="11" t="str">
        <f>CONCATENATE("          ", "6234", " - ", "EXPENDABLE SUPPLIES &amp; EQUIPMEN")</f>
        <v xml:space="preserve">          6234 - EXPENDABLE SUPPLIES &amp; EQUIPMEN</v>
      </c>
      <c r="C52" s="11"/>
      <c r="D52" s="6"/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1006.59</v>
      </c>
      <c r="Q52" s="2"/>
      <c r="R52" s="7">
        <f t="shared" si="28"/>
        <v>0</v>
      </c>
      <c r="S52" s="2"/>
      <c r="T52" s="6">
        <v>600</v>
      </c>
      <c r="U52" s="2"/>
      <c r="V52" s="7">
        <f t="shared" si="29"/>
        <v>0</v>
      </c>
      <c r="W52" s="2"/>
      <c r="X52" s="6">
        <f t="shared" si="30"/>
        <v>406.59000000000003</v>
      </c>
      <c r="Y52" s="2"/>
      <c r="Z52" s="7">
        <f t="shared" si="31"/>
        <v>0.67765000000000009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>
        <v>65.89</v>
      </c>
      <c r="E53" s="2"/>
      <c r="F53" s="7">
        <f t="shared" si="24"/>
        <v>0</v>
      </c>
      <c r="G53" s="2"/>
      <c r="H53" s="6">
        <v>10</v>
      </c>
      <c r="I53" s="2"/>
      <c r="J53" s="7">
        <f t="shared" si="25"/>
        <v>0</v>
      </c>
      <c r="K53" s="2"/>
      <c r="L53" s="6">
        <f t="shared" si="26"/>
        <v>55.89</v>
      </c>
      <c r="M53" s="2"/>
      <c r="N53" s="7">
        <f t="shared" si="27"/>
        <v>5.5890000000000004</v>
      </c>
      <c r="O53" s="11"/>
      <c r="P53" s="6">
        <v>117.31</v>
      </c>
      <c r="Q53" s="2"/>
      <c r="R53" s="7">
        <f t="shared" si="28"/>
        <v>0</v>
      </c>
      <c r="S53" s="2"/>
      <c r="T53" s="6">
        <v>80</v>
      </c>
      <c r="U53" s="2"/>
      <c r="V53" s="7">
        <f t="shared" si="29"/>
        <v>0</v>
      </c>
      <c r="W53" s="2"/>
      <c r="X53" s="6">
        <f t="shared" si="30"/>
        <v>37.31</v>
      </c>
      <c r="Y53" s="2"/>
      <c r="Z53" s="7">
        <f t="shared" si="31"/>
        <v>0.46637500000000004</v>
      </c>
    </row>
    <row r="54" spans="1:26" s="27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-75.7</v>
      </c>
      <c r="E54" s="1"/>
      <c r="F54" s="5">
        <f t="shared" ref="F54:F57" si="32">IF(D$12=0,0,D54/D$12)</f>
        <v>0</v>
      </c>
      <c r="G54" s="1"/>
      <c r="H54" s="1">
        <f>SUM(OSRRefH22_8x_0)</f>
        <v>15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-90.7</v>
      </c>
      <c r="M54" s="1"/>
      <c r="N54" s="5">
        <f t="shared" ref="N54:N57" si="35">IF(H54=0,0,L54/H54)</f>
        <v>-6.0466666666666669</v>
      </c>
      <c r="O54" s="13"/>
      <c r="P54" s="1">
        <f>SUM(OSRRefP22_8x_0)</f>
        <v>534.5</v>
      </c>
      <c r="Q54" s="1"/>
      <c r="R54" s="5">
        <f t="shared" ref="R54:R57" si="36">IF(P$12=0,0,P54/P$12)</f>
        <v>0</v>
      </c>
      <c r="S54" s="1"/>
      <c r="T54" s="1">
        <f>SUM(OSRRefT22_8x_0)</f>
        <v>570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-35.5</v>
      </c>
      <c r="Y54" s="1"/>
      <c r="Z54" s="5">
        <f t="shared" ref="Z54:Z57" si="39">IF(T54=0,0,X54/T54)</f>
        <v>-6.2280701754385964E-2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6">
        <v>-75.7</v>
      </c>
      <c r="E55" s="2"/>
      <c r="F55" s="7">
        <f t="shared" si="32"/>
        <v>0</v>
      </c>
      <c r="G55" s="2"/>
      <c r="H55" s="6">
        <v>15</v>
      </c>
      <c r="I55" s="2"/>
      <c r="J55" s="7">
        <f t="shared" si="33"/>
        <v>0</v>
      </c>
      <c r="K55" s="2"/>
      <c r="L55" s="6">
        <f t="shared" si="34"/>
        <v>-90.7</v>
      </c>
      <c r="M55" s="2"/>
      <c r="N55" s="7">
        <f t="shared" si="35"/>
        <v>-6.0466666666666669</v>
      </c>
      <c r="O55" s="11"/>
      <c r="P55" s="6">
        <v>534.5</v>
      </c>
      <c r="Q55" s="2"/>
      <c r="R55" s="7">
        <f t="shared" si="36"/>
        <v>0</v>
      </c>
      <c r="S55" s="2"/>
      <c r="T55" s="6">
        <v>570</v>
      </c>
      <c r="U55" s="2"/>
      <c r="V55" s="7">
        <f t="shared" si="37"/>
        <v>0</v>
      </c>
      <c r="W55" s="2"/>
      <c r="X55" s="6">
        <f t="shared" si="38"/>
        <v>-35.5</v>
      </c>
      <c r="Y55" s="2"/>
      <c r="Z55" s="7">
        <f t="shared" si="39"/>
        <v>-6.2280701754385964E-2</v>
      </c>
    </row>
    <row r="56" spans="1:26" s="27" customFormat="1" outlineLevel="1" collapsed="1" x14ac:dyDescent="0.25">
      <c r="A56" s="26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SUM(OSRRefP22_9x_0)</f>
        <v>256.86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256.86</v>
      </c>
      <c r="Y56" s="1"/>
      <c r="Z56" s="5">
        <f t="shared" si="39"/>
        <v>0</v>
      </c>
    </row>
    <row r="57" spans="1:26" s="24" customFormat="1" hidden="1" outlineLevel="2" x14ac:dyDescent="0.25">
      <c r="A57" s="25"/>
      <c r="B57" s="11" t="str">
        <f>CONCATENATE("          ", "6292", " - ", "TRAVEL/CONFERENCE")</f>
        <v xml:space="preserve">          6292 - TRAVEL/CONFERENCE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256.86</v>
      </c>
      <c r="Q57" s="2"/>
      <c r="R57" s="7">
        <f t="shared" si="36"/>
        <v>0</v>
      </c>
      <c r="S57" s="2"/>
      <c r="T57" s="6"/>
      <c r="U57" s="2"/>
      <c r="V57" s="7">
        <f t="shared" si="37"/>
        <v>0</v>
      </c>
      <c r="W57" s="2"/>
      <c r="X57" s="6">
        <f t="shared" si="38"/>
        <v>256.86</v>
      </c>
      <c r="Y57" s="2"/>
      <c r="Z57" s="7">
        <f t="shared" si="39"/>
        <v>0</v>
      </c>
    </row>
    <row r="58" spans="1:26" s="53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1">
        <f>+D16-D18+D59</f>
        <v>-7108.4000000000015</v>
      </c>
      <c r="E61" s="14"/>
      <c r="F61" s="22">
        <f>IF(D$12=0,0,D61/D$12)</f>
        <v>0</v>
      </c>
      <c r="G61" s="14"/>
      <c r="H61" s="21">
        <f>+H16-H18+H59</f>
        <v>-7260.5090453384582</v>
      </c>
      <c r="I61" s="14"/>
      <c r="J61" s="22">
        <f>IF(H$12=0,0,H61/H$12)</f>
        <v>0</v>
      </c>
      <c r="K61" s="15"/>
      <c r="L61" s="21">
        <f>+D61-H61</f>
        <v>152.10904533845678</v>
      </c>
      <c r="M61" s="15"/>
      <c r="N61" s="22">
        <f>IF(H61=0,0,L61/H61)</f>
        <v>-2.0950190184821402E-2</v>
      </c>
      <c r="O61" s="29"/>
      <c r="P61" s="21">
        <f>+P16-P18+P59</f>
        <v>-66733.62000000001</v>
      </c>
      <c r="Q61" s="14"/>
      <c r="R61" s="22">
        <f>IF(P$12=0,0,P61/P$12)</f>
        <v>0</v>
      </c>
      <c r="S61" s="14"/>
      <c r="T61" s="21">
        <f>+T16-T18+T59</f>
        <v>-67674.704146711549</v>
      </c>
      <c r="U61" s="14"/>
      <c r="V61" s="22">
        <f>IF(T$12=0,0,T61/T$12)</f>
        <v>0</v>
      </c>
      <c r="W61" s="15"/>
      <c r="X61" s="21">
        <f>+P61-T61</f>
        <v>941.08414671153878</v>
      </c>
      <c r="Y61" s="15"/>
      <c r="Z61" s="22">
        <f>IF(T61=0,0,X61/T61)</f>
        <v>-1.3905995727315905E-2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1">
        <f>+D61-D63</f>
        <v>-7108.4000000000015</v>
      </c>
      <c r="E65" s="14"/>
      <c r="F65" s="32">
        <f>IF(D$12=0,0,D65/D$12)</f>
        <v>0</v>
      </c>
      <c r="G65" s="14"/>
      <c r="H65" s="31">
        <f>+H61-H63</f>
        <v>-7260.5090453384582</v>
      </c>
      <c r="I65" s="14"/>
      <c r="J65" s="32">
        <f>IF(H$12=0,0,H65/H$12)</f>
        <v>0</v>
      </c>
      <c r="K65" s="15"/>
      <c r="L65" s="31">
        <f>D65-H65</f>
        <v>152.10904533845678</v>
      </c>
      <c r="M65" s="15"/>
      <c r="N65" s="32">
        <f>IF(H65=0,0,L65/H65)</f>
        <v>-2.0950190184821402E-2</v>
      </c>
      <c r="O65" s="29"/>
      <c r="P65" s="31">
        <f>+P61-P63</f>
        <v>-66733.62000000001</v>
      </c>
      <c r="Q65" s="14"/>
      <c r="R65" s="32">
        <f>IF(P$12=0,0,P65/P$12)</f>
        <v>0</v>
      </c>
      <c r="S65" s="14"/>
      <c r="T65" s="31">
        <f>+T61-T63</f>
        <v>-67674.704146711549</v>
      </c>
      <c r="U65" s="14"/>
      <c r="V65" s="32">
        <f>IF(T$12=0,0,T65/T$12)</f>
        <v>0</v>
      </c>
      <c r="W65" s="15"/>
      <c r="X65" s="31">
        <f>P65-T65</f>
        <v>941.08414671153878</v>
      </c>
      <c r="Y65" s="15"/>
      <c r="Z65" s="32">
        <f>IF(T65=0,0,X65/T65)</f>
        <v>-1.3905995727315905E-2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3">
        <f>SUM(D65:D67)</f>
        <v>-7108.4000000000015</v>
      </c>
      <c r="E68" s="14"/>
      <c r="F68" s="30">
        <f>IF(D$12=0,0,D68/D$12)</f>
        <v>0</v>
      </c>
      <c r="G68" s="14"/>
      <c r="H68" s="33">
        <f>SUM(H65:H67)</f>
        <v>-7260.5090453384582</v>
      </c>
      <c r="I68" s="14"/>
      <c r="J68" s="30">
        <f>IF(H$12=0,0,H68/H$12)</f>
        <v>0</v>
      </c>
      <c r="K68" s="15"/>
      <c r="L68" s="33">
        <f>+D68-H68</f>
        <v>152.10904533845678</v>
      </c>
      <c r="M68" s="15"/>
      <c r="N68" s="30">
        <f>IF(H68=0,0,L68/H68)</f>
        <v>-2.0950190184821402E-2</v>
      </c>
      <c r="O68" s="29"/>
      <c r="P68" s="33">
        <f>SUM(P65:P67)</f>
        <v>-66733.62000000001</v>
      </c>
      <c r="Q68" s="14"/>
      <c r="R68" s="30">
        <f>IF(P$12=0,0,P68/P$12)</f>
        <v>0</v>
      </c>
      <c r="S68" s="14"/>
      <c r="T68" s="33">
        <f>SUM(T65:T67)</f>
        <v>-67674.704146711549</v>
      </c>
      <c r="U68" s="14"/>
      <c r="V68" s="30">
        <f>IF(T$12=0,0,T68/T$12)</f>
        <v>0</v>
      </c>
      <c r="W68" s="15"/>
      <c r="X68" s="33">
        <f>+P68-T68</f>
        <v>941.08414671153878</v>
      </c>
      <c r="Y68" s="15"/>
      <c r="Z68" s="30">
        <f>IF(T68=0,0,X68/T68)</f>
        <v>-1.3905995727315905E-2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9">
        <v>43908.49444328704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3" t="s">
        <v>314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7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","206", " - ", "Graphics")</f>
        <v>Department 206 - Graphics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12035.209999999997</v>
      </c>
      <c r="E18" s="20"/>
      <c r="F18" s="34">
        <f t="shared" ref="F18:F28" si="0">IF(D$12=0,0,D18/D$12)</f>
        <v>0</v>
      </c>
      <c r="G18" s="20"/>
      <c r="H18" s="20">
        <f>SUM(OSRRefH22x_0)</f>
        <v>14746.581221016</v>
      </c>
      <c r="I18" s="20"/>
      <c r="J18" s="34">
        <f t="shared" ref="J18:J28" si="1">IF(H$12=0,0,H18/H$12)</f>
        <v>0</v>
      </c>
      <c r="K18" s="4"/>
      <c r="L18" s="20">
        <f t="shared" ref="L18:L28" si="2">+D18-H18</f>
        <v>-2711.3712210160029</v>
      </c>
      <c r="M18" s="4"/>
      <c r="N18" s="34">
        <f t="shared" ref="N18:N28" si="3">IF(H18=0,0,L18/H18)</f>
        <v>-0.18386439408423078</v>
      </c>
      <c r="O18" s="10"/>
      <c r="P18" s="20">
        <f>SUM(OSRRefP22x_0)</f>
        <v>63852.78</v>
      </c>
      <c r="Q18" s="20"/>
      <c r="R18" s="34">
        <f t="shared" ref="R18:R28" si="4">IF(P$12=0,0,P18/P$12)</f>
        <v>0</v>
      </c>
      <c r="S18" s="20"/>
      <c r="T18" s="20">
        <f>SUM(OSRRefT22x_0)</f>
        <v>126030.29217914</v>
      </c>
      <c r="U18" s="20"/>
      <c r="V18" s="34">
        <f t="shared" ref="V18:V28" si="5">IF(T$12=0,0,T18/T$12)</f>
        <v>0</v>
      </c>
      <c r="W18" s="4"/>
      <c r="X18" s="20">
        <f t="shared" ref="X18:X28" si="6">+P18-T18</f>
        <v>-62177.512179140002</v>
      </c>
      <c r="Y18" s="4"/>
      <c r="Z18" s="34">
        <f t="shared" ref="Z18:Z28" si="7">IF(T18=0,0,X18/T18)</f>
        <v>-0.49335370968402276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1696.64</v>
      </c>
      <c r="E19" s="1"/>
      <c r="F19" s="5">
        <f t="shared" si="0"/>
        <v>0</v>
      </c>
      <c r="G19" s="1"/>
      <c r="H19" s="1">
        <f>SUM(OSRRefH22_0x_0)</f>
        <v>5700.6917410160004</v>
      </c>
      <c r="I19" s="1"/>
      <c r="J19" s="5">
        <f t="shared" si="1"/>
        <v>0</v>
      </c>
      <c r="K19" s="1"/>
      <c r="L19" s="1">
        <f t="shared" si="2"/>
        <v>-4004.0517410160001</v>
      </c>
      <c r="M19" s="1"/>
      <c r="N19" s="5">
        <f t="shared" si="3"/>
        <v>-0.70237997824144438</v>
      </c>
      <c r="O19" s="13"/>
      <c r="P19" s="1">
        <f>SUM(OSRRefP22_0x_0)</f>
        <v>14595.919999999998</v>
      </c>
      <c r="Q19" s="1"/>
      <c r="R19" s="5">
        <f t="shared" si="4"/>
        <v>0</v>
      </c>
      <c r="S19" s="1"/>
      <c r="T19" s="1">
        <f>SUM(OSRRefT22_0x_0)</f>
        <v>47187.334229140004</v>
      </c>
      <c r="U19" s="1"/>
      <c r="V19" s="5">
        <f t="shared" si="5"/>
        <v>0</v>
      </c>
      <c r="W19" s="1"/>
      <c r="X19" s="1">
        <f t="shared" si="6"/>
        <v>-32591.414229140006</v>
      </c>
      <c r="Y19" s="1"/>
      <c r="Z19" s="5">
        <f t="shared" si="7"/>
        <v>-0.69068140342230955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348.96</v>
      </c>
      <c r="E20" s="2"/>
      <c r="F20" s="7">
        <f t="shared" si="0"/>
        <v>0</v>
      </c>
      <c r="G20" s="2"/>
      <c r="H20" s="6">
        <v>1236.1835186160001</v>
      </c>
      <c r="I20" s="2"/>
      <c r="J20" s="7">
        <f t="shared" si="1"/>
        <v>0</v>
      </c>
      <c r="K20" s="2"/>
      <c r="L20" s="6">
        <f t="shared" si="2"/>
        <v>-887.22351861600009</v>
      </c>
      <c r="M20" s="2"/>
      <c r="N20" s="7">
        <f t="shared" si="3"/>
        <v>-0.71771181645368731</v>
      </c>
      <c r="O20" s="11"/>
      <c r="P20" s="6">
        <v>3834.18</v>
      </c>
      <c r="Q20" s="2"/>
      <c r="R20" s="7">
        <f t="shared" si="4"/>
        <v>0</v>
      </c>
      <c r="S20" s="2"/>
      <c r="T20" s="6">
        <v>9786.4679831400008</v>
      </c>
      <c r="U20" s="2"/>
      <c r="V20" s="7">
        <f t="shared" si="5"/>
        <v>0</v>
      </c>
      <c r="W20" s="2"/>
      <c r="X20" s="6">
        <f t="shared" si="6"/>
        <v>-5952.2879831400005</v>
      </c>
      <c r="Y20" s="2"/>
      <c r="Z20" s="7">
        <f t="shared" si="7"/>
        <v>-0.60821616066128503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37.46</v>
      </c>
      <c r="E21" s="2"/>
      <c r="F21" s="7">
        <f t="shared" si="0"/>
        <v>0</v>
      </c>
      <c r="G21" s="2"/>
      <c r="H21" s="6">
        <v>54.919952479999999</v>
      </c>
      <c r="I21" s="2"/>
      <c r="J21" s="7">
        <f t="shared" si="1"/>
        <v>0</v>
      </c>
      <c r="K21" s="2"/>
      <c r="L21" s="6">
        <f t="shared" si="2"/>
        <v>-17.459952479999998</v>
      </c>
      <c r="M21" s="2"/>
      <c r="N21" s="7">
        <f t="shared" si="3"/>
        <v>-0.31791637995969363</v>
      </c>
      <c r="O21" s="11"/>
      <c r="P21" s="6">
        <v>184.72</v>
      </c>
      <c r="Q21" s="2"/>
      <c r="R21" s="7">
        <f t="shared" si="4"/>
        <v>0</v>
      </c>
      <c r="S21" s="2"/>
      <c r="T21" s="6">
        <v>463.47112920000001</v>
      </c>
      <c r="U21" s="2"/>
      <c r="V21" s="7">
        <f t="shared" si="5"/>
        <v>0</v>
      </c>
      <c r="W21" s="2"/>
      <c r="X21" s="6">
        <f t="shared" si="6"/>
        <v>-278.75112920000004</v>
      </c>
      <c r="Y21" s="2"/>
      <c r="Z21" s="7">
        <f t="shared" si="7"/>
        <v>-0.6014422725341142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2589</v>
      </c>
      <c r="I22" s="2"/>
      <c r="J22" s="7">
        <f t="shared" si="1"/>
        <v>0</v>
      </c>
      <c r="K22" s="2"/>
      <c r="L22" s="6">
        <f t="shared" si="2"/>
        <v>-1888.13</v>
      </c>
      <c r="M22" s="2"/>
      <c r="N22" s="7">
        <f t="shared" si="3"/>
        <v>-0.72928930088837396</v>
      </c>
      <c r="O22" s="11"/>
      <c r="P22" s="6">
        <v>5607.2</v>
      </c>
      <c r="Q22" s="2"/>
      <c r="R22" s="7">
        <f t="shared" si="4"/>
        <v>0</v>
      </c>
      <c r="S22" s="2"/>
      <c r="T22" s="6">
        <v>21171</v>
      </c>
      <c r="U22" s="2"/>
      <c r="V22" s="7">
        <f t="shared" si="5"/>
        <v>0</v>
      </c>
      <c r="W22" s="2"/>
      <c r="X22" s="6">
        <f t="shared" si="6"/>
        <v>-15563.8</v>
      </c>
      <c r="Y22" s="2"/>
      <c r="Z22" s="7">
        <f t="shared" si="7"/>
        <v>-0.73514713523215713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28.65</v>
      </c>
      <c r="E23" s="2"/>
      <c r="F23" s="7">
        <f t="shared" si="0"/>
        <v>0</v>
      </c>
      <c r="G23" s="2"/>
      <c r="H23" s="6">
        <v>41.997610719999997</v>
      </c>
      <c r="I23" s="2"/>
      <c r="J23" s="7">
        <f t="shared" si="1"/>
        <v>0</v>
      </c>
      <c r="K23" s="2"/>
      <c r="L23" s="6">
        <f t="shared" si="2"/>
        <v>-13.347610719999999</v>
      </c>
      <c r="M23" s="2"/>
      <c r="N23" s="7">
        <f t="shared" si="3"/>
        <v>-0.31781833516647251</v>
      </c>
      <c r="O23" s="11"/>
      <c r="P23" s="6">
        <v>217.43</v>
      </c>
      <c r="Q23" s="2"/>
      <c r="R23" s="7">
        <f t="shared" si="4"/>
        <v>0</v>
      </c>
      <c r="S23" s="2"/>
      <c r="T23" s="6">
        <v>354.41909879999997</v>
      </c>
      <c r="U23" s="2"/>
      <c r="V23" s="7">
        <f t="shared" si="5"/>
        <v>0</v>
      </c>
      <c r="W23" s="2"/>
      <c r="X23" s="6">
        <f t="shared" si="6"/>
        <v>-136.98909879999997</v>
      </c>
      <c r="Y23" s="2"/>
      <c r="Z23" s="7">
        <f t="shared" si="7"/>
        <v>-0.38651725954899352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599.79643920000001</v>
      </c>
      <c r="I24" s="2"/>
      <c r="J24" s="7">
        <f t="shared" si="1"/>
        <v>0</v>
      </c>
      <c r="K24" s="2"/>
      <c r="L24" s="6">
        <f t="shared" si="2"/>
        <v>-599.79643920000001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5248.2188429999997</v>
      </c>
      <c r="U24" s="2"/>
      <c r="V24" s="7">
        <f t="shared" si="5"/>
        <v>0</v>
      </c>
      <c r="W24" s="2"/>
      <c r="X24" s="6">
        <f t="shared" si="6"/>
        <v>-5248.2188429999997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554.71885999999995</v>
      </c>
      <c r="I26" s="2"/>
      <c r="J26" s="7">
        <f t="shared" si="1"/>
        <v>0</v>
      </c>
      <c r="K26" s="2"/>
      <c r="L26" s="6">
        <f t="shared" si="2"/>
        <v>-369.91885999999994</v>
      </c>
      <c r="M26" s="2"/>
      <c r="N26" s="7">
        <f t="shared" si="3"/>
        <v>-0.66685827123310715</v>
      </c>
      <c r="O26" s="11"/>
      <c r="P26" s="6">
        <v>1570.8</v>
      </c>
      <c r="Q26" s="2"/>
      <c r="R26" s="7">
        <f t="shared" si="4"/>
        <v>0</v>
      </c>
      <c r="S26" s="2"/>
      <c r="T26" s="6">
        <v>4853.7900250000002</v>
      </c>
      <c r="U26" s="2"/>
      <c r="V26" s="7">
        <f t="shared" si="5"/>
        <v>0</v>
      </c>
      <c r="W26" s="2"/>
      <c r="X26" s="6">
        <f t="shared" si="6"/>
        <v>-3282.9900250000001</v>
      </c>
      <c r="Y26" s="2"/>
      <c r="Z26" s="7">
        <f t="shared" si="7"/>
        <v>-0.6763766063407326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624.07536000000005</v>
      </c>
      <c r="I27" s="2"/>
      <c r="J27" s="7">
        <f t="shared" si="1"/>
        <v>0</v>
      </c>
      <c r="K27" s="2"/>
      <c r="L27" s="6">
        <f t="shared" si="2"/>
        <v>-402.67536000000007</v>
      </c>
      <c r="M27" s="2"/>
      <c r="N27" s="7">
        <f t="shared" si="3"/>
        <v>-0.64523515237006002</v>
      </c>
      <c r="O27" s="11"/>
      <c r="P27" s="6">
        <v>1881.9</v>
      </c>
      <c r="Q27" s="2"/>
      <c r="R27" s="7">
        <f t="shared" si="4"/>
        <v>0</v>
      </c>
      <c r="S27" s="2"/>
      <c r="T27" s="6">
        <v>5309.9671500000004</v>
      </c>
      <c r="U27" s="2"/>
      <c r="V27" s="7">
        <f t="shared" si="5"/>
        <v>0</v>
      </c>
      <c r="W27" s="2"/>
      <c r="X27" s="6">
        <f t="shared" si="6"/>
        <v>-3428.0671500000003</v>
      </c>
      <c r="Y27" s="2"/>
      <c r="Z27" s="7">
        <f t="shared" si="7"/>
        <v>-0.64559102780890087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174.5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174.5</v>
      </c>
      <c r="M28" s="2"/>
      <c r="N28" s="7">
        <f t="shared" si="3"/>
        <v>0</v>
      </c>
      <c r="O28" s="11"/>
      <c r="P28" s="6">
        <v>1299.69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1299.69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10549.55</v>
      </c>
      <c r="E29" s="1"/>
      <c r="F29" s="5">
        <f t="shared" ref="F29:F39" si="8">IF(D$12=0,0,D29/D$12)</f>
        <v>0</v>
      </c>
      <c r="G29" s="1"/>
      <c r="H29" s="1">
        <f>SUM(OSRRefH22_1x_0)</f>
        <v>15331.889480000002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-4782.3394800000024</v>
      </c>
      <c r="M29" s="1"/>
      <c r="N29" s="5">
        <f t="shared" ref="N29:N39" si="11">IF(H29=0,0,L29/H29)</f>
        <v>-0.31192107706218619</v>
      </c>
      <c r="O29" s="13"/>
      <c r="P29" s="1">
        <f>SUM(OSRRefP22_1x_0)</f>
        <v>87582.080000000002</v>
      </c>
      <c r="Q29" s="1"/>
      <c r="R29" s="5">
        <f t="shared" ref="R29:R39" si="12">IF(P$12=0,0,P29/P$12)</f>
        <v>0</v>
      </c>
      <c r="S29" s="1"/>
      <c r="T29" s="1">
        <f>SUM(OSRRefT22_1x_0)</f>
        <v>129130.95795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-41548.877949999995</v>
      </c>
      <c r="Y29" s="1"/>
      <c r="Z29" s="5">
        <f t="shared" ref="Z29:Z39" si="15">IF(T29=0,0,X29/T29)</f>
        <v>-0.3217576839017014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6276.93948</v>
      </c>
      <c r="I30" s="2"/>
      <c r="J30" s="7">
        <f t="shared" si="9"/>
        <v>0</v>
      </c>
      <c r="K30" s="2"/>
      <c r="L30" s="6">
        <f t="shared" si="10"/>
        <v>-6276.93948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54923.220450000001</v>
      </c>
      <c r="U30" s="2"/>
      <c r="V30" s="7">
        <f t="shared" si="13"/>
        <v>0</v>
      </c>
      <c r="W30" s="2"/>
      <c r="X30" s="6">
        <f t="shared" si="14"/>
        <v>-54923.220450000001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>
        <v>4835.3999999999996</v>
      </c>
      <c r="E33" s="2"/>
      <c r="F33" s="7">
        <f t="shared" si="8"/>
        <v>0</v>
      </c>
      <c r="G33" s="2"/>
      <c r="H33" s="6">
        <v>3996.4</v>
      </c>
      <c r="I33" s="2"/>
      <c r="J33" s="7">
        <f t="shared" si="9"/>
        <v>0</v>
      </c>
      <c r="K33" s="2"/>
      <c r="L33" s="6">
        <f t="shared" si="10"/>
        <v>838.99999999999955</v>
      </c>
      <c r="M33" s="2"/>
      <c r="N33" s="7">
        <f t="shared" si="11"/>
        <v>0.20993894505054536</v>
      </c>
      <c r="O33" s="11"/>
      <c r="P33" s="6">
        <v>40809.15</v>
      </c>
      <c r="Q33" s="2"/>
      <c r="R33" s="7">
        <f t="shared" si="12"/>
        <v>0</v>
      </c>
      <c r="S33" s="2"/>
      <c r="T33" s="6">
        <v>34968.5</v>
      </c>
      <c r="U33" s="2"/>
      <c r="V33" s="7">
        <f t="shared" si="13"/>
        <v>0</v>
      </c>
      <c r="W33" s="2"/>
      <c r="X33" s="6">
        <f t="shared" si="14"/>
        <v>5840.6500000000015</v>
      </c>
      <c r="Y33" s="2"/>
      <c r="Z33" s="7">
        <f t="shared" si="15"/>
        <v>0.16702603771966201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2361.4299999999998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2361.4299999999998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4539.6099999999997</v>
      </c>
      <c r="E36" s="2"/>
      <c r="F36" s="7">
        <f t="shared" si="8"/>
        <v>0</v>
      </c>
      <c r="G36" s="2"/>
      <c r="H36" s="6">
        <v>5058.55</v>
      </c>
      <c r="I36" s="2"/>
      <c r="J36" s="7">
        <f t="shared" si="9"/>
        <v>0</v>
      </c>
      <c r="K36" s="2"/>
      <c r="L36" s="6">
        <f t="shared" si="10"/>
        <v>-518.94000000000051</v>
      </c>
      <c r="M36" s="2"/>
      <c r="N36" s="7">
        <f t="shared" si="11"/>
        <v>-0.1025867096302301</v>
      </c>
      <c r="O36" s="11"/>
      <c r="P36" s="6">
        <v>37409.64</v>
      </c>
      <c r="Q36" s="2"/>
      <c r="R36" s="7">
        <f t="shared" si="12"/>
        <v>0</v>
      </c>
      <c r="S36" s="2"/>
      <c r="T36" s="6">
        <v>30801.737499999999</v>
      </c>
      <c r="U36" s="2"/>
      <c r="V36" s="7">
        <f t="shared" si="13"/>
        <v>0</v>
      </c>
      <c r="W36" s="2"/>
      <c r="X36" s="6">
        <f t="shared" si="14"/>
        <v>6607.9025000000001</v>
      </c>
      <c r="Y36" s="2"/>
      <c r="Z36" s="7">
        <f t="shared" si="15"/>
        <v>0.21453018681170177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1174.54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1174.54</v>
      </c>
      <c r="M37" s="2"/>
      <c r="N37" s="7">
        <f t="shared" si="11"/>
        <v>0</v>
      </c>
      <c r="O37" s="11"/>
      <c r="P37" s="6">
        <v>7001.86</v>
      </c>
      <c r="Q37" s="2"/>
      <c r="R37" s="7">
        <f t="shared" si="12"/>
        <v>0</v>
      </c>
      <c r="S37" s="2"/>
      <c r="T37" s="6">
        <v>8437.5</v>
      </c>
      <c r="U37" s="2"/>
      <c r="V37" s="7">
        <f t="shared" si="13"/>
        <v>0</v>
      </c>
      <c r="W37" s="2"/>
      <c r="X37" s="6">
        <f t="shared" si="14"/>
        <v>-1435.6400000000003</v>
      </c>
      <c r="Y37" s="2"/>
      <c r="Z37" s="7">
        <f t="shared" si="15"/>
        <v>-0.17014992592592595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-5068.72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3931.2799999999997</v>
      </c>
      <c r="M40" s="1"/>
      <c r="N40" s="5">
        <f t="shared" ref="N40:N52" si="19">IF(H40=0,0,L40/H40)</f>
        <v>-0.43680888888888886</v>
      </c>
      <c r="O40" s="13"/>
      <c r="P40" s="1">
        <f>SUM(OSRRefP22_2x_0)</f>
        <v>-48025.8</v>
      </c>
      <c r="Q40" s="1"/>
      <c r="R40" s="5">
        <f t="shared" ref="R40:R52" si="20">IF(P$12=0,0,P40/P$12)</f>
        <v>0</v>
      </c>
      <c r="S40" s="1"/>
      <c r="T40" s="1">
        <f>SUM(OSRRefT22_2x_0)</f>
        <v>-72000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23974.199999999997</v>
      </c>
      <c r="Y40" s="1"/>
      <c r="Z40" s="5">
        <f t="shared" ref="Z40:Z52" si="23">IF(T40=0,0,X40/T40)</f>
        <v>-0.33297499999999997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-5068.72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3931.2799999999997</v>
      </c>
      <c r="M41" s="2"/>
      <c r="N41" s="7">
        <f t="shared" si="19"/>
        <v>-0.43680888888888886</v>
      </c>
      <c r="O41" s="11"/>
      <c r="P41" s="6">
        <v>-48025.8</v>
      </c>
      <c r="Q41" s="2"/>
      <c r="R41" s="7">
        <f t="shared" si="20"/>
        <v>0</v>
      </c>
      <c r="S41" s="2"/>
      <c r="T41" s="6">
        <v>-72000</v>
      </c>
      <c r="U41" s="2"/>
      <c r="V41" s="7">
        <f t="shared" si="21"/>
        <v>0</v>
      </c>
      <c r="W41" s="2"/>
      <c r="X41" s="6">
        <f t="shared" si="22"/>
        <v>23974.199999999997</v>
      </c>
      <c r="Y41" s="2"/>
      <c r="Z41" s="7">
        <f t="shared" si="23"/>
        <v>-0.33297499999999997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2365.36</v>
      </c>
      <c r="Q42" s="1"/>
      <c r="R42" s="5">
        <f t="shared" si="20"/>
        <v>0</v>
      </c>
      <c r="S42" s="1"/>
      <c r="T42" s="1">
        <f>SUM(OSRRefT22_3x_0)</f>
        <v>2312</v>
      </c>
      <c r="U42" s="1"/>
      <c r="V42" s="5">
        <f t="shared" si="21"/>
        <v>0</v>
      </c>
      <c r="W42" s="1"/>
      <c r="X42" s="1">
        <f t="shared" si="22"/>
        <v>53.360000000000127</v>
      </c>
      <c r="Y42" s="1"/>
      <c r="Z42" s="5">
        <f t="shared" si="23"/>
        <v>2.3079584775086561E-2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295.67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6.6700000000000159</v>
      </c>
      <c r="M43" s="2"/>
      <c r="N43" s="7">
        <f t="shared" si="19"/>
        <v>2.3079584775086561E-2</v>
      </c>
      <c r="O43" s="11"/>
      <c r="P43" s="6">
        <v>2365.36</v>
      </c>
      <c r="Q43" s="2"/>
      <c r="R43" s="7">
        <f t="shared" si="20"/>
        <v>0</v>
      </c>
      <c r="S43" s="2"/>
      <c r="T43" s="6">
        <v>2312</v>
      </c>
      <c r="U43" s="2"/>
      <c r="V43" s="7">
        <f t="shared" si="21"/>
        <v>0</v>
      </c>
      <c r="W43" s="2"/>
      <c r="X43" s="6">
        <f t="shared" si="22"/>
        <v>53.360000000000127</v>
      </c>
      <c r="Y43" s="2"/>
      <c r="Z43" s="7">
        <f t="shared" si="23"/>
        <v>2.3079584775086561E-2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1600</v>
      </c>
      <c r="U44" s="1"/>
      <c r="V44" s="5">
        <f t="shared" si="21"/>
        <v>0</v>
      </c>
      <c r="W44" s="1"/>
      <c r="X44" s="1">
        <f t="shared" si="22"/>
        <v>-1600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-200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1600</v>
      </c>
      <c r="U45" s="2"/>
      <c r="V45" s="7">
        <f t="shared" si="21"/>
        <v>0</v>
      </c>
      <c r="W45" s="2"/>
      <c r="X45" s="6">
        <f t="shared" si="22"/>
        <v>-1600</v>
      </c>
      <c r="Y45" s="2"/>
      <c r="Z45" s="7">
        <f t="shared" si="23"/>
        <v>-1</v>
      </c>
    </row>
    <row r="46" spans="1:26" s="27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173.21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173.21</v>
      </c>
      <c r="M46" s="1"/>
      <c r="N46" s="5">
        <f t="shared" si="19"/>
        <v>0</v>
      </c>
      <c r="O46" s="13"/>
      <c r="P46" s="1">
        <f>SUM(OSRRefP22_5x_0)</f>
        <v>1200.01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1200.01</v>
      </c>
      <c r="Y46" s="1"/>
      <c r="Z46" s="5">
        <f t="shared" si="23"/>
        <v>0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173.21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173.21</v>
      </c>
      <c r="M47" s="2"/>
      <c r="N47" s="7">
        <f t="shared" si="19"/>
        <v>0</v>
      </c>
      <c r="O47" s="11"/>
      <c r="P47" s="6">
        <v>1200.01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1200.01</v>
      </c>
      <c r="Y47" s="2"/>
      <c r="Z47" s="7">
        <f t="shared" si="23"/>
        <v>0</v>
      </c>
    </row>
    <row r="48" spans="1:26" s="27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3200</v>
      </c>
      <c r="U48" s="1"/>
      <c r="V48" s="5">
        <f t="shared" si="21"/>
        <v>0</v>
      </c>
      <c r="W48" s="1"/>
      <c r="X48" s="1">
        <f t="shared" si="22"/>
        <v>-3200</v>
      </c>
      <c r="Y48" s="1"/>
      <c r="Z48" s="5">
        <f t="shared" si="23"/>
        <v>-1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400</v>
      </c>
      <c r="I49" s="2"/>
      <c r="J49" s="7">
        <f t="shared" si="17"/>
        <v>0</v>
      </c>
      <c r="K49" s="2"/>
      <c r="L49" s="6">
        <f t="shared" si="18"/>
        <v>-400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3200</v>
      </c>
      <c r="U49" s="2"/>
      <c r="V49" s="7">
        <f t="shared" si="21"/>
        <v>0</v>
      </c>
      <c r="W49" s="2"/>
      <c r="X49" s="6">
        <f t="shared" si="22"/>
        <v>-3200</v>
      </c>
      <c r="Y49" s="2"/>
      <c r="Z49" s="7">
        <f t="shared" si="23"/>
        <v>-1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513.79999999999995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-461.20000000000005</v>
      </c>
      <c r="M50" s="1"/>
      <c r="N50" s="5">
        <f t="shared" si="19"/>
        <v>-0.4730256410256411</v>
      </c>
      <c r="O50" s="13"/>
      <c r="P50" s="1">
        <f>SUM(OSRRefP22_7x_0)</f>
        <v>1627.93</v>
      </c>
      <c r="Q50" s="1"/>
      <c r="R50" s="5">
        <f t="shared" si="20"/>
        <v>0</v>
      </c>
      <c r="S50" s="1"/>
      <c r="T50" s="1">
        <f>SUM(OSRRefT22_7x_0)</f>
        <v>7800</v>
      </c>
      <c r="U50" s="1"/>
      <c r="V50" s="5">
        <f t="shared" si="21"/>
        <v>0</v>
      </c>
      <c r="W50" s="1"/>
      <c r="X50" s="1">
        <f t="shared" si="22"/>
        <v>-6172.07</v>
      </c>
      <c r="Y50" s="1"/>
      <c r="Z50" s="5">
        <f t="shared" si="23"/>
        <v>-0.7912910256410256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6">
        <v>513.79999999999995</v>
      </c>
      <c r="E51" s="2"/>
      <c r="F51" s="7">
        <f t="shared" si="16"/>
        <v>0</v>
      </c>
      <c r="G51" s="2"/>
      <c r="H51" s="6">
        <v>975</v>
      </c>
      <c r="I51" s="2"/>
      <c r="J51" s="7">
        <f t="shared" si="17"/>
        <v>0</v>
      </c>
      <c r="K51" s="2"/>
      <c r="L51" s="6">
        <f t="shared" si="18"/>
        <v>-461.20000000000005</v>
      </c>
      <c r="M51" s="2"/>
      <c r="N51" s="7">
        <f t="shared" si="19"/>
        <v>-0.4730256410256411</v>
      </c>
      <c r="O51" s="11"/>
      <c r="P51" s="6">
        <v>1281.51</v>
      </c>
      <c r="Q51" s="2"/>
      <c r="R51" s="7">
        <f t="shared" si="20"/>
        <v>0</v>
      </c>
      <c r="S51" s="2"/>
      <c r="T51" s="6">
        <v>7800</v>
      </c>
      <c r="U51" s="2"/>
      <c r="V51" s="7">
        <f t="shared" si="21"/>
        <v>0</v>
      </c>
      <c r="W51" s="2"/>
      <c r="X51" s="6">
        <f t="shared" si="22"/>
        <v>-6518.49</v>
      </c>
      <c r="Y51" s="2"/>
      <c r="Z51" s="7">
        <f t="shared" si="23"/>
        <v>-0.83570384615384607</v>
      </c>
    </row>
    <row r="52" spans="1:26" s="24" customFormat="1" hidden="1" outlineLevel="2" x14ac:dyDescent="0.25">
      <c r="A52" s="25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346.42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346.42</v>
      </c>
      <c r="Y52" s="2"/>
      <c r="Z52" s="7">
        <f t="shared" si="23"/>
        <v>0</v>
      </c>
    </row>
    <row r="53" spans="1:26" s="27" customFormat="1" outlineLevel="1" collapsed="1" x14ac:dyDescent="0.25">
      <c r="A53" s="26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72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-78</v>
      </c>
      <c r="M53" s="1"/>
      <c r="N53" s="5">
        <f t="shared" ref="N53:N58" si="27">IF(H53=0,0,L53/H53)</f>
        <v>-0.52</v>
      </c>
      <c r="O53" s="13"/>
      <c r="P53" s="1">
        <f>SUM(OSRRefP22_8x_0)</f>
        <v>585.9</v>
      </c>
      <c r="Q53" s="1"/>
      <c r="R53" s="5">
        <f t="shared" ref="R53:R58" si="28">IF(P$12=0,0,P53/P$12)</f>
        <v>0</v>
      </c>
      <c r="S53" s="1"/>
      <c r="T53" s="1">
        <f>SUM(OSRRefT22_8x_0)</f>
        <v>1200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-614.1</v>
      </c>
      <c r="Y53" s="1"/>
      <c r="Z53" s="5">
        <f t="shared" ref="Z53:Z58" si="31">IF(T53=0,0,X53/T53)</f>
        <v>-0.51175000000000004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6">
        <v>72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-78</v>
      </c>
      <c r="M54" s="2"/>
      <c r="N54" s="7">
        <f t="shared" si="27"/>
        <v>-0.52</v>
      </c>
      <c r="O54" s="11"/>
      <c r="P54" s="6">
        <v>585.9</v>
      </c>
      <c r="Q54" s="2"/>
      <c r="R54" s="7">
        <f t="shared" si="28"/>
        <v>0</v>
      </c>
      <c r="S54" s="2"/>
      <c r="T54" s="6">
        <v>1200</v>
      </c>
      <c r="U54" s="2"/>
      <c r="V54" s="7">
        <f t="shared" si="29"/>
        <v>0</v>
      </c>
      <c r="W54" s="2"/>
      <c r="X54" s="6">
        <f t="shared" si="30"/>
        <v>-614.1</v>
      </c>
      <c r="Y54" s="2"/>
      <c r="Z54" s="7">
        <f t="shared" si="31"/>
        <v>-0.51175000000000004</v>
      </c>
    </row>
    <row r="55" spans="1:26" s="27" customFormat="1" outlineLevel="1" collapsed="1" x14ac:dyDescent="0.25">
      <c r="A55" s="26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1600</v>
      </c>
      <c r="U55" s="1"/>
      <c r="V55" s="5">
        <f t="shared" si="29"/>
        <v>0</v>
      </c>
      <c r="W55" s="1"/>
      <c r="X55" s="1">
        <f t="shared" si="30"/>
        <v>-1600</v>
      </c>
      <c r="Y55" s="1"/>
      <c r="Z55" s="5">
        <f t="shared" si="31"/>
        <v>-1</v>
      </c>
    </row>
    <row r="56" spans="1:26" s="24" customFormat="1" hidden="1" outlineLevel="2" x14ac:dyDescent="0.25">
      <c r="A56" s="25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>
        <v>200</v>
      </c>
      <c r="I56" s="2"/>
      <c r="J56" s="7">
        <f t="shared" si="25"/>
        <v>0</v>
      </c>
      <c r="K56" s="2"/>
      <c r="L56" s="6">
        <f t="shared" si="26"/>
        <v>-200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1600</v>
      </c>
      <c r="U56" s="2"/>
      <c r="V56" s="7">
        <f t="shared" si="29"/>
        <v>0</v>
      </c>
      <c r="W56" s="2"/>
      <c r="X56" s="6">
        <f t="shared" si="30"/>
        <v>-1600</v>
      </c>
      <c r="Y56" s="2"/>
      <c r="Z56" s="7">
        <f t="shared" si="31"/>
        <v>-1</v>
      </c>
    </row>
    <row r="57" spans="1:26" s="27" customFormat="1" outlineLevel="1" collapsed="1" x14ac:dyDescent="0.25">
      <c r="A57" s="26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3803.06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3303.06</v>
      </c>
      <c r="M57" s="1"/>
      <c r="N57" s="5">
        <f t="shared" si="27"/>
        <v>6.6061199999999998</v>
      </c>
      <c r="O57" s="13"/>
      <c r="P57" s="1">
        <f>SUM(OSRRefP22_10x_0)</f>
        <v>3921.38</v>
      </c>
      <c r="Q57" s="1"/>
      <c r="R57" s="5">
        <f t="shared" si="28"/>
        <v>0</v>
      </c>
      <c r="S57" s="1"/>
      <c r="T57" s="1">
        <f>SUM(OSRRefT22_10x_0)</f>
        <v>4000</v>
      </c>
      <c r="U57" s="1"/>
      <c r="V57" s="5">
        <f t="shared" si="29"/>
        <v>0</v>
      </c>
      <c r="W57" s="1"/>
      <c r="X57" s="1">
        <f t="shared" si="30"/>
        <v>-78.619999999999891</v>
      </c>
      <c r="Y57" s="1"/>
      <c r="Z57" s="5">
        <f t="shared" si="31"/>
        <v>-1.9654999999999971E-2</v>
      </c>
    </row>
    <row r="58" spans="1:26" s="24" customFormat="1" hidden="1" outlineLevel="2" x14ac:dyDescent="0.25">
      <c r="A58" s="25"/>
      <c r="B58" s="11" t="str">
        <f>CONCATENATE("          ", "6292", " - ", "TRAVEL/CONFERENCE")</f>
        <v xml:space="preserve">          6292 - TRAVEL/CONFERENCE</v>
      </c>
      <c r="C58" s="11"/>
      <c r="D58" s="6">
        <v>3803.06</v>
      </c>
      <c r="E58" s="2"/>
      <c r="F58" s="7">
        <f t="shared" si="24"/>
        <v>0</v>
      </c>
      <c r="G58" s="2"/>
      <c r="H58" s="6">
        <v>500</v>
      </c>
      <c r="I58" s="2"/>
      <c r="J58" s="7">
        <f t="shared" si="25"/>
        <v>0</v>
      </c>
      <c r="K58" s="2"/>
      <c r="L58" s="6">
        <f t="shared" si="26"/>
        <v>3303.06</v>
      </c>
      <c r="M58" s="2"/>
      <c r="N58" s="7">
        <f t="shared" si="27"/>
        <v>6.6061199999999998</v>
      </c>
      <c r="O58" s="11"/>
      <c r="P58" s="6">
        <v>3921.38</v>
      </c>
      <c r="Q58" s="2"/>
      <c r="R58" s="7">
        <f t="shared" si="28"/>
        <v>0</v>
      </c>
      <c r="S58" s="2"/>
      <c r="T58" s="6">
        <v>4000</v>
      </c>
      <c r="U58" s="2"/>
      <c r="V58" s="7">
        <f t="shared" si="29"/>
        <v>0</v>
      </c>
      <c r="W58" s="2"/>
      <c r="X58" s="6">
        <f t="shared" si="30"/>
        <v>-78.619999999999891</v>
      </c>
      <c r="Y58" s="2"/>
      <c r="Z58" s="7">
        <f t="shared" si="31"/>
        <v>-1.9654999999999971E-2</v>
      </c>
    </row>
    <row r="59" spans="1:26" s="53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8" t="s">
        <v>3</v>
      </c>
      <c r="C62" s="28"/>
      <c r="D62" s="21">
        <f>+D16-D18+D60</f>
        <v>-12035.209999999997</v>
      </c>
      <c r="E62" s="14"/>
      <c r="F62" s="22">
        <f>IF(D$12=0,0,D62/D$12)</f>
        <v>0</v>
      </c>
      <c r="G62" s="14"/>
      <c r="H62" s="21">
        <f>+H16-H18+H60</f>
        <v>-14746.581221016</v>
      </c>
      <c r="I62" s="14"/>
      <c r="J62" s="22">
        <f>IF(H$12=0,0,H62/H$12)</f>
        <v>0</v>
      </c>
      <c r="K62" s="15"/>
      <c r="L62" s="21">
        <f>+D62-H62</f>
        <v>2711.3712210160029</v>
      </c>
      <c r="M62" s="15"/>
      <c r="N62" s="22">
        <f>IF(H62=0,0,L62/H62)</f>
        <v>-0.18386439408423078</v>
      </c>
      <c r="O62" s="29"/>
      <c r="P62" s="21">
        <f>+P16-P18+P60</f>
        <v>-63852.78</v>
      </c>
      <c r="Q62" s="14"/>
      <c r="R62" s="22">
        <f>IF(P$12=0,0,P62/P$12)</f>
        <v>0</v>
      </c>
      <c r="S62" s="14"/>
      <c r="T62" s="21">
        <f>+T16-T18+T60</f>
        <v>-126030.29217914</v>
      </c>
      <c r="U62" s="14"/>
      <c r="V62" s="22">
        <f>IF(T$12=0,0,T62/T$12)</f>
        <v>0</v>
      </c>
      <c r="W62" s="15"/>
      <c r="X62" s="21">
        <f>+P62-T62</f>
        <v>62177.512179140002</v>
      </c>
      <c r="Y62" s="15"/>
      <c r="Z62" s="22">
        <f>IF(T62=0,0,X62/T62)</f>
        <v>-0.49335370968402276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4</v>
      </c>
      <c r="C66" s="28"/>
      <c r="D66" s="31">
        <f>+D62-D64</f>
        <v>-12035.209999999997</v>
      </c>
      <c r="E66" s="14"/>
      <c r="F66" s="32">
        <f>IF(D$12=0,0,D66/D$12)</f>
        <v>0</v>
      </c>
      <c r="G66" s="14"/>
      <c r="H66" s="31">
        <f>+H62-H64</f>
        <v>-14746.581221016</v>
      </c>
      <c r="I66" s="14"/>
      <c r="J66" s="32">
        <f>IF(H$12=0,0,H66/H$12)</f>
        <v>0</v>
      </c>
      <c r="K66" s="15"/>
      <c r="L66" s="31">
        <f>D66-H66</f>
        <v>2711.3712210160029</v>
      </c>
      <c r="M66" s="15"/>
      <c r="N66" s="32">
        <f>IF(H66=0,0,L66/H66)</f>
        <v>-0.18386439408423078</v>
      </c>
      <c r="O66" s="29"/>
      <c r="P66" s="31">
        <f>+P62-P64</f>
        <v>-63852.78</v>
      </c>
      <c r="Q66" s="14"/>
      <c r="R66" s="32">
        <f>IF(P$12=0,0,P66/P$12)</f>
        <v>0</v>
      </c>
      <c r="S66" s="14"/>
      <c r="T66" s="31">
        <f>+T62-T64</f>
        <v>-126030.29217914</v>
      </c>
      <c r="U66" s="14"/>
      <c r="V66" s="32">
        <f>IF(T$12=0,0,T66/T$12)</f>
        <v>0</v>
      </c>
      <c r="W66" s="15"/>
      <c r="X66" s="31">
        <f>P66-T66</f>
        <v>62177.512179140002</v>
      </c>
      <c r="Y66" s="15"/>
      <c r="Z66" s="32">
        <f>IF(T66=0,0,X66/T66)</f>
        <v>-0.49335370968402276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5</v>
      </c>
      <c r="C69" s="28"/>
      <c r="D69" s="33">
        <f>SUM(D66:D68)</f>
        <v>-12035.209999999997</v>
      </c>
      <c r="E69" s="14"/>
      <c r="F69" s="30">
        <f>IF(D$12=0,0,D69/D$12)</f>
        <v>0</v>
      </c>
      <c r="G69" s="14"/>
      <c r="H69" s="33">
        <f>SUM(H66:H68)</f>
        <v>-14746.581221016</v>
      </c>
      <c r="I69" s="14"/>
      <c r="J69" s="30">
        <f>IF(H$12=0,0,H69/H$12)</f>
        <v>0</v>
      </c>
      <c r="K69" s="15"/>
      <c r="L69" s="33">
        <f>+D69-H69</f>
        <v>2711.3712210160029</v>
      </c>
      <c r="M69" s="15"/>
      <c r="N69" s="30">
        <f>IF(H69=0,0,L69/H69)</f>
        <v>-0.18386439408423078</v>
      </c>
      <c r="O69" s="29"/>
      <c r="P69" s="33">
        <f>SUM(P66:P68)</f>
        <v>-63852.78</v>
      </c>
      <c r="Q69" s="14"/>
      <c r="R69" s="30">
        <f>IF(P$12=0,0,P69/P$12)</f>
        <v>0</v>
      </c>
      <c r="S69" s="14"/>
      <c r="T69" s="33">
        <f>SUM(T66:T68)</f>
        <v>-126030.29217914</v>
      </c>
      <c r="U69" s="14"/>
      <c r="V69" s="30">
        <f>IF(T$12=0,0,T69/T$12)</f>
        <v>0</v>
      </c>
      <c r="W69" s="15"/>
      <c r="X69" s="33">
        <f>+P69-T69</f>
        <v>62177.512179140002</v>
      </c>
      <c r="Y69" s="15"/>
      <c r="Z69" s="30">
        <f>IF(T69=0,0,X69/T69)</f>
        <v>-0.49335370968402276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9">
        <v>43908.494465127318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3" t="s">
        <v>314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7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1071707.9600000002</v>
      </c>
      <c r="E12" s="4"/>
      <c r="F12" s="12"/>
      <c r="G12" s="4"/>
      <c r="H12" s="4">
        <f>SUM(OSRRefH13x_0)</f>
        <v>1097394.73291</v>
      </c>
      <c r="I12" s="4"/>
      <c r="J12" s="12"/>
      <c r="K12" s="4"/>
      <c r="L12" s="4">
        <f t="shared" ref="L12:L110" si="0">+D12-H12</f>
        <v>-25686.772909999825</v>
      </c>
      <c r="M12" s="4"/>
      <c r="N12" s="12">
        <f t="shared" ref="N12:N110" si="1">IF(H12=0,0,L12/H12)</f>
        <v>-2.3407049569014526E-2</v>
      </c>
      <c r="O12" s="10"/>
      <c r="P12" s="4">
        <f>SUM(OSRRefP13x_0)</f>
        <v>10568306.310000001</v>
      </c>
      <c r="Q12" s="4"/>
      <c r="R12" s="12"/>
      <c r="S12" s="4"/>
      <c r="T12" s="4">
        <f>SUM(OSRRefT13x_0)</f>
        <v>11170909.30714</v>
      </c>
      <c r="U12" s="4"/>
      <c r="V12" s="12"/>
      <c r="W12" s="4"/>
      <c r="X12" s="4">
        <f t="shared" ref="X12:X110" si="2">+P12-T12</f>
        <v>-602602.99713999964</v>
      </c>
      <c r="Y12" s="4"/>
      <c r="Z12" s="12">
        <f t="shared" ref="Z12:Z110" si="3">IF(T12=0,0,X12/T12)</f>
        <v>-5.3943952150326727E-2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604167.73291000002</v>
      </c>
      <c r="I13" s="2"/>
      <c r="J13" s="19"/>
      <c r="K13" s="2"/>
      <c r="L13" s="2">
        <f t="shared" si="0"/>
        <v>-604167.73291000002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3991011.3071399997</v>
      </c>
      <c r="U13" s="2"/>
      <c r="V13" s="19"/>
      <c r="W13" s="2"/>
      <c r="X13" s="2">
        <f t="shared" si="2"/>
        <v>-3991011.3071399997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/>
      <c r="I14" s="2"/>
      <c r="J14" s="19"/>
      <c r="K14" s="2"/>
      <c r="L14" s="2">
        <f t="shared" si="0"/>
        <v>104784.96000000001</v>
      </c>
      <c r="M14" s="2"/>
      <c r="N14" s="19">
        <f t="shared" si="1"/>
        <v>0</v>
      </c>
      <c r="O14" s="11"/>
      <c r="P14" s="2">
        <f>--2390761.72</f>
        <v>2390761.7200000002</v>
      </c>
      <c r="Q14" s="2"/>
      <c r="R14" s="19"/>
      <c r="S14" s="2"/>
      <c r="T14" s="2"/>
      <c r="U14" s="2"/>
      <c r="V14" s="19"/>
      <c r="W14" s="2"/>
      <c r="X14" s="2">
        <f t="shared" si="2"/>
        <v>2390761.7200000002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/>
      <c r="I15" s="2"/>
      <c r="J15" s="19"/>
      <c r="K15" s="2"/>
      <c r="L15" s="2">
        <f t="shared" si="0"/>
        <v>46558.78</v>
      </c>
      <c r="M15" s="2"/>
      <c r="N15" s="19">
        <f t="shared" si="1"/>
        <v>0</v>
      </c>
      <c r="O15" s="11"/>
      <c r="P15" s="2">
        <f>--1239973.19</f>
        <v>1239973.19</v>
      </c>
      <c r="Q15" s="2"/>
      <c r="R15" s="19"/>
      <c r="S15" s="2"/>
      <c r="T15" s="2"/>
      <c r="U15" s="2"/>
      <c r="V15" s="19"/>
      <c r="W15" s="2"/>
      <c r="X15" s="2">
        <f t="shared" si="2"/>
        <v>1239973.19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/>
      <c r="I16" s="2"/>
      <c r="J16" s="19"/>
      <c r="K16" s="2"/>
      <c r="L16" s="2">
        <f t="shared" si="0"/>
        <v>1344.88</v>
      </c>
      <c r="M16" s="2"/>
      <c r="N16" s="19">
        <f t="shared" si="1"/>
        <v>0</v>
      </c>
      <c r="O16" s="11"/>
      <c r="P16" s="2">
        <f>--33616.89</f>
        <v>33616.89</v>
      </c>
      <c r="Q16" s="2"/>
      <c r="R16" s="19"/>
      <c r="S16" s="2"/>
      <c r="T16" s="2"/>
      <c r="U16" s="2"/>
      <c r="V16" s="19"/>
      <c r="W16" s="2"/>
      <c r="X16" s="2">
        <f t="shared" si="2"/>
        <v>33616.89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/>
      <c r="I17" s="2"/>
      <c r="J17" s="19"/>
      <c r="K17" s="2"/>
      <c r="L17" s="2">
        <f t="shared" si="0"/>
        <v>993.89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/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/>
      <c r="U18" s="2"/>
      <c r="V18" s="19"/>
      <c r="W18" s="2"/>
      <c r="X18" s="2">
        <f t="shared" si="2"/>
        <v>798.88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/>
      <c r="I19" s="2"/>
      <c r="J19" s="19"/>
      <c r="K19" s="2"/>
      <c r="L19" s="2">
        <f t="shared" si="0"/>
        <v>772.36</v>
      </c>
      <c r="M19" s="2"/>
      <c r="N19" s="19">
        <f t="shared" si="1"/>
        <v>0</v>
      </c>
      <c r="O19" s="11"/>
      <c r="P19" s="2">
        <f>--2282.25</f>
        <v>2282.25</v>
      </c>
      <c r="Q19" s="2"/>
      <c r="R19" s="19"/>
      <c r="S19" s="2"/>
      <c r="T19" s="2"/>
      <c r="U19" s="2"/>
      <c r="V19" s="19"/>
      <c r="W19" s="2"/>
      <c r="X19" s="2">
        <f t="shared" si="2"/>
        <v>2282.25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/>
      <c r="I20" s="2"/>
      <c r="J20" s="19"/>
      <c r="K20" s="2"/>
      <c r="L20" s="2">
        <f t="shared" si="0"/>
        <v>51.77</v>
      </c>
      <c r="M20" s="2"/>
      <c r="N20" s="19">
        <f t="shared" si="1"/>
        <v>0</v>
      </c>
      <c r="O20" s="11"/>
      <c r="P20" s="2">
        <f>--1151.94</f>
        <v>1151.94</v>
      </c>
      <c r="Q20" s="2"/>
      <c r="R20" s="19"/>
      <c r="S20" s="2"/>
      <c r="T20" s="2"/>
      <c r="U20" s="2"/>
      <c r="V20" s="19"/>
      <c r="W20" s="2"/>
      <c r="X20" s="2">
        <f t="shared" si="2"/>
        <v>1151.94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/>
      <c r="I21" s="2"/>
      <c r="J21" s="19"/>
      <c r="K21" s="2"/>
      <c r="L21" s="2">
        <f t="shared" si="0"/>
        <v>16.47</v>
      </c>
      <c r="M21" s="2"/>
      <c r="N21" s="19">
        <f t="shared" si="1"/>
        <v>0</v>
      </c>
      <c r="O21" s="11"/>
      <c r="P21" s="2">
        <f>--271.59</f>
        <v>271.58999999999997</v>
      </c>
      <c r="Q21" s="2"/>
      <c r="R21" s="19"/>
      <c r="S21" s="2"/>
      <c r="T21" s="2"/>
      <c r="U21" s="2"/>
      <c r="V21" s="19"/>
      <c r="W21" s="2"/>
      <c r="X21" s="2">
        <f t="shared" si="2"/>
        <v>271.58999999999997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/>
      <c r="I22" s="2"/>
      <c r="J22" s="19"/>
      <c r="K22" s="2"/>
      <c r="L22" s="2">
        <f t="shared" si="0"/>
        <v>469.81</v>
      </c>
      <c r="M22" s="2"/>
      <c r="N22" s="19">
        <f t="shared" si="1"/>
        <v>0</v>
      </c>
      <c r="O22" s="11"/>
      <c r="P22" s="2">
        <f>--4097.71</f>
        <v>4097.71</v>
      </c>
      <c r="Q22" s="2"/>
      <c r="R22" s="19"/>
      <c r="S22" s="2"/>
      <c r="T22" s="2"/>
      <c r="U22" s="2"/>
      <c r="V22" s="19"/>
      <c r="W22" s="2"/>
      <c r="X22" s="2">
        <f t="shared" si="2"/>
        <v>4097.71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/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/>
      <c r="I24" s="2"/>
      <c r="J24" s="19"/>
      <c r="K24" s="2"/>
      <c r="L24" s="2">
        <f t="shared" si="0"/>
        <v>11343.24</v>
      </c>
      <c r="M24" s="2"/>
      <c r="N24" s="19">
        <f t="shared" si="1"/>
        <v>0</v>
      </c>
      <c r="O24" s="11"/>
      <c r="P24" s="2">
        <f>--51783.69</f>
        <v>51783.69</v>
      </c>
      <c r="Q24" s="2"/>
      <c r="R24" s="19"/>
      <c r="S24" s="2"/>
      <c r="T24" s="2"/>
      <c r="U24" s="2"/>
      <c r="V24" s="19"/>
      <c r="W24" s="2"/>
      <c r="X24" s="2">
        <f t="shared" si="2"/>
        <v>51783.69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/>
      <c r="I25" s="2"/>
      <c r="J25" s="19"/>
      <c r="K25" s="2"/>
      <c r="L25" s="2">
        <f t="shared" si="0"/>
        <v>11784.71</v>
      </c>
      <c r="M25" s="2"/>
      <c r="N25" s="19">
        <f t="shared" si="1"/>
        <v>0</v>
      </c>
      <c r="O25" s="11"/>
      <c r="P25" s="2">
        <f>--75474.2</f>
        <v>75474.2</v>
      </c>
      <c r="Q25" s="2"/>
      <c r="R25" s="19"/>
      <c r="S25" s="2"/>
      <c r="T25" s="2"/>
      <c r="U25" s="2"/>
      <c r="V25" s="19"/>
      <c r="W25" s="2"/>
      <c r="X25" s="2">
        <f t="shared" si="2"/>
        <v>75474.2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/>
      <c r="I26" s="2"/>
      <c r="J26" s="19"/>
      <c r="K26" s="2"/>
      <c r="L26" s="2">
        <f t="shared" si="0"/>
        <v>30046.01</v>
      </c>
      <c r="M26" s="2"/>
      <c r="N26" s="19">
        <f t="shared" si="1"/>
        <v>0</v>
      </c>
      <c r="O26" s="11"/>
      <c r="P26" s="2">
        <f>--261693.33</f>
        <v>261693.33</v>
      </c>
      <c r="Q26" s="2"/>
      <c r="R26" s="19"/>
      <c r="S26" s="2"/>
      <c r="T26" s="2"/>
      <c r="U26" s="2"/>
      <c r="V26" s="19"/>
      <c r="W26" s="2"/>
      <c r="X26" s="2">
        <f t="shared" si="2"/>
        <v>261693.33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/>
      <c r="I27" s="2"/>
      <c r="J27" s="19"/>
      <c r="K27" s="2"/>
      <c r="L27" s="2">
        <f t="shared" si="0"/>
        <v>42663.45</v>
      </c>
      <c r="M27" s="2"/>
      <c r="N27" s="19">
        <f t="shared" si="1"/>
        <v>0</v>
      </c>
      <c r="O27" s="11"/>
      <c r="P27" s="2">
        <f>--275336.23</f>
        <v>275336.23</v>
      </c>
      <c r="Q27" s="2"/>
      <c r="R27" s="19"/>
      <c r="S27" s="2"/>
      <c r="T27" s="2"/>
      <c r="U27" s="2"/>
      <c r="V27" s="19"/>
      <c r="W27" s="2"/>
      <c r="X27" s="2">
        <f t="shared" si="2"/>
        <v>275336.23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/>
      <c r="I28" s="2"/>
      <c r="J28" s="19"/>
      <c r="K28" s="2"/>
      <c r="L28" s="2">
        <f t="shared" si="0"/>
        <v>92.07</v>
      </c>
      <c r="M28" s="2"/>
      <c r="N28" s="19">
        <f t="shared" si="1"/>
        <v>0</v>
      </c>
      <c r="O28" s="11"/>
      <c r="P28" s="2">
        <f>--442.04</f>
        <v>442.04</v>
      </c>
      <c r="Q28" s="2"/>
      <c r="R28" s="19"/>
      <c r="S28" s="2"/>
      <c r="T28" s="2"/>
      <c r="U28" s="2"/>
      <c r="V28" s="19"/>
      <c r="W28" s="2"/>
      <c r="X28" s="2">
        <f t="shared" si="2"/>
        <v>442.04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--45955.75</f>
        <v>45955.75</v>
      </c>
      <c r="E29" s="2"/>
      <c r="F29" s="19"/>
      <c r="G29" s="2"/>
      <c r="H29" s="2"/>
      <c r="I29" s="2"/>
      <c r="J29" s="19"/>
      <c r="K29" s="2"/>
      <c r="L29" s="2">
        <f t="shared" si="0"/>
        <v>45955.75</v>
      </c>
      <c r="M29" s="2"/>
      <c r="N29" s="19">
        <f t="shared" si="1"/>
        <v>0</v>
      </c>
      <c r="O29" s="11"/>
      <c r="P29" s="2">
        <f>--258470.62</f>
        <v>258470.62</v>
      </c>
      <c r="Q29" s="2"/>
      <c r="R29" s="19"/>
      <c r="S29" s="2"/>
      <c r="T29" s="2"/>
      <c r="U29" s="2"/>
      <c r="V29" s="19"/>
      <c r="W29" s="2"/>
      <c r="X29" s="2">
        <f t="shared" si="2"/>
        <v>258470.62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/>
      <c r="I30" s="2"/>
      <c r="J30" s="19"/>
      <c r="K30" s="2"/>
      <c r="L30" s="2">
        <f t="shared" si="0"/>
        <v>33.83</v>
      </c>
      <c r="M30" s="2"/>
      <c r="N30" s="19">
        <f t="shared" si="1"/>
        <v>0</v>
      </c>
      <c r="O30" s="11"/>
      <c r="P30" s="2">
        <f>--179.98</f>
        <v>179.98</v>
      </c>
      <c r="Q30" s="2"/>
      <c r="R30" s="19"/>
      <c r="S30" s="2"/>
      <c r="T30" s="2"/>
      <c r="U30" s="2"/>
      <c r="V30" s="19"/>
      <c r="W30" s="2"/>
      <c r="X30" s="2">
        <f t="shared" si="2"/>
        <v>179.98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--1908.2</f>
        <v>1908.2</v>
      </c>
      <c r="E31" s="2"/>
      <c r="F31" s="19"/>
      <c r="G31" s="2"/>
      <c r="H31" s="2"/>
      <c r="I31" s="2"/>
      <c r="J31" s="19"/>
      <c r="K31" s="2"/>
      <c r="L31" s="2">
        <f t="shared" si="0"/>
        <v>1908.2</v>
      </c>
      <c r="M31" s="2"/>
      <c r="N31" s="19">
        <f t="shared" si="1"/>
        <v>0</v>
      </c>
      <c r="O31" s="11"/>
      <c r="P31" s="2">
        <f>--10163.45</f>
        <v>10163.450000000001</v>
      </c>
      <c r="Q31" s="2"/>
      <c r="R31" s="19"/>
      <c r="S31" s="2"/>
      <c r="T31" s="2"/>
      <c r="U31" s="2"/>
      <c r="V31" s="19"/>
      <c r="W31" s="2"/>
      <c r="X31" s="2">
        <f t="shared" si="2"/>
        <v>10163.450000000001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/>
      <c r="I32" s="2"/>
      <c r="J32" s="19"/>
      <c r="K32" s="2"/>
      <c r="L32" s="2">
        <f t="shared" si="0"/>
        <v>442.03</v>
      </c>
      <c r="M32" s="2"/>
      <c r="N32" s="19">
        <f t="shared" si="1"/>
        <v>0</v>
      </c>
      <c r="O32" s="11"/>
      <c r="P32" s="2">
        <f>--1880.52</f>
        <v>1880.52</v>
      </c>
      <c r="Q32" s="2"/>
      <c r="R32" s="19"/>
      <c r="S32" s="2"/>
      <c r="T32" s="2"/>
      <c r="U32" s="2"/>
      <c r="V32" s="19"/>
      <c r="W32" s="2"/>
      <c r="X32" s="2">
        <f t="shared" si="2"/>
        <v>1880.52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/>
      <c r="I33" s="2"/>
      <c r="J33" s="19"/>
      <c r="K33" s="2"/>
      <c r="L33" s="2">
        <f t="shared" si="0"/>
        <v>74.61</v>
      </c>
      <c r="M33" s="2"/>
      <c r="N33" s="19">
        <f t="shared" si="1"/>
        <v>0</v>
      </c>
      <c r="O33" s="11"/>
      <c r="P33" s="2">
        <f>--488.71</f>
        <v>488.71</v>
      </c>
      <c r="Q33" s="2"/>
      <c r="R33" s="19"/>
      <c r="S33" s="2"/>
      <c r="T33" s="2"/>
      <c r="U33" s="2"/>
      <c r="V33" s="19"/>
      <c r="W33" s="2"/>
      <c r="X33" s="2">
        <f t="shared" si="2"/>
        <v>488.71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/>
      <c r="I34" s="2"/>
      <c r="J34" s="19"/>
      <c r="K34" s="2"/>
      <c r="L34" s="2">
        <f t="shared" si="0"/>
        <v>197676.23</v>
      </c>
      <c r="M34" s="2"/>
      <c r="N34" s="19">
        <f t="shared" si="1"/>
        <v>0</v>
      </c>
      <c r="O34" s="11"/>
      <c r="P34" s="2">
        <f>--1682295.22</f>
        <v>1682295.22</v>
      </c>
      <c r="Q34" s="2"/>
      <c r="R34" s="19"/>
      <c r="S34" s="2"/>
      <c r="T34" s="2"/>
      <c r="U34" s="2"/>
      <c r="V34" s="19"/>
      <c r="W34" s="2"/>
      <c r="X34" s="2">
        <f t="shared" si="2"/>
        <v>1682295.22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/>
      <c r="I35" s="2"/>
      <c r="J35" s="19"/>
      <c r="K35" s="2"/>
      <c r="L35" s="2">
        <f t="shared" si="0"/>
        <v>41252.71</v>
      </c>
      <c r="M35" s="2"/>
      <c r="N35" s="19">
        <f t="shared" si="1"/>
        <v>0</v>
      </c>
      <c r="O35" s="11"/>
      <c r="P35" s="2">
        <f>--441821.19</f>
        <v>441821.19</v>
      </c>
      <c r="Q35" s="2"/>
      <c r="R35" s="19"/>
      <c r="S35" s="2"/>
      <c r="T35" s="2"/>
      <c r="U35" s="2"/>
      <c r="V35" s="19"/>
      <c r="W35" s="2"/>
      <c r="X35" s="2">
        <f t="shared" si="2"/>
        <v>441821.19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/>
      <c r="I36" s="2"/>
      <c r="J36" s="19"/>
      <c r="K36" s="2"/>
      <c r="L36" s="2">
        <f t="shared" si="0"/>
        <v>26570.92</v>
      </c>
      <c r="M36" s="2"/>
      <c r="N36" s="19">
        <f t="shared" si="1"/>
        <v>0</v>
      </c>
      <c r="O36" s="11"/>
      <c r="P36" s="2">
        <f>--259566.14</f>
        <v>259566.14</v>
      </c>
      <c r="Q36" s="2"/>
      <c r="R36" s="19"/>
      <c r="S36" s="2"/>
      <c r="T36" s="2"/>
      <c r="U36" s="2"/>
      <c r="V36" s="19"/>
      <c r="W36" s="2"/>
      <c r="X36" s="2">
        <f t="shared" si="2"/>
        <v>259566.14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/>
      <c r="I37" s="2"/>
      <c r="J37" s="19"/>
      <c r="K37" s="2"/>
      <c r="L37" s="2">
        <f t="shared" si="0"/>
        <v>53271</v>
      </c>
      <c r="M37" s="2"/>
      <c r="N37" s="19">
        <f t="shared" si="1"/>
        <v>0</v>
      </c>
      <c r="O37" s="11"/>
      <c r="P37" s="2">
        <f>--75901.71</f>
        <v>75901.710000000006</v>
      </c>
      <c r="Q37" s="2"/>
      <c r="R37" s="19"/>
      <c r="S37" s="2"/>
      <c r="T37" s="2"/>
      <c r="U37" s="2"/>
      <c r="V37" s="19"/>
      <c r="W37" s="2"/>
      <c r="X37" s="2">
        <f t="shared" si="2"/>
        <v>75901.710000000006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/>
      <c r="I38" s="2"/>
      <c r="J38" s="19"/>
      <c r="K38" s="2"/>
      <c r="L38" s="2">
        <f t="shared" si="0"/>
        <v>9848.33</v>
      </c>
      <c r="M38" s="2"/>
      <c r="N38" s="19">
        <f t="shared" si="1"/>
        <v>0</v>
      </c>
      <c r="O38" s="11"/>
      <c r="P38" s="2">
        <f>--62934.49</f>
        <v>62934.49</v>
      </c>
      <c r="Q38" s="2"/>
      <c r="R38" s="19"/>
      <c r="S38" s="2"/>
      <c r="T38" s="2"/>
      <c r="U38" s="2"/>
      <c r="V38" s="19"/>
      <c r="W38" s="2"/>
      <c r="X38" s="2">
        <f t="shared" si="2"/>
        <v>62934.49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/>
      <c r="I39" s="2"/>
      <c r="J39" s="19"/>
      <c r="K39" s="2"/>
      <c r="L39" s="2">
        <f t="shared" si="0"/>
        <v>815.01</v>
      </c>
      <c r="M39" s="2"/>
      <c r="N39" s="19">
        <f t="shared" si="1"/>
        <v>0</v>
      </c>
      <c r="O39" s="11"/>
      <c r="P39" s="2">
        <f>--70553.04</f>
        <v>70553.039999999994</v>
      </c>
      <c r="Q39" s="2"/>
      <c r="R39" s="19"/>
      <c r="S39" s="2"/>
      <c r="T39" s="2"/>
      <c r="U39" s="2"/>
      <c r="V39" s="19"/>
      <c r="W39" s="2"/>
      <c r="X39" s="2">
        <f t="shared" si="2"/>
        <v>70553.039999999994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/>
      <c r="I40" s="2"/>
      <c r="J40" s="19"/>
      <c r="K40" s="2"/>
      <c r="L40" s="2">
        <f t="shared" si="0"/>
        <v>208.95</v>
      </c>
      <c r="M40" s="2"/>
      <c r="N40" s="19">
        <f t="shared" si="1"/>
        <v>0</v>
      </c>
      <c r="O40" s="11"/>
      <c r="P40" s="2">
        <f>--2185.99</f>
        <v>2185.9899999999998</v>
      </c>
      <c r="Q40" s="2"/>
      <c r="R40" s="19"/>
      <c r="S40" s="2"/>
      <c r="T40" s="2"/>
      <c r="U40" s="2"/>
      <c r="V40" s="19"/>
      <c r="W40" s="2"/>
      <c r="X40" s="2">
        <f t="shared" si="2"/>
        <v>2185.9899999999998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--23977.64</f>
        <v>23977.64</v>
      </c>
      <c r="E41" s="2"/>
      <c r="F41" s="19"/>
      <c r="G41" s="2"/>
      <c r="H41" s="2"/>
      <c r="I41" s="2"/>
      <c r="J41" s="19"/>
      <c r="K41" s="2"/>
      <c r="L41" s="2">
        <f t="shared" si="0"/>
        <v>23977.64</v>
      </c>
      <c r="M41" s="2"/>
      <c r="N41" s="19">
        <f t="shared" si="1"/>
        <v>0</v>
      </c>
      <c r="O41" s="11"/>
      <c r="P41" s="2">
        <f>--140914.35</f>
        <v>140914.35</v>
      </c>
      <c r="Q41" s="2"/>
      <c r="R41" s="19"/>
      <c r="S41" s="2"/>
      <c r="T41" s="2"/>
      <c r="U41" s="2"/>
      <c r="V41" s="19"/>
      <c r="W41" s="2"/>
      <c r="X41" s="2">
        <f t="shared" si="2"/>
        <v>140914.35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--308.7</f>
        <v>308.7</v>
      </c>
      <c r="E42" s="2"/>
      <c r="F42" s="19"/>
      <c r="G42" s="2"/>
      <c r="H42" s="2"/>
      <c r="I42" s="2"/>
      <c r="J42" s="19"/>
      <c r="K42" s="2"/>
      <c r="L42" s="2">
        <f t="shared" si="0"/>
        <v>308.7</v>
      </c>
      <c r="M42" s="2"/>
      <c r="N42" s="19">
        <f t="shared" si="1"/>
        <v>0</v>
      </c>
      <c r="O42" s="11"/>
      <c r="P42" s="2">
        <f>--3109.98</f>
        <v>3109.98</v>
      </c>
      <c r="Q42" s="2"/>
      <c r="R42" s="19"/>
      <c r="S42" s="2"/>
      <c r="T42" s="2"/>
      <c r="U42" s="2"/>
      <c r="V42" s="19"/>
      <c r="W42" s="2"/>
      <c r="X42" s="2">
        <f t="shared" si="2"/>
        <v>3109.98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--76.98</f>
        <v>76.98</v>
      </c>
      <c r="E43" s="2"/>
      <c r="F43" s="19"/>
      <c r="G43" s="2"/>
      <c r="H43" s="2"/>
      <c r="I43" s="2"/>
      <c r="J43" s="19"/>
      <c r="K43" s="2"/>
      <c r="L43" s="2">
        <f t="shared" si="0"/>
        <v>76.98</v>
      </c>
      <c r="M43" s="2"/>
      <c r="N43" s="19">
        <f t="shared" si="1"/>
        <v>0</v>
      </c>
      <c r="O43" s="11"/>
      <c r="P43" s="2">
        <f>--295.98</f>
        <v>295.98</v>
      </c>
      <c r="Q43" s="2"/>
      <c r="R43" s="19"/>
      <c r="S43" s="2"/>
      <c r="T43" s="2"/>
      <c r="U43" s="2"/>
      <c r="V43" s="19"/>
      <c r="W43" s="2"/>
      <c r="X43" s="2">
        <f t="shared" si="2"/>
        <v>295.98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--34.97</f>
        <v>34.97</v>
      </c>
      <c r="E44" s="2"/>
      <c r="F44" s="19"/>
      <c r="G44" s="2"/>
      <c r="H44" s="2"/>
      <c r="I44" s="2"/>
      <c r="J44" s="19"/>
      <c r="K44" s="2"/>
      <c r="L44" s="2">
        <f t="shared" si="0"/>
        <v>34.97</v>
      </c>
      <c r="M44" s="2"/>
      <c r="N44" s="19">
        <f t="shared" si="1"/>
        <v>0</v>
      </c>
      <c r="O44" s="11"/>
      <c r="P44" s="2">
        <f>--884.36</f>
        <v>884.36</v>
      </c>
      <c r="Q44" s="2"/>
      <c r="R44" s="19"/>
      <c r="S44" s="2"/>
      <c r="T44" s="2"/>
      <c r="U44" s="2"/>
      <c r="V44" s="19"/>
      <c r="W44" s="2"/>
      <c r="X44" s="2">
        <f t="shared" si="2"/>
        <v>884.36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--28.98</f>
        <v>28.98</v>
      </c>
      <c r="E45" s="2"/>
      <c r="F45" s="19"/>
      <c r="G45" s="2"/>
      <c r="H45" s="2"/>
      <c r="I45" s="2"/>
      <c r="J45" s="19"/>
      <c r="K45" s="2"/>
      <c r="L45" s="2">
        <f t="shared" si="0"/>
        <v>28.98</v>
      </c>
      <c r="M45" s="2"/>
      <c r="N45" s="19">
        <f t="shared" si="1"/>
        <v>0</v>
      </c>
      <c r="O45" s="11"/>
      <c r="P45" s="2">
        <f>--804.74</f>
        <v>804.74</v>
      </c>
      <c r="Q45" s="2"/>
      <c r="R45" s="19"/>
      <c r="S45" s="2"/>
      <c r="T45" s="2"/>
      <c r="U45" s="2"/>
      <c r="V45" s="19"/>
      <c r="W45" s="2"/>
      <c r="X45" s="2">
        <f t="shared" si="2"/>
        <v>804.74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ref="D46:D47" si="4"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--7659.37</f>
        <v>7659.37</v>
      </c>
      <c r="Q46" s="2"/>
      <c r="R46" s="19"/>
      <c r="S46" s="2"/>
      <c r="T46" s="2"/>
      <c r="U46" s="2"/>
      <c r="V46" s="19"/>
      <c r="W46" s="2"/>
      <c r="X46" s="2">
        <f t="shared" si="2"/>
        <v>7659.37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 t="shared" si="4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--309.26</f>
        <v>309.26</v>
      </c>
      <c r="Q47" s="2"/>
      <c r="R47" s="19"/>
      <c r="S47" s="2"/>
      <c r="T47" s="2"/>
      <c r="U47" s="2"/>
      <c r="V47" s="19"/>
      <c r="W47" s="2"/>
      <c r="X47" s="2">
        <f t="shared" si="2"/>
        <v>309.26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--22519.96</f>
        <v>22519.96</v>
      </c>
      <c r="E48" s="2"/>
      <c r="F48" s="19"/>
      <c r="G48" s="2"/>
      <c r="H48" s="2">
        <v>493227.00000000006</v>
      </c>
      <c r="I48" s="2"/>
      <c r="J48" s="19"/>
      <c r="K48" s="2"/>
      <c r="L48" s="2">
        <f t="shared" si="0"/>
        <v>-470707.04000000004</v>
      </c>
      <c r="M48" s="2"/>
      <c r="N48" s="19">
        <f t="shared" si="1"/>
        <v>-0.95434159119431816</v>
      </c>
      <c r="O48" s="11"/>
      <c r="P48" s="2">
        <f>--572740.12</f>
        <v>572740.12</v>
      </c>
      <c r="Q48" s="2"/>
      <c r="R48" s="19"/>
      <c r="S48" s="2"/>
      <c r="T48" s="2">
        <v>7179898</v>
      </c>
      <c r="U48" s="2"/>
      <c r="V48" s="19"/>
      <c r="W48" s="2"/>
      <c r="X48" s="2">
        <f t="shared" si="2"/>
        <v>-6607157.8799999999</v>
      </c>
      <c r="Y48" s="2"/>
      <c r="Z48" s="19">
        <f t="shared" si="3"/>
        <v>-0.92023004783633411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--7332.54</f>
        <v>7332.54</v>
      </c>
      <c r="E49" s="2"/>
      <c r="F49" s="19"/>
      <c r="G49" s="2"/>
      <c r="H49" s="2"/>
      <c r="I49" s="2"/>
      <c r="J49" s="19"/>
      <c r="K49" s="2"/>
      <c r="L49" s="2">
        <f t="shared" si="0"/>
        <v>7332.54</v>
      </c>
      <c r="M49" s="2"/>
      <c r="N49" s="19">
        <f t="shared" si="1"/>
        <v>0</v>
      </c>
      <c r="O49" s="11"/>
      <c r="P49" s="2">
        <f>--139737.77</f>
        <v>139737.76999999999</v>
      </c>
      <c r="Q49" s="2"/>
      <c r="R49" s="19"/>
      <c r="S49" s="2"/>
      <c r="T49" s="2"/>
      <c r="U49" s="2"/>
      <c r="V49" s="19"/>
      <c r="W49" s="2"/>
      <c r="X49" s="2">
        <f t="shared" si="2"/>
        <v>139737.76999999999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--1850.06</f>
        <v>1850.06</v>
      </c>
      <c r="E50" s="2"/>
      <c r="F50" s="19"/>
      <c r="G50" s="2"/>
      <c r="H50" s="2"/>
      <c r="I50" s="2"/>
      <c r="J50" s="19"/>
      <c r="K50" s="2"/>
      <c r="L50" s="2">
        <f t="shared" si="0"/>
        <v>1850.06</v>
      </c>
      <c r="M50" s="2"/>
      <c r="N50" s="19">
        <f t="shared" si="1"/>
        <v>0</v>
      </c>
      <c r="O50" s="11"/>
      <c r="P50" s="2">
        <f>--68466.86</f>
        <v>68466.86</v>
      </c>
      <c r="Q50" s="2"/>
      <c r="R50" s="19"/>
      <c r="S50" s="2"/>
      <c r="T50" s="2"/>
      <c r="U50" s="2"/>
      <c r="V50" s="19"/>
      <c r="W50" s="2"/>
      <c r="X50" s="2">
        <f t="shared" si="2"/>
        <v>68466.86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/>
      <c r="U51" s="2"/>
      <c r="V51" s="19"/>
      <c r="W51" s="2"/>
      <c r="X51" s="2">
        <f t="shared" si="2"/>
        <v>664.97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--21322.38</f>
        <v>21322.38</v>
      </c>
      <c r="E52" s="2"/>
      <c r="F52" s="19"/>
      <c r="G52" s="2"/>
      <c r="H52" s="2"/>
      <c r="I52" s="2"/>
      <c r="J52" s="19"/>
      <c r="K52" s="2"/>
      <c r="L52" s="2">
        <f t="shared" si="0"/>
        <v>21322.38</v>
      </c>
      <c r="M52" s="2"/>
      <c r="N52" s="19">
        <f t="shared" si="1"/>
        <v>0</v>
      </c>
      <c r="O52" s="11"/>
      <c r="P52" s="2">
        <f>--523390.34</f>
        <v>523390.34</v>
      </c>
      <c r="Q52" s="2"/>
      <c r="R52" s="19"/>
      <c r="S52" s="2"/>
      <c r="T52" s="2"/>
      <c r="U52" s="2"/>
      <c r="V52" s="19"/>
      <c r="W52" s="2"/>
      <c r="X52" s="2">
        <f t="shared" si="2"/>
        <v>523390.34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--1651.49</f>
        <v>1651.49</v>
      </c>
      <c r="E53" s="2"/>
      <c r="F53" s="19"/>
      <c r="G53" s="2"/>
      <c r="H53" s="2"/>
      <c r="I53" s="2"/>
      <c r="J53" s="19"/>
      <c r="K53" s="2"/>
      <c r="L53" s="2">
        <f t="shared" si="0"/>
        <v>1651.49</v>
      </c>
      <c r="M53" s="2"/>
      <c r="N53" s="19">
        <f t="shared" si="1"/>
        <v>0</v>
      </c>
      <c r="O53" s="11"/>
      <c r="P53" s="2">
        <f>--14359.99</f>
        <v>14359.99</v>
      </c>
      <c r="Q53" s="2"/>
      <c r="R53" s="19"/>
      <c r="S53" s="2"/>
      <c r="T53" s="2"/>
      <c r="U53" s="2"/>
      <c r="V53" s="19"/>
      <c r="W53" s="2"/>
      <c r="X53" s="2">
        <f t="shared" si="2"/>
        <v>14359.99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--2215.2</f>
        <v>2215.1999999999998</v>
      </c>
      <c r="E54" s="2"/>
      <c r="F54" s="19"/>
      <c r="G54" s="2"/>
      <c r="H54" s="2"/>
      <c r="I54" s="2"/>
      <c r="J54" s="19"/>
      <c r="K54" s="2"/>
      <c r="L54" s="2">
        <f t="shared" si="0"/>
        <v>2215.1999999999998</v>
      </c>
      <c r="M54" s="2"/>
      <c r="N54" s="19">
        <f t="shared" si="1"/>
        <v>0</v>
      </c>
      <c r="O54" s="11"/>
      <c r="P54" s="2">
        <f>--3361.92</f>
        <v>3361.92</v>
      </c>
      <c r="Q54" s="2"/>
      <c r="R54" s="19"/>
      <c r="S54" s="2"/>
      <c r="T54" s="2"/>
      <c r="U54" s="2"/>
      <c r="V54" s="19"/>
      <c r="W54" s="2"/>
      <c r="X54" s="2">
        <f t="shared" si="2"/>
        <v>3361.92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--19.99</f>
        <v>19.989999999999998</v>
      </c>
      <c r="E55" s="2"/>
      <c r="F55" s="19"/>
      <c r="G55" s="2"/>
      <c r="H55" s="2"/>
      <c r="I55" s="2"/>
      <c r="J55" s="19"/>
      <c r="K55" s="2"/>
      <c r="L55" s="2">
        <f t="shared" si="0"/>
        <v>19.989999999999998</v>
      </c>
      <c r="M55" s="2"/>
      <c r="N55" s="19">
        <f t="shared" si="1"/>
        <v>0</v>
      </c>
      <c r="O55" s="11"/>
      <c r="P55" s="2">
        <f>--61.9</f>
        <v>61.9</v>
      </c>
      <c r="Q55" s="2"/>
      <c r="R55" s="19"/>
      <c r="S55" s="2"/>
      <c r="T55" s="2"/>
      <c r="U55" s="2"/>
      <c r="V55" s="19"/>
      <c r="W55" s="2"/>
      <c r="X55" s="2">
        <f t="shared" si="2"/>
        <v>61.9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--40.39</f>
        <v>40.39</v>
      </c>
      <c r="E56" s="2"/>
      <c r="F56" s="19"/>
      <c r="G56" s="2"/>
      <c r="H56" s="2"/>
      <c r="I56" s="2"/>
      <c r="J56" s="19"/>
      <c r="K56" s="2"/>
      <c r="L56" s="2">
        <f t="shared" si="0"/>
        <v>40.39</v>
      </c>
      <c r="M56" s="2"/>
      <c r="N56" s="19">
        <f t="shared" si="1"/>
        <v>0</v>
      </c>
      <c r="O56" s="11"/>
      <c r="P56" s="2">
        <f>--263.07</f>
        <v>263.07</v>
      </c>
      <c r="Q56" s="2"/>
      <c r="R56" s="19"/>
      <c r="S56" s="2"/>
      <c r="T56" s="2"/>
      <c r="U56" s="2"/>
      <c r="V56" s="19"/>
      <c r="W56" s="2"/>
      <c r="X56" s="2">
        <f t="shared" si="2"/>
        <v>263.07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--349.94</f>
        <v>349.94</v>
      </c>
      <c r="E57" s="2"/>
      <c r="F57" s="19"/>
      <c r="G57" s="2"/>
      <c r="H57" s="2"/>
      <c r="I57" s="2"/>
      <c r="J57" s="19"/>
      <c r="K57" s="2"/>
      <c r="L57" s="2">
        <f t="shared" si="0"/>
        <v>349.94</v>
      </c>
      <c r="M57" s="2"/>
      <c r="N57" s="19">
        <f t="shared" si="1"/>
        <v>0</v>
      </c>
      <c r="O57" s="11"/>
      <c r="P57" s="2">
        <f>--2906.58</f>
        <v>2906.58</v>
      </c>
      <c r="Q57" s="2"/>
      <c r="R57" s="19"/>
      <c r="S57" s="2"/>
      <c r="T57" s="2"/>
      <c r="U57" s="2"/>
      <c r="V57" s="19"/>
      <c r="W57" s="2"/>
      <c r="X57" s="2">
        <f t="shared" si="2"/>
        <v>2906.58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--527.81</f>
        <v>527.80999999999995</v>
      </c>
      <c r="E58" s="2"/>
      <c r="F58" s="19"/>
      <c r="G58" s="2"/>
      <c r="H58" s="2"/>
      <c r="I58" s="2"/>
      <c r="J58" s="19"/>
      <c r="K58" s="2"/>
      <c r="L58" s="2">
        <f t="shared" si="0"/>
        <v>527.80999999999995</v>
      </c>
      <c r="M58" s="2"/>
      <c r="N58" s="19">
        <f t="shared" si="1"/>
        <v>0</v>
      </c>
      <c r="O58" s="11"/>
      <c r="P58" s="2">
        <f>--4662.41</f>
        <v>4662.41</v>
      </c>
      <c r="Q58" s="2"/>
      <c r="R58" s="19"/>
      <c r="S58" s="2"/>
      <c r="T58" s="2"/>
      <c r="U58" s="2"/>
      <c r="V58" s="19"/>
      <c r="W58" s="2"/>
      <c r="X58" s="2">
        <f t="shared" si="2"/>
        <v>4662.41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--147.48</f>
        <v>147.47999999999999</v>
      </c>
      <c r="E59" s="2"/>
      <c r="F59" s="19"/>
      <c r="G59" s="2"/>
      <c r="H59" s="2"/>
      <c r="I59" s="2"/>
      <c r="J59" s="19"/>
      <c r="K59" s="2"/>
      <c r="L59" s="2">
        <f t="shared" si="0"/>
        <v>147.47999999999999</v>
      </c>
      <c r="M59" s="2"/>
      <c r="N59" s="19">
        <f t="shared" si="1"/>
        <v>0</v>
      </c>
      <c r="O59" s="11"/>
      <c r="P59" s="2">
        <f>--678.5</f>
        <v>678.5</v>
      </c>
      <c r="Q59" s="2"/>
      <c r="R59" s="19"/>
      <c r="S59" s="2"/>
      <c r="T59" s="2"/>
      <c r="U59" s="2"/>
      <c r="V59" s="19"/>
      <c r="W59" s="2"/>
      <c r="X59" s="2">
        <f t="shared" si="2"/>
        <v>678.5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--10371.21</f>
        <v>10371.209999999999</v>
      </c>
      <c r="E60" s="2"/>
      <c r="F60" s="19"/>
      <c r="G60" s="2"/>
      <c r="H60" s="2"/>
      <c r="I60" s="2"/>
      <c r="J60" s="19"/>
      <c r="K60" s="2"/>
      <c r="L60" s="2">
        <f t="shared" si="0"/>
        <v>10371.209999999999</v>
      </c>
      <c r="M60" s="2"/>
      <c r="N60" s="19">
        <f t="shared" si="1"/>
        <v>0</v>
      </c>
      <c r="O60" s="11"/>
      <c r="P60" s="2">
        <f>--53401.55</f>
        <v>53401.55</v>
      </c>
      <c r="Q60" s="2"/>
      <c r="R60" s="19"/>
      <c r="S60" s="2"/>
      <c r="T60" s="2"/>
      <c r="U60" s="2"/>
      <c r="V60" s="19"/>
      <c r="W60" s="2"/>
      <c r="X60" s="2">
        <f t="shared" si="2"/>
        <v>53401.55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--187926.1</f>
        <v>187926.1</v>
      </c>
      <c r="E61" s="2"/>
      <c r="F61" s="19"/>
      <c r="G61" s="2"/>
      <c r="H61" s="2"/>
      <c r="I61" s="2"/>
      <c r="J61" s="19"/>
      <c r="K61" s="2"/>
      <c r="L61" s="2">
        <f t="shared" si="0"/>
        <v>187926.1</v>
      </c>
      <c r="M61" s="2"/>
      <c r="N61" s="19">
        <f t="shared" si="1"/>
        <v>0</v>
      </c>
      <c r="O61" s="11"/>
      <c r="P61" s="2">
        <f>--1030657.83</f>
        <v>1030657.83</v>
      </c>
      <c r="Q61" s="2"/>
      <c r="R61" s="19"/>
      <c r="S61" s="2"/>
      <c r="T61" s="2"/>
      <c r="U61" s="2"/>
      <c r="V61" s="19"/>
      <c r="W61" s="2"/>
      <c r="X61" s="2">
        <f t="shared" si="2"/>
        <v>1030657.83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--3264.8</f>
        <v>3264.8</v>
      </c>
      <c r="E62" s="2"/>
      <c r="F62" s="19"/>
      <c r="G62" s="2"/>
      <c r="H62" s="2"/>
      <c r="I62" s="2"/>
      <c r="J62" s="19"/>
      <c r="K62" s="2"/>
      <c r="L62" s="2">
        <f t="shared" si="0"/>
        <v>3264.8</v>
      </c>
      <c r="M62" s="2"/>
      <c r="N62" s="19">
        <f t="shared" si="1"/>
        <v>0</v>
      </c>
      <c r="O62" s="11"/>
      <c r="P62" s="2">
        <f>--16824.57</f>
        <v>16824.57</v>
      </c>
      <c r="Q62" s="2"/>
      <c r="R62" s="19"/>
      <c r="S62" s="2"/>
      <c r="T62" s="2"/>
      <c r="U62" s="2"/>
      <c r="V62" s="19"/>
      <c r="W62" s="2"/>
      <c r="X62" s="2">
        <f t="shared" si="2"/>
        <v>16824.57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--1.89</f>
        <v>1.89</v>
      </c>
      <c r="E63" s="2"/>
      <c r="F63" s="19"/>
      <c r="G63" s="2"/>
      <c r="H63" s="2"/>
      <c r="I63" s="2"/>
      <c r="J63" s="19"/>
      <c r="K63" s="2"/>
      <c r="L63" s="2">
        <f t="shared" si="0"/>
        <v>1.89</v>
      </c>
      <c r="M63" s="2"/>
      <c r="N63" s="19">
        <f t="shared" si="1"/>
        <v>0</v>
      </c>
      <c r="O63" s="11"/>
      <c r="P63" s="2">
        <f>--10.3</f>
        <v>10.3</v>
      </c>
      <c r="Q63" s="2"/>
      <c r="R63" s="19"/>
      <c r="S63" s="2"/>
      <c r="T63" s="2"/>
      <c r="U63" s="2"/>
      <c r="V63" s="19"/>
      <c r="W63" s="2"/>
      <c r="X63" s="2">
        <f t="shared" si="2"/>
        <v>10.3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--21.54</f>
        <v>21.54</v>
      </c>
      <c r="E64" s="2"/>
      <c r="F64" s="19"/>
      <c r="G64" s="2"/>
      <c r="H64" s="2"/>
      <c r="I64" s="2"/>
      <c r="J64" s="19"/>
      <c r="K64" s="2"/>
      <c r="L64" s="2">
        <f t="shared" si="0"/>
        <v>21.54</v>
      </c>
      <c r="M64" s="2"/>
      <c r="N64" s="19">
        <f t="shared" si="1"/>
        <v>0</v>
      </c>
      <c r="O64" s="11"/>
      <c r="P64" s="2">
        <f>--161.4</f>
        <v>161.4</v>
      </c>
      <c r="Q64" s="2"/>
      <c r="R64" s="19"/>
      <c r="S64" s="2"/>
      <c r="T64" s="2"/>
      <c r="U64" s="2"/>
      <c r="V64" s="19"/>
      <c r="W64" s="2"/>
      <c r="X64" s="2">
        <f t="shared" si="2"/>
        <v>161.4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--1528.71</f>
        <v>1528.71</v>
      </c>
      <c r="E65" s="2"/>
      <c r="F65" s="19"/>
      <c r="G65" s="2"/>
      <c r="H65" s="2"/>
      <c r="I65" s="2"/>
      <c r="J65" s="19"/>
      <c r="K65" s="2"/>
      <c r="L65" s="2">
        <f t="shared" si="0"/>
        <v>1528.71</v>
      </c>
      <c r="M65" s="2"/>
      <c r="N65" s="19">
        <f t="shared" si="1"/>
        <v>0</v>
      </c>
      <c r="O65" s="11"/>
      <c r="P65" s="2">
        <f>--9360.45</f>
        <v>9360.4500000000007</v>
      </c>
      <c r="Q65" s="2"/>
      <c r="R65" s="19"/>
      <c r="S65" s="2"/>
      <c r="T65" s="2"/>
      <c r="U65" s="2"/>
      <c r="V65" s="19"/>
      <c r="W65" s="2"/>
      <c r="X65" s="2">
        <f t="shared" si="2"/>
        <v>9360.4500000000007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0</f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--42582.67</f>
        <v>42582.67</v>
      </c>
      <c r="Q66" s="2"/>
      <c r="R66" s="19"/>
      <c r="S66" s="2"/>
      <c r="T66" s="2"/>
      <c r="U66" s="2"/>
      <c r="V66" s="19"/>
      <c r="W66" s="2"/>
      <c r="X66" s="2">
        <f t="shared" si="2"/>
        <v>42582.67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--6423.17</f>
        <v>6423.17</v>
      </c>
      <c r="E67" s="2"/>
      <c r="F67" s="19"/>
      <c r="G67" s="2"/>
      <c r="H67" s="2"/>
      <c r="I67" s="2"/>
      <c r="J67" s="19"/>
      <c r="K67" s="2"/>
      <c r="L67" s="2">
        <f t="shared" si="0"/>
        <v>6423.17</v>
      </c>
      <c r="M67" s="2"/>
      <c r="N67" s="19">
        <f t="shared" si="1"/>
        <v>0</v>
      </c>
      <c r="O67" s="11"/>
      <c r="P67" s="2">
        <f>--10672.17</f>
        <v>10672.17</v>
      </c>
      <c r="Q67" s="2"/>
      <c r="R67" s="19"/>
      <c r="S67" s="2"/>
      <c r="T67" s="2"/>
      <c r="U67" s="2"/>
      <c r="V67" s="19"/>
      <c r="W67" s="2"/>
      <c r="X67" s="2">
        <f t="shared" si="2"/>
        <v>10672.17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--1257.56</f>
        <v>1257.56</v>
      </c>
      <c r="E68" s="2"/>
      <c r="F68" s="19"/>
      <c r="G68" s="2"/>
      <c r="H68" s="2"/>
      <c r="I68" s="2"/>
      <c r="J68" s="19"/>
      <c r="K68" s="2"/>
      <c r="L68" s="2">
        <f t="shared" si="0"/>
        <v>1257.56</v>
      </c>
      <c r="M68" s="2"/>
      <c r="N68" s="19">
        <f t="shared" si="1"/>
        <v>0</v>
      </c>
      <c r="O68" s="11"/>
      <c r="P68" s="2">
        <f>--13692.85</f>
        <v>13692.85</v>
      </c>
      <c r="Q68" s="2"/>
      <c r="R68" s="19"/>
      <c r="S68" s="2"/>
      <c r="T68" s="2"/>
      <c r="U68" s="2"/>
      <c r="V68" s="19"/>
      <c r="W68" s="2"/>
      <c r="X68" s="2">
        <f t="shared" si="2"/>
        <v>13692.85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--9.99</f>
        <v>9.99</v>
      </c>
      <c r="E69" s="2"/>
      <c r="F69" s="19"/>
      <c r="G69" s="2"/>
      <c r="H69" s="2"/>
      <c r="I69" s="2"/>
      <c r="J69" s="19"/>
      <c r="K69" s="2"/>
      <c r="L69" s="2">
        <f t="shared" si="0"/>
        <v>9.99</v>
      </c>
      <c r="M69" s="2"/>
      <c r="N69" s="19">
        <f t="shared" si="1"/>
        <v>0</v>
      </c>
      <c r="O69" s="11"/>
      <c r="P69" s="2">
        <f>--9.99</f>
        <v>9.99</v>
      </c>
      <c r="Q69" s="2"/>
      <c r="R69" s="19"/>
      <c r="S69" s="2"/>
      <c r="T69" s="2"/>
      <c r="U69" s="2"/>
      <c r="V69" s="19"/>
      <c r="W69" s="2"/>
      <c r="X69" s="2">
        <f t="shared" si="2"/>
        <v>9.99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--922.94</f>
        <v>922.94</v>
      </c>
      <c r="E70" s="2"/>
      <c r="F70" s="19"/>
      <c r="G70" s="2"/>
      <c r="H70" s="2"/>
      <c r="I70" s="2"/>
      <c r="J70" s="19"/>
      <c r="K70" s="2"/>
      <c r="L70" s="2">
        <f t="shared" si="0"/>
        <v>922.94</v>
      </c>
      <c r="M70" s="2"/>
      <c r="N70" s="19">
        <f t="shared" si="1"/>
        <v>0</v>
      </c>
      <c r="O70" s="11"/>
      <c r="P70" s="2">
        <f>--1890.27</f>
        <v>1890.27</v>
      </c>
      <c r="Q70" s="2"/>
      <c r="R70" s="19"/>
      <c r="S70" s="2"/>
      <c r="T70" s="2"/>
      <c r="U70" s="2"/>
      <c r="V70" s="19"/>
      <c r="W70" s="2"/>
      <c r="X70" s="2">
        <f t="shared" si="2"/>
        <v>1890.27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--140</f>
        <v>140</v>
      </c>
      <c r="Q71" s="2"/>
      <c r="R71" s="19"/>
      <c r="S71" s="2"/>
      <c r="T71" s="2"/>
      <c r="U71" s="2"/>
      <c r="V71" s="19"/>
      <c r="W71" s="2"/>
      <c r="X71" s="2">
        <f t="shared" si="2"/>
        <v>140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--28849.25</f>
        <v>28849.25</v>
      </c>
      <c r="E72" s="2"/>
      <c r="F72" s="19"/>
      <c r="G72" s="2"/>
      <c r="H72" s="2"/>
      <c r="I72" s="2"/>
      <c r="J72" s="19"/>
      <c r="K72" s="2"/>
      <c r="L72" s="2">
        <f t="shared" si="0"/>
        <v>28849.25</v>
      </c>
      <c r="M72" s="2"/>
      <c r="N72" s="19">
        <f t="shared" si="1"/>
        <v>0</v>
      </c>
      <c r="O72" s="11"/>
      <c r="P72" s="2">
        <f>--192403.75</f>
        <v>192403.75</v>
      </c>
      <c r="Q72" s="2"/>
      <c r="R72" s="19"/>
      <c r="S72" s="2"/>
      <c r="T72" s="2"/>
      <c r="U72" s="2"/>
      <c r="V72" s="19"/>
      <c r="W72" s="2"/>
      <c r="X72" s="2">
        <f t="shared" si="2"/>
        <v>192403.75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--2183.94</f>
        <v>2183.94</v>
      </c>
      <c r="E73" s="2"/>
      <c r="F73" s="19"/>
      <c r="G73" s="2"/>
      <c r="H73" s="2"/>
      <c r="I73" s="2"/>
      <c r="J73" s="19"/>
      <c r="K73" s="2"/>
      <c r="L73" s="2">
        <f t="shared" si="0"/>
        <v>2183.94</v>
      </c>
      <c r="M73" s="2"/>
      <c r="N73" s="19">
        <f t="shared" si="1"/>
        <v>0</v>
      </c>
      <c r="O73" s="11"/>
      <c r="P73" s="2">
        <f>--2502.84</f>
        <v>2502.84</v>
      </c>
      <c r="Q73" s="2"/>
      <c r="R73" s="19"/>
      <c r="S73" s="2"/>
      <c r="T73" s="2"/>
      <c r="U73" s="2"/>
      <c r="V73" s="19"/>
      <c r="W73" s="2"/>
      <c r="X73" s="2">
        <f t="shared" si="2"/>
        <v>2502.84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>--136091.59</f>
        <v>136091.59</v>
      </c>
      <c r="E74" s="2"/>
      <c r="F74" s="19"/>
      <c r="G74" s="2"/>
      <c r="H74" s="2"/>
      <c r="I74" s="2"/>
      <c r="J74" s="19"/>
      <c r="K74" s="2"/>
      <c r="L74" s="2">
        <f t="shared" si="0"/>
        <v>136091.59</v>
      </c>
      <c r="M74" s="2"/>
      <c r="N74" s="19">
        <f t="shared" si="1"/>
        <v>0</v>
      </c>
      <c r="O74" s="11"/>
      <c r="P74" s="2">
        <f>--771476.22</f>
        <v>771476.22</v>
      </c>
      <c r="Q74" s="2"/>
      <c r="R74" s="19"/>
      <c r="S74" s="2"/>
      <c r="T74" s="2"/>
      <c r="U74" s="2"/>
      <c r="V74" s="19"/>
      <c r="W74" s="2"/>
      <c r="X74" s="2">
        <f t="shared" si="2"/>
        <v>771476.22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>--2537.5</f>
        <v>2537.5</v>
      </c>
      <c r="E75" s="2"/>
      <c r="F75" s="19"/>
      <c r="G75" s="2"/>
      <c r="H75" s="2"/>
      <c r="I75" s="2"/>
      <c r="J75" s="19"/>
      <c r="K75" s="2"/>
      <c r="L75" s="2">
        <f t="shared" si="0"/>
        <v>2537.5</v>
      </c>
      <c r="M75" s="2"/>
      <c r="N75" s="19">
        <f t="shared" si="1"/>
        <v>0</v>
      </c>
      <c r="O75" s="11"/>
      <c r="P75" s="2">
        <f>--12812.5</f>
        <v>12812.5</v>
      </c>
      <c r="Q75" s="2"/>
      <c r="R75" s="19"/>
      <c r="S75" s="2"/>
      <c r="T75" s="2"/>
      <c r="U75" s="2"/>
      <c r="V75" s="19"/>
      <c r="W75" s="2"/>
      <c r="X75" s="2">
        <f t="shared" si="2"/>
        <v>12812.5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-30.97</f>
        <v>-30.97</v>
      </c>
      <c r="Q76" s="2"/>
      <c r="R76" s="19"/>
      <c r="S76" s="2"/>
      <c r="T76" s="2"/>
      <c r="U76" s="2"/>
      <c r="V76" s="19"/>
      <c r="W76" s="2"/>
      <c r="X76" s="2">
        <f t="shared" si="2"/>
        <v>-30.97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-4114.56</f>
        <v>-4114.5600000000004</v>
      </c>
      <c r="E77" s="2"/>
      <c r="F77" s="19"/>
      <c r="G77" s="2"/>
      <c r="H77" s="2"/>
      <c r="I77" s="2"/>
      <c r="J77" s="19"/>
      <c r="K77" s="2"/>
      <c r="L77" s="2">
        <f t="shared" si="0"/>
        <v>-4114.5600000000004</v>
      </c>
      <c r="M77" s="2"/>
      <c r="N77" s="19">
        <f t="shared" si="1"/>
        <v>0</v>
      </c>
      <c r="O77" s="11"/>
      <c r="P77" s="2">
        <f>-120740.41</f>
        <v>-120740.41</v>
      </c>
      <c r="Q77" s="2"/>
      <c r="R77" s="19"/>
      <c r="S77" s="2"/>
      <c r="T77" s="2"/>
      <c r="U77" s="2"/>
      <c r="V77" s="19"/>
      <c r="W77" s="2"/>
      <c r="X77" s="2">
        <f t="shared" si="2"/>
        <v>-120740.41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-2008.16</f>
        <v>-2008.16</v>
      </c>
      <c r="E78" s="2"/>
      <c r="F78" s="19"/>
      <c r="G78" s="2"/>
      <c r="H78" s="2"/>
      <c r="I78" s="2"/>
      <c r="J78" s="19"/>
      <c r="K78" s="2"/>
      <c r="L78" s="2">
        <f t="shared" si="0"/>
        <v>-2008.16</v>
      </c>
      <c r="M78" s="2"/>
      <c r="N78" s="19">
        <f t="shared" si="1"/>
        <v>0</v>
      </c>
      <c r="O78" s="11"/>
      <c r="P78" s="2">
        <f>-45387.31</f>
        <v>-45387.31</v>
      </c>
      <c r="Q78" s="2"/>
      <c r="R78" s="19"/>
      <c r="S78" s="2"/>
      <c r="T78" s="2"/>
      <c r="U78" s="2"/>
      <c r="V78" s="19"/>
      <c r="W78" s="2"/>
      <c r="X78" s="2">
        <f t="shared" si="2"/>
        <v>-45387.31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-144.99</f>
        <v>-144.99</v>
      </c>
      <c r="Q79" s="2"/>
      <c r="R79" s="19"/>
      <c r="S79" s="2"/>
      <c r="T79" s="2"/>
      <c r="U79" s="2"/>
      <c r="V79" s="19"/>
      <c r="W79" s="2"/>
      <c r="X79" s="2">
        <f t="shared" si="2"/>
        <v>-144.99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>-993.89</f>
        <v>-993.89</v>
      </c>
      <c r="E80" s="2"/>
      <c r="F80" s="19"/>
      <c r="G80" s="2"/>
      <c r="H80" s="2"/>
      <c r="I80" s="2"/>
      <c r="J80" s="19"/>
      <c r="K80" s="2"/>
      <c r="L80" s="2">
        <f t="shared" si="0"/>
        <v>-993.89</v>
      </c>
      <c r="M80" s="2"/>
      <c r="N80" s="19">
        <f t="shared" si="1"/>
        <v>0</v>
      </c>
      <c r="O80" s="11"/>
      <c r="P80" s="2">
        <f>-17255.33</f>
        <v>-17255.330000000002</v>
      </c>
      <c r="Q80" s="2"/>
      <c r="R80" s="19"/>
      <c r="S80" s="2"/>
      <c r="T80" s="2"/>
      <c r="U80" s="2"/>
      <c r="V80" s="19"/>
      <c r="W80" s="2"/>
      <c r="X80" s="2">
        <f t="shared" si="2"/>
        <v>-17255.330000000002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>-103.4</f>
        <v>-103.4</v>
      </c>
      <c r="E81" s="2"/>
      <c r="F81" s="19"/>
      <c r="G81" s="2"/>
      <c r="H81" s="2"/>
      <c r="I81" s="2"/>
      <c r="J81" s="19"/>
      <c r="K81" s="2"/>
      <c r="L81" s="2">
        <f t="shared" si="0"/>
        <v>-103.4</v>
      </c>
      <c r="M81" s="2"/>
      <c r="N81" s="19">
        <f t="shared" si="1"/>
        <v>0</v>
      </c>
      <c r="O81" s="11"/>
      <c r="P81" s="2">
        <f>-220.06</f>
        <v>-220.06</v>
      </c>
      <c r="Q81" s="2"/>
      <c r="R81" s="19"/>
      <c r="S81" s="2"/>
      <c r="T81" s="2"/>
      <c r="U81" s="2"/>
      <c r="V81" s="19"/>
      <c r="W81" s="2"/>
      <c r="X81" s="2">
        <f t="shared" si="2"/>
        <v>-220.06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ref="D82:D84" si="5"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-11.94</f>
        <v>-11.94</v>
      </c>
      <c r="Q82" s="2"/>
      <c r="R82" s="19"/>
      <c r="S82" s="2"/>
      <c r="T82" s="2"/>
      <c r="U82" s="2"/>
      <c r="V82" s="19"/>
      <c r="W82" s="2"/>
      <c r="X82" s="2">
        <f t="shared" si="2"/>
        <v>-11.94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5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-2.98</f>
        <v>-2.98</v>
      </c>
      <c r="Q83" s="2"/>
      <c r="R83" s="19"/>
      <c r="S83" s="2"/>
      <c r="T83" s="2"/>
      <c r="U83" s="2"/>
      <c r="V83" s="19"/>
      <c r="W83" s="2"/>
      <c r="X83" s="2">
        <f t="shared" si="2"/>
        <v>-2.98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5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-39.25</f>
        <v>-39.25</v>
      </c>
      <c r="Q84" s="2"/>
      <c r="R84" s="19"/>
      <c r="S84" s="2"/>
      <c r="T84" s="2"/>
      <c r="U84" s="2"/>
      <c r="V84" s="19"/>
      <c r="W84" s="2"/>
      <c r="X84" s="2">
        <f t="shared" si="2"/>
        <v>-39.25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>-72.54</f>
        <v>-72.540000000000006</v>
      </c>
      <c r="E85" s="2"/>
      <c r="F85" s="19"/>
      <c r="G85" s="2"/>
      <c r="H85" s="2"/>
      <c r="I85" s="2"/>
      <c r="J85" s="19"/>
      <c r="K85" s="2"/>
      <c r="L85" s="2">
        <f t="shared" si="0"/>
        <v>-72.540000000000006</v>
      </c>
      <c r="M85" s="2"/>
      <c r="N85" s="19">
        <f t="shared" si="1"/>
        <v>0</v>
      </c>
      <c r="O85" s="11"/>
      <c r="P85" s="2">
        <f>-168.25</f>
        <v>-168.25</v>
      </c>
      <c r="Q85" s="2"/>
      <c r="R85" s="19"/>
      <c r="S85" s="2"/>
      <c r="T85" s="2"/>
      <c r="U85" s="2"/>
      <c r="V85" s="19"/>
      <c r="W85" s="2"/>
      <c r="X85" s="2">
        <f t="shared" si="2"/>
        <v>-168.25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>-72.88</f>
        <v>-72.88</v>
      </c>
      <c r="E86" s="2"/>
      <c r="F86" s="19"/>
      <c r="G86" s="2"/>
      <c r="H86" s="2"/>
      <c r="I86" s="2"/>
      <c r="J86" s="19"/>
      <c r="K86" s="2"/>
      <c r="L86" s="2">
        <f t="shared" si="0"/>
        <v>-72.88</v>
      </c>
      <c r="M86" s="2"/>
      <c r="N86" s="19">
        <f t="shared" si="1"/>
        <v>0</v>
      </c>
      <c r="O86" s="11"/>
      <c r="P86" s="2">
        <f>-753.79</f>
        <v>-753.79</v>
      </c>
      <c r="Q86" s="2"/>
      <c r="R86" s="19"/>
      <c r="S86" s="2"/>
      <c r="T86" s="2"/>
      <c r="U86" s="2"/>
      <c r="V86" s="19"/>
      <c r="W86" s="2"/>
      <c r="X86" s="2">
        <f t="shared" si="2"/>
        <v>-753.79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-703.56</f>
        <v>-703.56</v>
      </c>
      <c r="E87" s="2"/>
      <c r="F87" s="19"/>
      <c r="G87" s="2"/>
      <c r="H87" s="2"/>
      <c r="I87" s="2"/>
      <c r="J87" s="19"/>
      <c r="K87" s="2"/>
      <c r="L87" s="2">
        <f t="shared" si="0"/>
        <v>-703.56</v>
      </c>
      <c r="M87" s="2"/>
      <c r="N87" s="19">
        <f t="shared" si="1"/>
        <v>0</v>
      </c>
      <c r="O87" s="11"/>
      <c r="P87" s="2">
        <f>-7614.42</f>
        <v>-7614.42</v>
      </c>
      <c r="Q87" s="2"/>
      <c r="R87" s="19"/>
      <c r="S87" s="2"/>
      <c r="T87" s="2"/>
      <c r="U87" s="2"/>
      <c r="V87" s="19"/>
      <c r="W87" s="2"/>
      <c r="X87" s="2">
        <f t="shared" si="2"/>
        <v>-7614.42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>-685.23</f>
        <v>-685.23</v>
      </c>
      <c r="E88" s="2"/>
      <c r="F88" s="19"/>
      <c r="G88" s="2"/>
      <c r="H88" s="2"/>
      <c r="I88" s="2"/>
      <c r="J88" s="19"/>
      <c r="K88" s="2"/>
      <c r="L88" s="2">
        <f t="shared" si="0"/>
        <v>-685.23</v>
      </c>
      <c r="M88" s="2"/>
      <c r="N88" s="19">
        <f t="shared" si="1"/>
        <v>0</v>
      </c>
      <c r="O88" s="11"/>
      <c r="P88" s="2">
        <f>-4599.92</f>
        <v>-4599.92</v>
      </c>
      <c r="Q88" s="2"/>
      <c r="R88" s="19"/>
      <c r="S88" s="2"/>
      <c r="T88" s="2"/>
      <c r="U88" s="2"/>
      <c r="V88" s="19"/>
      <c r="W88" s="2"/>
      <c r="X88" s="2">
        <f t="shared" si="2"/>
        <v>-4599.92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>0</f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-1.29</f>
        <v>-1.29</v>
      </c>
      <c r="Q89" s="2"/>
      <c r="R89" s="19"/>
      <c r="S89" s="2"/>
      <c r="T89" s="2"/>
      <c r="U89" s="2"/>
      <c r="V89" s="19"/>
      <c r="W89" s="2"/>
      <c r="X89" s="2">
        <f t="shared" si="2"/>
        <v>-1.29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-8202.92</f>
        <v>-8202.92</v>
      </c>
      <c r="E90" s="2"/>
      <c r="F90" s="19"/>
      <c r="G90" s="2"/>
      <c r="H90" s="2"/>
      <c r="I90" s="2"/>
      <c r="J90" s="19"/>
      <c r="K90" s="2"/>
      <c r="L90" s="2">
        <f t="shared" si="0"/>
        <v>-8202.92</v>
      </c>
      <c r="M90" s="2"/>
      <c r="N90" s="19">
        <f t="shared" si="1"/>
        <v>0</v>
      </c>
      <c r="O90" s="11"/>
      <c r="P90" s="2">
        <f>-69811.67</f>
        <v>-69811.67</v>
      </c>
      <c r="Q90" s="2"/>
      <c r="R90" s="19"/>
      <c r="S90" s="2"/>
      <c r="T90" s="2"/>
      <c r="U90" s="2"/>
      <c r="V90" s="19"/>
      <c r="W90" s="2"/>
      <c r="X90" s="2">
        <f t="shared" si="2"/>
        <v>-69811.67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-972.77</f>
        <v>-972.77</v>
      </c>
      <c r="E91" s="2"/>
      <c r="F91" s="19"/>
      <c r="G91" s="2"/>
      <c r="H91" s="2"/>
      <c r="I91" s="2"/>
      <c r="J91" s="19"/>
      <c r="K91" s="2"/>
      <c r="L91" s="2">
        <f t="shared" si="0"/>
        <v>-972.77</v>
      </c>
      <c r="M91" s="2"/>
      <c r="N91" s="19">
        <f t="shared" si="1"/>
        <v>0</v>
      </c>
      <c r="O91" s="11"/>
      <c r="P91" s="2">
        <f>-5926.98</f>
        <v>-5926.98</v>
      </c>
      <c r="Q91" s="2"/>
      <c r="R91" s="19"/>
      <c r="S91" s="2"/>
      <c r="T91" s="2"/>
      <c r="U91" s="2"/>
      <c r="V91" s="19"/>
      <c r="W91" s="2"/>
      <c r="X91" s="2">
        <f t="shared" si="2"/>
        <v>-5926.98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-349.75</f>
        <v>-349.75</v>
      </c>
      <c r="E92" s="2"/>
      <c r="F92" s="19"/>
      <c r="G92" s="2"/>
      <c r="H92" s="2"/>
      <c r="I92" s="2"/>
      <c r="J92" s="19"/>
      <c r="K92" s="2"/>
      <c r="L92" s="2">
        <f t="shared" si="0"/>
        <v>-349.75</v>
      </c>
      <c r="M92" s="2"/>
      <c r="N92" s="19">
        <f t="shared" si="1"/>
        <v>0</v>
      </c>
      <c r="O92" s="11"/>
      <c r="P92" s="2">
        <f>-3894.08</f>
        <v>-3894.08</v>
      </c>
      <c r="Q92" s="2"/>
      <c r="R92" s="19"/>
      <c r="S92" s="2"/>
      <c r="T92" s="2"/>
      <c r="U92" s="2"/>
      <c r="V92" s="19"/>
      <c r="W92" s="2"/>
      <c r="X92" s="2">
        <f t="shared" si="2"/>
        <v>-3894.08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-1609.18</f>
        <v>-1609.18</v>
      </c>
      <c r="E93" s="2"/>
      <c r="F93" s="19"/>
      <c r="G93" s="2"/>
      <c r="H93" s="2"/>
      <c r="I93" s="2"/>
      <c r="J93" s="19"/>
      <c r="K93" s="2"/>
      <c r="L93" s="2">
        <f t="shared" si="0"/>
        <v>-1609.18</v>
      </c>
      <c r="M93" s="2"/>
      <c r="N93" s="19">
        <f t="shared" si="1"/>
        <v>0</v>
      </c>
      <c r="O93" s="11"/>
      <c r="P93" s="2">
        <f>-2833.39</f>
        <v>-2833.39</v>
      </c>
      <c r="Q93" s="2"/>
      <c r="R93" s="19"/>
      <c r="S93" s="2"/>
      <c r="T93" s="2"/>
      <c r="U93" s="2"/>
      <c r="V93" s="19"/>
      <c r="W93" s="2"/>
      <c r="X93" s="2">
        <f t="shared" si="2"/>
        <v>-2833.39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-328.75</f>
        <v>-328.75</v>
      </c>
      <c r="E94" s="2"/>
      <c r="F94" s="19"/>
      <c r="G94" s="2"/>
      <c r="H94" s="2"/>
      <c r="I94" s="2"/>
      <c r="J94" s="19"/>
      <c r="K94" s="2"/>
      <c r="L94" s="2">
        <f t="shared" si="0"/>
        <v>-328.75</v>
      </c>
      <c r="M94" s="2"/>
      <c r="N94" s="19">
        <f t="shared" si="1"/>
        <v>0</v>
      </c>
      <c r="O94" s="11"/>
      <c r="P94" s="2">
        <f>-2430.8</f>
        <v>-2430.8000000000002</v>
      </c>
      <c r="Q94" s="2"/>
      <c r="R94" s="19"/>
      <c r="S94" s="2"/>
      <c r="T94" s="2"/>
      <c r="U94" s="2"/>
      <c r="V94" s="19"/>
      <c r="W94" s="2"/>
      <c r="X94" s="2">
        <f t="shared" si="2"/>
        <v>-2430.8000000000002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 t="shared" ref="D95:D101" si="6"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-1715.05</f>
        <v>-1715.05</v>
      </c>
      <c r="Q95" s="2"/>
      <c r="R95" s="19"/>
      <c r="S95" s="2"/>
      <c r="T95" s="2"/>
      <c r="U95" s="2"/>
      <c r="V95" s="19"/>
      <c r="W95" s="2"/>
      <c r="X95" s="2">
        <f t="shared" si="2"/>
        <v>-1715.05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 t="shared" si="6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-54.97</f>
        <v>-54.97</v>
      </c>
      <c r="Q96" s="2"/>
      <c r="R96" s="19"/>
      <c r="S96" s="2"/>
      <c r="T96" s="2"/>
      <c r="U96" s="2"/>
      <c r="V96" s="19"/>
      <c r="W96" s="2"/>
      <c r="X96" s="2">
        <f t="shared" si="2"/>
        <v>-54.97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 t="shared" si="6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-419.05</f>
        <v>-419.05</v>
      </c>
      <c r="Q97" s="2"/>
      <c r="R97" s="19"/>
      <c r="S97" s="2"/>
      <c r="T97" s="2"/>
      <c r="U97" s="2"/>
      <c r="V97" s="19"/>
      <c r="W97" s="2"/>
      <c r="X97" s="2">
        <f t="shared" si="2"/>
        <v>-419.05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si="6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--0.99</f>
        <v>0.99</v>
      </c>
      <c r="Q98" s="2"/>
      <c r="R98" s="19"/>
      <c r="S98" s="2"/>
      <c r="T98" s="2"/>
      <c r="U98" s="2"/>
      <c r="V98" s="19"/>
      <c r="W98" s="2"/>
      <c r="X98" s="2">
        <f t="shared" si="2"/>
        <v>0.99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 t="shared" si="6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-15221.62</f>
        <v>-15221.62</v>
      </c>
      <c r="Q99" s="2"/>
      <c r="R99" s="19"/>
      <c r="S99" s="2"/>
      <c r="T99" s="2"/>
      <c r="U99" s="2"/>
      <c r="V99" s="19"/>
      <c r="W99" s="2"/>
      <c r="X99" s="2">
        <f t="shared" si="2"/>
        <v>-15221.62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 t="shared" si="6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-1312.37</f>
        <v>-1312.37</v>
      </c>
      <c r="Q100" s="2"/>
      <c r="R100" s="19"/>
      <c r="S100" s="2"/>
      <c r="T100" s="2"/>
      <c r="U100" s="2"/>
      <c r="V100" s="19"/>
      <c r="W100" s="2"/>
      <c r="X100" s="2">
        <f t="shared" si="2"/>
        <v>-1312.37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 t="shared" si="6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-184.99</f>
        <v>-184.99</v>
      </c>
      <c r="Q101" s="2"/>
      <c r="R101" s="19"/>
      <c r="S101" s="2"/>
      <c r="T101" s="2"/>
      <c r="U101" s="2"/>
      <c r="V101" s="19"/>
      <c r="W101" s="2"/>
      <c r="X101" s="2">
        <f t="shared" si="2"/>
        <v>-184.99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>-1249.23</f>
        <v>-1249.23</v>
      </c>
      <c r="E102" s="2"/>
      <c r="F102" s="19"/>
      <c r="G102" s="2"/>
      <c r="H102" s="2"/>
      <c r="I102" s="2"/>
      <c r="J102" s="19"/>
      <c r="K102" s="2"/>
      <c r="L102" s="2">
        <f t="shared" si="0"/>
        <v>-1249.23</v>
      </c>
      <c r="M102" s="2"/>
      <c r="N102" s="19">
        <f t="shared" si="1"/>
        <v>0</v>
      </c>
      <c r="O102" s="11"/>
      <c r="P102" s="2">
        <f>-18991.98</f>
        <v>-18991.98</v>
      </c>
      <c r="Q102" s="2"/>
      <c r="R102" s="19"/>
      <c r="S102" s="2"/>
      <c r="T102" s="2"/>
      <c r="U102" s="2"/>
      <c r="V102" s="19"/>
      <c r="W102" s="2"/>
      <c r="X102" s="2">
        <f t="shared" si="2"/>
        <v>-18991.98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>-169.45</f>
        <v>-169.45</v>
      </c>
      <c r="E103" s="2"/>
      <c r="F103" s="19"/>
      <c r="G103" s="2"/>
      <c r="H103" s="2"/>
      <c r="I103" s="2"/>
      <c r="J103" s="19"/>
      <c r="K103" s="2"/>
      <c r="L103" s="2">
        <f t="shared" si="0"/>
        <v>-169.45</v>
      </c>
      <c r="M103" s="2"/>
      <c r="N103" s="19">
        <f t="shared" si="1"/>
        <v>0</v>
      </c>
      <c r="O103" s="11"/>
      <c r="P103" s="2">
        <f>-794.76</f>
        <v>-794.76</v>
      </c>
      <c r="Q103" s="2"/>
      <c r="R103" s="19"/>
      <c r="S103" s="2"/>
      <c r="T103" s="2"/>
      <c r="U103" s="2"/>
      <c r="V103" s="19"/>
      <c r="W103" s="2"/>
      <c r="X103" s="2">
        <f t="shared" si="2"/>
        <v>-794.76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>0</f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-21.87</f>
        <v>-21.87</v>
      </c>
      <c r="Q104" s="2"/>
      <c r="R104" s="19"/>
      <c r="S104" s="2"/>
      <c r="T104" s="2"/>
      <c r="U104" s="2"/>
      <c r="V104" s="19"/>
      <c r="W104" s="2"/>
      <c r="X104" s="2">
        <f t="shared" si="2"/>
        <v>-21.87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"4331", " - ", "SALES RETURN NON TAXABLE-FOOD")</f>
        <v xml:space="preserve">          4331 - SALES RETURN NON TAXABLE-FOOD</v>
      </c>
      <c r="C105" s="11"/>
      <c r="D105" s="2">
        <f>-7.58</f>
        <v>-7.58</v>
      </c>
      <c r="E105" s="2"/>
      <c r="F105" s="19"/>
      <c r="G105" s="2"/>
      <c r="H105" s="2"/>
      <c r="I105" s="2"/>
      <c r="J105" s="19"/>
      <c r="K105" s="2"/>
      <c r="L105" s="2">
        <f t="shared" si="0"/>
        <v>-7.58</v>
      </c>
      <c r="M105" s="2"/>
      <c r="N105" s="19">
        <f t="shared" si="1"/>
        <v>0</v>
      </c>
      <c r="O105" s="11"/>
      <c r="P105" s="2">
        <f>-7.58</f>
        <v>-7.58</v>
      </c>
      <c r="Q105" s="2"/>
      <c r="R105" s="19"/>
      <c r="S105" s="2"/>
      <c r="T105" s="2"/>
      <c r="U105" s="2"/>
      <c r="V105" s="19"/>
      <c r="W105" s="2"/>
      <c r="X105" s="2">
        <f t="shared" si="2"/>
        <v>-7.58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"4332", " - ", "SALES RETURN NON TAXABLE-JUICE")</f>
        <v xml:space="preserve">          4332 - SALES RETURN NON TAXABLE-JUICE</v>
      </c>
      <c r="C106" s="11"/>
      <c r="D106" s="2">
        <f>-2.79</f>
        <v>-2.79</v>
      </c>
      <c r="E106" s="2"/>
      <c r="F106" s="19"/>
      <c r="G106" s="2"/>
      <c r="H106" s="2"/>
      <c r="I106" s="2"/>
      <c r="J106" s="19"/>
      <c r="K106" s="2"/>
      <c r="L106" s="2">
        <f t="shared" si="0"/>
        <v>-2.79</v>
      </c>
      <c r="M106" s="2"/>
      <c r="N106" s="19">
        <f t="shared" si="1"/>
        <v>0</v>
      </c>
      <c r="O106" s="11"/>
      <c r="P106" s="2">
        <f>-2.79</f>
        <v>-2.79</v>
      </c>
      <c r="Q106" s="2"/>
      <c r="R106" s="19"/>
      <c r="S106" s="2"/>
      <c r="T106" s="2"/>
      <c r="U106" s="2"/>
      <c r="V106" s="19"/>
      <c r="W106" s="2"/>
      <c r="X106" s="2">
        <f t="shared" si="2"/>
        <v>-2.79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"4340", " - ", "SALES RETURN NON TAXABLE-LOGO")</f>
        <v xml:space="preserve">          4340 - SALES RETURN NON TAXABLE-LOGO</v>
      </c>
      <c r="C107" s="11"/>
      <c r="D107" s="2">
        <f>0</f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-931.65</f>
        <v>-931.65</v>
      </c>
      <c r="Q107" s="2"/>
      <c r="R107" s="19"/>
      <c r="S107" s="2"/>
      <c r="T107" s="2"/>
      <c r="U107" s="2"/>
      <c r="V107" s="19"/>
      <c r="W107" s="2"/>
      <c r="X107" s="2">
        <f t="shared" si="2"/>
        <v>-931.65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"4341", " - ", "SALES RETURN NON TAXABLE-LOGO")</f>
        <v xml:space="preserve">          4341 - SALES RETURN NON TAXABLE-LOGO</v>
      </c>
      <c r="C108" s="11"/>
      <c r="D108" s="2">
        <f>-214.7</f>
        <v>-214.7</v>
      </c>
      <c r="E108" s="2"/>
      <c r="F108" s="19"/>
      <c r="G108" s="2"/>
      <c r="H108" s="2"/>
      <c r="I108" s="2"/>
      <c r="J108" s="19"/>
      <c r="K108" s="2"/>
      <c r="L108" s="2">
        <f t="shared" si="0"/>
        <v>-214.7</v>
      </c>
      <c r="M108" s="2"/>
      <c r="N108" s="19">
        <f t="shared" si="1"/>
        <v>0</v>
      </c>
      <c r="O108" s="11"/>
      <c r="P108" s="2">
        <f>-245.5</f>
        <v>-245.5</v>
      </c>
      <c r="Q108" s="2"/>
      <c r="R108" s="19"/>
      <c r="S108" s="2"/>
      <c r="T108" s="2"/>
      <c r="U108" s="2"/>
      <c r="V108" s="19"/>
      <c r="W108" s="2"/>
      <c r="X108" s="2">
        <f t="shared" si="2"/>
        <v>-245.5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"4342", " - ", "SALES RETURN NON TAXABLE-EVERY")</f>
        <v xml:space="preserve">          4342 - SALES RETURN NON TAXABLE-EVERY</v>
      </c>
      <c r="C109" s="11"/>
      <c r="D109" s="2">
        <f t="shared" ref="D109:D110" si="7">0</f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-149.22</f>
        <v>-149.22</v>
      </c>
      <c r="Q109" s="2"/>
      <c r="R109" s="19"/>
      <c r="S109" s="2"/>
      <c r="T109" s="2"/>
      <c r="U109" s="2"/>
      <c r="V109" s="19"/>
      <c r="W109" s="2"/>
      <c r="X109" s="2">
        <f t="shared" si="2"/>
        <v>-149.22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"4346", " - ", "SALES RETURN NON TAXABLE-COIN-")</f>
        <v xml:space="preserve">          4346 - SALES RETURN NON TAXABLE-COIN-</v>
      </c>
      <c r="C110" s="11"/>
      <c r="D110" s="2">
        <f t="shared" si="7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-8.15</f>
        <v>-8.15</v>
      </c>
      <c r="Q110" s="2"/>
      <c r="R110" s="19"/>
      <c r="S110" s="2"/>
      <c r="T110" s="2"/>
      <c r="U110" s="2"/>
      <c r="V110" s="19"/>
      <c r="W110" s="2"/>
      <c r="X110" s="2">
        <f t="shared" si="2"/>
        <v>-8.15</v>
      </c>
      <c r="Y110" s="2"/>
      <c r="Z110" s="19">
        <f t="shared" si="3"/>
        <v>0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collapsed="1" x14ac:dyDescent="0.25">
      <c r="A112" s="10"/>
      <c r="B112" s="29" t="s">
        <v>8</v>
      </c>
      <c r="C112" s="10"/>
      <c r="D112" s="4">
        <f>SUM(OSRRefD16x_0)</f>
        <v>692137.67</v>
      </c>
      <c r="E112" s="4"/>
      <c r="F112" s="12">
        <f t="shared" ref="F112:F165" si="8">IF(D$12=0,0,D112/D$12)</f>
        <v>0.64582675116082922</v>
      </c>
      <c r="G112" s="4"/>
      <c r="H112" s="4">
        <f>SUM(OSRRefH16x_0)</f>
        <v>524211.57077999995</v>
      </c>
      <c r="I112" s="4"/>
      <c r="J112" s="12">
        <f t="shared" ref="J112:J165" si="9">IF(H$12=0,0,H112/H$12)</f>
        <v>0.4776873398963104</v>
      </c>
      <c r="K112" s="4"/>
      <c r="L112" s="4">
        <f t="shared" ref="L112:L165" si="10">+D112-H112</f>
        <v>167926.09922000009</v>
      </c>
      <c r="M112" s="4"/>
      <c r="N112" s="12">
        <f t="shared" ref="N112:N165" si="11">IF(H112=0,0,L112/H112)</f>
        <v>0.32034031406467173</v>
      </c>
      <c r="O112" s="10"/>
      <c r="P112" s="4">
        <f>SUM(OSRRefP16x_0)</f>
        <v>5964308.1199999992</v>
      </c>
      <c r="Q112" s="4"/>
      <c r="R112" s="12">
        <f t="shared" ref="R112:R165" si="12">IF(P$12=0,0,P112/P$12)</f>
        <v>0.56435799124751129</v>
      </c>
      <c r="S112" s="4"/>
      <c r="T112" s="4">
        <f>SUM(OSRRefT16x_0)</f>
        <v>6328797.9542300003</v>
      </c>
      <c r="U112" s="4"/>
      <c r="V112" s="12">
        <f t="shared" ref="V112:V165" si="13">IF(T$12=0,0,T112/T$12)</f>
        <v>0.56654277464994585</v>
      </c>
      <c r="W112" s="4"/>
      <c r="X112" s="4">
        <f t="shared" ref="X112:X165" si="14">+P112-T112</f>
        <v>-364489.83423000108</v>
      </c>
      <c r="Y112" s="4"/>
      <c r="Z112" s="12">
        <f t="shared" ref="Z112:Z165" si="15">IF(T112=0,0,X112/T112)</f>
        <v>-5.7592269000527309E-2</v>
      </c>
    </row>
    <row r="113" spans="1:26" s="24" customFormat="1" hidden="1" outlineLevel="1" x14ac:dyDescent="0.25">
      <c r="A113" s="44"/>
      <c r="B113" s="11" t="str">
        <f>CONCATENATE("          ", "5000", " - ", "PURCHASES @ COST")</f>
        <v xml:space="preserve">          5000 - PURCHASES @ COST</v>
      </c>
      <c r="C113" s="11"/>
      <c r="D113" s="2"/>
      <c r="E113" s="2"/>
      <c r="F113" s="19">
        <f t="shared" si="8"/>
        <v>0</v>
      </c>
      <c r="G113" s="2"/>
      <c r="H113" s="2">
        <v>524211.57077999995</v>
      </c>
      <c r="I113" s="2"/>
      <c r="J113" s="19">
        <f t="shared" si="9"/>
        <v>0.4776873398963104</v>
      </c>
      <c r="K113" s="2"/>
      <c r="L113" s="2">
        <f t="shared" si="10"/>
        <v>-524211.57077999995</v>
      </c>
      <c r="M113" s="2"/>
      <c r="N113" s="19">
        <f t="shared" si="11"/>
        <v>-1</v>
      </c>
      <c r="O113" s="11"/>
      <c r="P113" s="2"/>
      <c r="Q113" s="2"/>
      <c r="R113" s="19">
        <f t="shared" si="12"/>
        <v>0</v>
      </c>
      <c r="S113" s="2"/>
      <c r="T113" s="2">
        <v>6328797.9542300003</v>
      </c>
      <c r="U113" s="2"/>
      <c r="V113" s="19">
        <f t="shared" si="13"/>
        <v>0.56654277464994585</v>
      </c>
      <c r="W113" s="2"/>
      <c r="X113" s="2">
        <f t="shared" si="14"/>
        <v>-6328797.9542300003</v>
      </c>
      <c r="Y113" s="2"/>
      <c r="Z113" s="19">
        <f t="shared" si="15"/>
        <v>-1</v>
      </c>
    </row>
    <row r="114" spans="1:26" s="24" customFormat="1" hidden="1" outlineLevel="1" x14ac:dyDescent="0.25">
      <c r="A114" s="44"/>
      <c r="B114" s="11" t="str">
        <f>CONCATENATE("          ", "5001", " - ", "PURCHASES @ COST-NEW TEXT")</f>
        <v xml:space="preserve">          5001 - PURCHASES @ COST-NEW TEXT</v>
      </c>
      <c r="C114" s="11"/>
      <c r="D114" s="2">
        <v>-110695.19</v>
      </c>
      <c r="E114" s="2"/>
      <c r="F114" s="19">
        <f t="shared" si="8"/>
        <v>-0.10328857686192792</v>
      </c>
      <c r="G114" s="2"/>
      <c r="H114" s="2"/>
      <c r="I114" s="2"/>
      <c r="J114" s="19">
        <f t="shared" si="9"/>
        <v>0</v>
      </c>
      <c r="K114" s="2"/>
      <c r="L114" s="2">
        <f t="shared" si="10"/>
        <v>-110695.19</v>
      </c>
      <c r="M114" s="2"/>
      <c r="N114" s="19">
        <f t="shared" si="11"/>
        <v>0</v>
      </c>
      <c r="O114" s="11"/>
      <c r="P114" s="2">
        <v>2516599.4700000002</v>
      </c>
      <c r="Q114" s="2"/>
      <c r="R114" s="19">
        <f t="shared" si="12"/>
        <v>0.23812703721680831</v>
      </c>
      <c r="S114" s="2"/>
      <c r="T114" s="2"/>
      <c r="U114" s="2"/>
      <c r="V114" s="19">
        <f t="shared" si="13"/>
        <v>0</v>
      </c>
      <c r="W114" s="2"/>
      <c r="X114" s="2">
        <f t="shared" si="14"/>
        <v>2516599.4700000002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"5002", " - ", "PURCHASES @ COST-USED TEXT")</f>
        <v xml:space="preserve">          5002 - PURCHASES @ COST-USED TEXT</v>
      </c>
      <c r="C115" s="11"/>
      <c r="D115" s="2">
        <v>11947.84</v>
      </c>
      <c r="E115" s="2"/>
      <c r="F115" s="19">
        <f t="shared" si="8"/>
        <v>1.1148410244148973E-2</v>
      </c>
      <c r="G115" s="2"/>
      <c r="H115" s="2"/>
      <c r="I115" s="2"/>
      <c r="J115" s="19">
        <f t="shared" si="9"/>
        <v>0</v>
      </c>
      <c r="K115" s="2"/>
      <c r="L115" s="2">
        <f t="shared" si="10"/>
        <v>11947.84</v>
      </c>
      <c r="M115" s="2"/>
      <c r="N115" s="19">
        <f t="shared" si="11"/>
        <v>0</v>
      </c>
      <c r="O115" s="11"/>
      <c r="P115" s="2">
        <v>524555.37</v>
      </c>
      <c r="Q115" s="2"/>
      <c r="R115" s="19">
        <f t="shared" si="12"/>
        <v>4.9634762147616064E-2</v>
      </c>
      <c r="S115" s="2"/>
      <c r="T115" s="2"/>
      <c r="U115" s="2"/>
      <c r="V115" s="19">
        <f t="shared" si="13"/>
        <v>0</v>
      </c>
      <c r="W115" s="2"/>
      <c r="X115" s="2">
        <f t="shared" si="14"/>
        <v>524555.37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"5003", " - ", "PURCHASES @ COST-RENTAL TEXT")</f>
        <v xml:space="preserve">          5003 - PURCHASES @ COST-RENTAL TEXT</v>
      </c>
      <c r="C116" s="11"/>
      <c r="D116" s="2"/>
      <c r="E116" s="2"/>
      <c r="F116" s="19">
        <f t="shared" si="8"/>
        <v>0</v>
      </c>
      <c r="G116" s="2"/>
      <c r="H116" s="2"/>
      <c r="I116" s="2"/>
      <c r="J116" s="19">
        <f t="shared" si="9"/>
        <v>0</v>
      </c>
      <c r="K116" s="2"/>
      <c r="L116" s="2">
        <f t="shared" si="10"/>
        <v>0</v>
      </c>
      <c r="M116" s="2"/>
      <c r="N116" s="19">
        <f t="shared" si="11"/>
        <v>0</v>
      </c>
      <c r="O116" s="11"/>
      <c r="P116" s="2">
        <v>-78.400000000000006</v>
      </c>
      <c r="Q116" s="2"/>
      <c r="R116" s="19">
        <f t="shared" si="12"/>
        <v>-7.4184072357758907E-6</v>
      </c>
      <c r="S116" s="2"/>
      <c r="T116" s="2"/>
      <c r="U116" s="2"/>
      <c r="V116" s="19">
        <f t="shared" si="13"/>
        <v>0</v>
      </c>
      <c r="W116" s="2"/>
      <c r="X116" s="2">
        <f t="shared" si="14"/>
        <v>-78.400000000000006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"5004", " - ", "PURCHASES @ COST-DIGITAL TEXT")</f>
        <v xml:space="preserve">          5004 - PURCHASES @ COST-DIGITAL TEXT</v>
      </c>
      <c r="C117" s="11"/>
      <c r="D117" s="2">
        <v>61264.060000000005</v>
      </c>
      <c r="E117" s="2"/>
      <c r="F117" s="19">
        <f t="shared" si="8"/>
        <v>5.7164882866037492E-2</v>
      </c>
      <c r="G117" s="2"/>
      <c r="H117" s="2"/>
      <c r="I117" s="2"/>
      <c r="J117" s="19">
        <f t="shared" si="9"/>
        <v>0</v>
      </c>
      <c r="K117" s="2"/>
      <c r="L117" s="2">
        <f t="shared" si="10"/>
        <v>61264.060000000005</v>
      </c>
      <c r="M117" s="2"/>
      <c r="N117" s="19">
        <f t="shared" si="11"/>
        <v>0</v>
      </c>
      <c r="O117" s="11"/>
      <c r="P117" s="2">
        <v>535157.82999999996</v>
      </c>
      <c r="Q117" s="2"/>
      <c r="R117" s="19">
        <f t="shared" si="12"/>
        <v>5.0637993856557699E-2</v>
      </c>
      <c r="S117" s="2"/>
      <c r="T117" s="2"/>
      <c r="U117" s="2"/>
      <c r="V117" s="19">
        <f t="shared" si="13"/>
        <v>0</v>
      </c>
      <c r="W117" s="2"/>
      <c r="X117" s="2">
        <f t="shared" si="14"/>
        <v>535157.82999999996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"5011", " - ", "PURCHASES @ COST-NO VALUE TEXT")</f>
        <v xml:space="preserve">          5011 - PURCHASES @ COST-NO VALUE TEXT</v>
      </c>
      <c r="C118" s="11"/>
      <c r="D118" s="2">
        <v>258</v>
      </c>
      <c r="E118" s="2"/>
      <c r="F118" s="19">
        <f t="shared" si="8"/>
        <v>2.4073722471931622E-4</v>
      </c>
      <c r="G118" s="2"/>
      <c r="H118" s="2"/>
      <c r="I118" s="2"/>
      <c r="J118" s="19">
        <f t="shared" si="9"/>
        <v>0</v>
      </c>
      <c r="K118" s="2"/>
      <c r="L118" s="2">
        <f t="shared" si="10"/>
        <v>258</v>
      </c>
      <c r="M118" s="2"/>
      <c r="N118" s="19">
        <f t="shared" si="11"/>
        <v>0</v>
      </c>
      <c r="O118" s="11"/>
      <c r="P118" s="2">
        <v>5733</v>
      </c>
      <c r="Q118" s="2"/>
      <c r="R118" s="19">
        <f t="shared" si="12"/>
        <v>5.4247102911611196E-4</v>
      </c>
      <c r="S118" s="2"/>
      <c r="T118" s="2"/>
      <c r="U118" s="2"/>
      <c r="V118" s="19">
        <f t="shared" si="13"/>
        <v>0</v>
      </c>
      <c r="W118" s="2"/>
      <c r="X118" s="2">
        <f t="shared" si="14"/>
        <v>5733</v>
      </c>
      <c r="Y118" s="2"/>
      <c r="Z118" s="19">
        <f t="shared" si="15"/>
        <v>0</v>
      </c>
    </row>
    <row r="119" spans="1:26" s="24" customFormat="1" hidden="1" outlineLevel="1" x14ac:dyDescent="0.25">
      <c r="A119" s="44"/>
      <c r="B119" s="11" t="str">
        <f>CONCATENATE("          ", "5013", " - ", "PURCHASES @ COST-TRADE BOOKS")</f>
        <v xml:space="preserve">          5013 - PURCHASES @ COST-TRADE BOOKS</v>
      </c>
      <c r="C119" s="11"/>
      <c r="D119" s="2">
        <v>2592.2600000000002</v>
      </c>
      <c r="E119" s="2"/>
      <c r="F119" s="19">
        <f t="shared" si="8"/>
        <v>2.4188119308174213E-3</v>
      </c>
      <c r="G119" s="2"/>
      <c r="H119" s="2"/>
      <c r="I119" s="2"/>
      <c r="J119" s="19">
        <f t="shared" si="9"/>
        <v>0</v>
      </c>
      <c r="K119" s="2"/>
      <c r="L119" s="2">
        <f t="shared" si="10"/>
        <v>2592.2600000000002</v>
      </c>
      <c r="M119" s="2"/>
      <c r="N119" s="19">
        <f t="shared" si="11"/>
        <v>0</v>
      </c>
      <c r="O119" s="11"/>
      <c r="P119" s="2">
        <v>3050.72</v>
      </c>
      <c r="Q119" s="2"/>
      <c r="R119" s="19">
        <f t="shared" si="12"/>
        <v>2.8866687911130386E-4</v>
      </c>
      <c r="S119" s="2"/>
      <c r="T119" s="2"/>
      <c r="U119" s="2"/>
      <c r="V119" s="19">
        <f t="shared" si="13"/>
        <v>0</v>
      </c>
      <c r="W119" s="2"/>
      <c r="X119" s="2">
        <f t="shared" si="14"/>
        <v>3050.72</v>
      </c>
      <c r="Y119" s="2"/>
      <c r="Z119" s="19">
        <f t="shared" si="15"/>
        <v>0</v>
      </c>
    </row>
    <row r="120" spans="1:26" s="24" customFormat="1" hidden="1" outlineLevel="1" x14ac:dyDescent="0.25">
      <c r="A120" s="44"/>
      <c r="B120" s="11" t="str">
        <f>CONCATENATE("          ", "5014", " - ", "PURCHASES @ COST-REMAINDERS")</f>
        <v xml:space="preserve">          5014 - PURCHASES @ COST-REMAINDERS</v>
      </c>
      <c r="C120" s="11"/>
      <c r="D120" s="2">
        <v>17.78</v>
      </c>
      <c r="E120" s="2"/>
      <c r="F120" s="19">
        <f t="shared" si="8"/>
        <v>1.6590340525230398E-5</v>
      </c>
      <c r="G120" s="2"/>
      <c r="H120" s="2"/>
      <c r="I120" s="2"/>
      <c r="J120" s="19">
        <f t="shared" si="9"/>
        <v>0</v>
      </c>
      <c r="K120" s="2"/>
      <c r="L120" s="2">
        <f t="shared" si="10"/>
        <v>17.78</v>
      </c>
      <c r="M120" s="2"/>
      <c r="N120" s="19">
        <f t="shared" si="11"/>
        <v>0</v>
      </c>
      <c r="O120" s="11"/>
      <c r="P120" s="2">
        <v>601.16999999999996</v>
      </c>
      <c r="Q120" s="2"/>
      <c r="R120" s="19">
        <f t="shared" si="12"/>
        <v>5.6884233136879993E-5</v>
      </c>
      <c r="S120" s="2"/>
      <c r="T120" s="2"/>
      <c r="U120" s="2"/>
      <c r="V120" s="19">
        <f t="shared" si="13"/>
        <v>0</v>
      </c>
      <c r="W120" s="2"/>
      <c r="X120" s="2">
        <f t="shared" si="14"/>
        <v>601.16999999999996</v>
      </c>
      <c r="Y120" s="2"/>
      <c r="Z120" s="19">
        <f t="shared" si="15"/>
        <v>0</v>
      </c>
    </row>
    <row r="121" spans="1:26" s="24" customFormat="1" hidden="1" outlineLevel="1" x14ac:dyDescent="0.25">
      <c r="A121" s="44"/>
      <c r="B121" s="11" t="str">
        <f>CONCATENATE("          ", "5017", " - ", "PURCHASES @ COST-DORM/HOUSEWAR")</f>
        <v xml:space="preserve">          5017 - PURCHASES @ COST-DORM/HOUSEWAR</v>
      </c>
      <c r="C121" s="11"/>
      <c r="D121" s="2"/>
      <c r="E121" s="2"/>
      <c r="F121" s="19">
        <f t="shared" si="8"/>
        <v>0</v>
      </c>
      <c r="G121" s="2"/>
      <c r="H121" s="2"/>
      <c r="I121" s="2"/>
      <c r="J121" s="19">
        <f t="shared" si="9"/>
        <v>0</v>
      </c>
      <c r="K121" s="2"/>
      <c r="L121" s="2">
        <f t="shared" si="10"/>
        <v>0</v>
      </c>
      <c r="M121" s="2"/>
      <c r="N121" s="19">
        <f t="shared" si="11"/>
        <v>0</v>
      </c>
      <c r="O121" s="11"/>
      <c r="P121" s="2">
        <v>0</v>
      </c>
      <c r="Q121" s="2"/>
      <c r="R121" s="19">
        <f t="shared" si="12"/>
        <v>0</v>
      </c>
      <c r="S121" s="2"/>
      <c r="T121" s="2"/>
      <c r="U121" s="2"/>
      <c r="V121" s="19">
        <f t="shared" si="13"/>
        <v>0</v>
      </c>
      <c r="W121" s="2"/>
      <c r="X121" s="2">
        <f t="shared" si="14"/>
        <v>0</v>
      </c>
      <c r="Y121" s="2"/>
      <c r="Z121" s="19">
        <f t="shared" si="15"/>
        <v>0</v>
      </c>
    </row>
    <row r="122" spans="1:26" s="24" customFormat="1" hidden="1" outlineLevel="1" x14ac:dyDescent="0.25">
      <c r="A122" s="44"/>
      <c r="B122" s="11" t="str">
        <f>CONCATENATE("          ", "5018", " - ", "PURCHASES @ COST-STUDY GUIDES")</f>
        <v xml:space="preserve">          5018 - PURCHASES @ COST-STUDY GUIDES</v>
      </c>
      <c r="C122" s="11"/>
      <c r="D122" s="2">
        <v>237.28</v>
      </c>
      <c r="E122" s="2"/>
      <c r="F122" s="19">
        <f t="shared" si="8"/>
        <v>2.2140359954030757E-4</v>
      </c>
      <c r="G122" s="2"/>
      <c r="H122" s="2"/>
      <c r="I122" s="2"/>
      <c r="J122" s="19">
        <f t="shared" si="9"/>
        <v>0</v>
      </c>
      <c r="K122" s="2"/>
      <c r="L122" s="2">
        <f t="shared" si="10"/>
        <v>237.28</v>
      </c>
      <c r="M122" s="2"/>
      <c r="N122" s="19">
        <f t="shared" si="11"/>
        <v>0</v>
      </c>
      <c r="O122" s="11"/>
      <c r="P122" s="2">
        <v>2268.4299999999998</v>
      </c>
      <c r="Q122" s="2"/>
      <c r="R122" s="19">
        <f t="shared" si="12"/>
        <v>2.1464461129912119E-4</v>
      </c>
      <c r="S122" s="2"/>
      <c r="T122" s="2"/>
      <c r="U122" s="2"/>
      <c r="V122" s="19">
        <f t="shared" si="13"/>
        <v>0</v>
      </c>
      <c r="W122" s="2"/>
      <c r="X122" s="2">
        <f t="shared" si="14"/>
        <v>2268.4299999999998</v>
      </c>
      <c r="Y122" s="2"/>
      <c r="Z122" s="19">
        <f t="shared" si="15"/>
        <v>0</v>
      </c>
    </row>
    <row r="123" spans="1:26" s="24" customFormat="1" hidden="1" outlineLevel="1" x14ac:dyDescent="0.25">
      <c r="A123" s="44"/>
      <c r="B123" s="11" t="str">
        <f>CONCATENATE("          ", "5025", " - ", "PURCHASES @ COST-TEST FORMS")</f>
        <v xml:space="preserve">          5025 - PURCHASES @ COST-TEST FORMS</v>
      </c>
      <c r="C123" s="11"/>
      <c r="D123" s="2">
        <v>3423</v>
      </c>
      <c r="E123" s="2"/>
      <c r="F123" s="19">
        <f t="shared" si="8"/>
        <v>3.1939671326132535E-3</v>
      </c>
      <c r="G123" s="2"/>
      <c r="H123" s="2"/>
      <c r="I123" s="2"/>
      <c r="J123" s="19">
        <f t="shared" si="9"/>
        <v>0</v>
      </c>
      <c r="K123" s="2"/>
      <c r="L123" s="2">
        <f t="shared" si="10"/>
        <v>3423</v>
      </c>
      <c r="M123" s="2"/>
      <c r="N123" s="19">
        <f t="shared" si="11"/>
        <v>0</v>
      </c>
      <c r="O123" s="11"/>
      <c r="P123" s="2">
        <v>26401.390000000003</v>
      </c>
      <c r="Q123" s="2"/>
      <c r="R123" s="19">
        <f t="shared" si="12"/>
        <v>2.4981666149303731E-3</v>
      </c>
      <c r="S123" s="2"/>
      <c r="T123" s="2"/>
      <c r="U123" s="2"/>
      <c r="V123" s="19">
        <f t="shared" si="13"/>
        <v>0</v>
      </c>
      <c r="W123" s="2"/>
      <c r="X123" s="2">
        <f t="shared" si="14"/>
        <v>26401.390000000003</v>
      </c>
      <c r="Y123" s="2"/>
      <c r="Z123" s="19">
        <f t="shared" si="15"/>
        <v>0</v>
      </c>
    </row>
    <row r="124" spans="1:26" s="24" customFormat="1" hidden="1" outlineLevel="1" x14ac:dyDescent="0.25">
      <c r="A124" s="44"/>
      <c r="B124" s="11" t="str">
        <f>CONCATENATE("          ", "5026", " - ", "PURCHASES @ COST-WRITING INSTR")</f>
        <v xml:space="preserve">          5026 - PURCHASES @ COST-WRITING INSTR</v>
      </c>
      <c r="C124" s="11"/>
      <c r="D124" s="2">
        <v>2265.86</v>
      </c>
      <c r="E124" s="2"/>
      <c r="F124" s="19">
        <f t="shared" si="8"/>
        <v>2.1142513488469376E-3</v>
      </c>
      <c r="G124" s="2"/>
      <c r="H124" s="2"/>
      <c r="I124" s="2"/>
      <c r="J124" s="19">
        <f t="shared" si="9"/>
        <v>0</v>
      </c>
      <c r="K124" s="2"/>
      <c r="L124" s="2">
        <f t="shared" si="10"/>
        <v>2265.86</v>
      </c>
      <c r="M124" s="2"/>
      <c r="N124" s="19">
        <f t="shared" si="11"/>
        <v>0</v>
      </c>
      <c r="O124" s="11"/>
      <c r="P124" s="2">
        <v>45762.009999999995</v>
      </c>
      <c r="Q124" s="2"/>
      <c r="R124" s="19">
        <f t="shared" si="12"/>
        <v>4.3301176799444971E-3</v>
      </c>
      <c r="S124" s="2"/>
      <c r="T124" s="2"/>
      <c r="U124" s="2"/>
      <c r="V124" s="19">
        <f t="shared" si="13"/>
        <v>0</v>
      </c>
      <c r="W124" s="2"/>
      <c r="X124" s="2">
        <f t="shared" si="14"/>
        <v>45762.009999999995</v>
      </c>
      <c r="Y124" s="2"/>
      <c r="Z124" s="19">
        <f t="shared" si="15"/>
        <v>0</v>
      </c>
    </row>
    <row r="125" spans="1:26" s="24" customFormat="1" hidden="1" outlineLevel="1" x14ac:dyDescent="0.25">
      <c r="A125" s="44"/>
      <c r="B125" s="11" t="str">
        <f>CONCATENATE("          ", "5027", " - ", "PURCHASES @ COST-SCHOOL SUPPLI")</f>
        <v xml:space="preserve">          5027 - PURCHASES @ COST-SCHOOL SUPPLI</v>
      </c>
      <c r="C125" s="11"/>
      <c r="D125" s="2">
        <v>-2462.8200000000002</v>
      </c>
      <c r="E125" s="2"/>
      <c r="F125" s="19">
        <f t="shared" si="8"/>
        <v>-2.2980327588497146E-3</v>
      </c>
      <c r="G125" s="2"/>
      <c r="H125" s="2"/>
      <c r="I125" s="2"/>
      <c r="J125" s="19">
        <f t="shared" si="9"/>
        <v>0</v>
      </c>
      <c r="K125" s="2"/>
      <c r="L125" s="2">
        <f t="shared" si="10"/>
        <v>-2462.8200000000002</v>
      </c>
      <c r="M125" s="2"/>
      <c r="N125" s="19">
        <f t="shared" si="11"/>
        <v>0</v>
      </c>
      <c r="O125" s="11"/>
      <c r="P125" s="2">
        <v>118351.2</v>
      </c>
      <c r="Q125" s="2"/>
      <c r="R125" s="19">
        <f t="shared" si="12"/>
        <v>1.1198691306667851E-2</v>
      </c>
      <c r="S125" s="2"/>
      <c r="T125" s="2"/>
      <c r="U125" s="2"/>
      <c r="V125" s="19">
        <f t="shared" si="13"/>
        <v>0</v>
      </c>
      <c r="W125" s="2"/>
      <c r="X125" s="2">
        <f t="shared" si="14"/>
        <v>118351.2</v>
      </c>
      <c r="Y125" s="2"/>
      <c r="Z125" s="19">
        <f t="shared" si="15"/>
        <v>0</v>
      </c>
    </row>
    <row r="126" spans="1:26" s="24" customFormat="1" hidden="1" outlineLevel="1" x14ac:dyDescent="0.25">
      <c r="A126" s="44"/>
      <c r="B126" s="11" t="str">
        <f>CONCATENATE("          ", "5028", " - ", "PURCHASES @ COST-ART/TECH")</f>
        <v xml:space="preserve">          5028 - PURCHASES @ COST-ART/TECH</v>
      </c>
      <c r="C126" s="11"/>
      <c r="D126" s="2">
        <v>11525.28</v>
      </c>
      <c r="E126" s="2"/>
      <c r="F126" s="19">
        <f t="shared" si="8"/>
        <v>1.0754123726019539E-2</v>
      </c>
      <c r="G126" s="2"/>
      <c r="H126" s="2"/>
      <c r="I126" s="2"/>
      <c r="J126" s="19">
        <f t="shared" si="9"/>
        <v>0</v>
      </c>
      <c r="K126" s="2"/>
      <c r="L126" s="2">
        <f t="shared" si="10"/>
        <v>11525.28</v>
      </c>
      <c r="M126" s="2"/>
      <c r="N126" s="19">
        <f t="shared" si="11"/>
        <v>0</v>
      </c>
      <c r="O126" s="11"/>
      <c r="P126" s="2">
        <v>146652.78</v>
      </c>
      <c r="Q126" s="2"/>
      <c r="R126" s="19">
        <f t="shared" si="12"/>
        <v>1.3876658728299103E-2</v>
      </c>
      <c r="S126" s="2"/>
      <c r="T126" s="2"/>
      <c r="U126" s="2"/>
      <c r="V126" s="19">
        <f t="shared" si="13"/>
        <v>0</v>
      </c>
      <c r="W126" s="2"/>
      <c r="X126" s="2">
        <f t="shared" si="14"/>
        <v>146652.78</v>
      </c>
      <c r="Y126" s="2"/>
      <c r="Z126" s="19">
        <f t="shared" si="15"/>
        <v>0</v>
      </c>
    </row>
    <row r="127" spans="1:26" s="24" customFormat="1" hidden="1" outlineLevel="1" x14ac:dyDescent="0.25">
      <c r="A127" s="44"/>
      <c r="B127" s="11" t="str">
        <f>CONCATENATE("          ", "5031", " - ", "PURCHASES @ COST-FOOD")</f>
        <v xml:space="preserve">          5031 - PURCHASES @ COST-FOOD</v>
      </c>
      <c r="C127" s="11"/>
      <c r="D127" s="2">
        <v>5225.67</v>
      </c>
      <c r="E127" s="2"/>
      <c r="F127" s="19">
        <f t="shared" si="8"/>
        <v>4.8760205158875549E-3</v>
      </c>
      <c r="G127" s="2"/>
      <c r="H127" s="2"/>
      <c r="I127" s="2"/>
      <c r="J127" s="19">
        <f t="shared" si="9"/>
        <v>0</v>
      </c>
      <c r="K127" s="2"/>
      <c r="L127" s="2">
        <f t="shared" si="10"/>
        <v>5225.67</v>
      </c>
      <c r="M127" s="2"/>
      <c r="N127" s="19">
        <f t="shared" si="11"/>
        <v>0</v>
      </c>
      <c r="O127" s="11"/>
      <c r="P127" s="2">
        <v>30126.060000000005</v>
      </c>
      <c r="Q127" s="2"/>
      <c r="R127" s="19">
        <f t="shared" si="12"/>
        <v>2.8506043557323807E-3</v>
      </c>
      <c r="S127" s="2"/>
      <c r="T127" s="2"/>
      <c r="U127" s="2"/>
      <c r="V127" s="19">
        <f t="shared" si="13"/>
        <v>0</v>
      </c>
      <c r="W127" s="2"/>
      <c r="X127" s="2">
        <f t="shared" si="14"/>
        <v>30126.060000000005</v>
      </c>
      <c r="Y127" s="2"/>
      <c r="Z127" s="19">
        <f t="shared" si="15"/>
        <v>0</v>
      </c>
    </row>
    <row r="128" spans="1:26" s="24" customFormat="1" hidden="1" outlineLevel="1" x14ac:dyDescent="0.25">
      <c r="A128" s="44"/>
      <c r="B128" s="11" t="str">
        <f>CONCATENATE("          ", "5032", " - ", "PURCHASES @ COST-JUICE")</f>
        <v xml:space="preserve">          5032 - PURCHASES @ COST-JUICE</v>
      </c>
      <c r="C128" s="11"/>
      <c r="D128" s="2">
        <v>1720.97</v>
      </c>
      <c r="E128" s="2"/>
      <c r="F128" s="19">
        <f t="shared" si="8"/>
        <v>1.6058199287798513E-3</v>
      </c>
      <c r="G128" s="2"/>
      <c r="H128" s="2"/>
      <c r="I128" s="2"/>
      <c r="J128" s="19">
        <f t="shared" si="9"/>
        <v>0</v>
      </c>
      <c r="K128" s="2"/>
      <c r="L128" s="2">
        <f t="shared" si="10"/>
        <v>1720.97</v>
      </c>
      <c r="M128" s="2"/>
      <c r="N128" s="19">
        <f t="shared" si="11"/>
        <v>0</v>
      </c>
      <c r="O128" s="11"/>
      <c r="P128" s="2">
        <v>7113.48</v>
      </c>
      <c r="Q128" s="2"/>
      <c r="R128" s="19">
        <f t="shared" si="12"/>
        <v>6.7309555489218208E-4</v>
      </c>
      <c r="S128" s="2"/>
      <c r="T128" s="2"/>
      <c r="U128" s="2"/>
      <c r="V128" s="19">
        <f t="shared" si="13"/>
        <v>0</v>
      </c>
      <c r="W128" s="2"/>
      <c r="X128" s="2">
        <f t="shared" si="14"/>
        <v>7113.48</v>
      </c>
      <c r="Y128" s="2"/>
      <c r="Z128" s="19">
        <f t="shared" si="15"/>
        <v>0</v>
      </c>
    </row>
    <row r="129" spans="1:26" s="24" customFormat="1" hidden="1" outlineLevel="1" x14ac:dyDescent="0.25">
      <c r="A129" s="44"/>
      <c r="B129" s="11" t="str">
        <f>CONCATENATE("          ", "5033", " - ", "PURCHASES @ COST-CANDY")</f>
        <v xml:space="preserve">          5033 - PURCHASES @ COST-CANDY</v>
      </c>
      <c r="C129" s="11"/>
      <c r="D129" s="2">
        <v>1821.44</v>
      </c>
      <c r="E129" s="2"/>
      <c r="F129" s="19">
        <f t="shared" si="8"/>
        <v>1.6995674829176409E-3</v>
      </c>
      <c r="G129" s="2"/>
      <c r="H129" s="2"/>
      <c r="I129" s="2"/>
      <c r="J129" s="19">
        <f t="shared" si="9"/>
        <v>0</v>
      </c>
      <c r="K129" s="2"/>
      <c r="L129" s="2">
        <f t="shared" si="10"/>
        <v>1821.44</v>
      </c>
      <c r="M129" s="2"/>
      <c r="N129" s="19">
        <f t="shared" si="11"/>
        <v>0</v>
      </c>
      <c r="O129" s="11"/>
      <c r="P129" s="2">
        <v>8825.06</v>
      </c>
      <c r="Q129" s="2"/>
      <c r="R129" s="19">
        <f t="shared" si="12"/>
        <v>8.3504960408362723E-4</v>
      </c>
      <c r="S129" s="2"/>
      <c r="T129" s="2"/>
      <c r="U129" s="2"/>
      <c r="V129" s="19">
        <f t="shared" si="13"/>
        <v>0</v>
      </c>
      <c r="W129" s="2"/>
      <c r="X129" s="2">
        <f t="shared" si="14"/>
        <v>8825.06</v>
      </c>
      <c r="Y129" s="2"/>
      <c r="Z129" s="19">
        <f t="shared" si="15"/>
        <v>0</v>
      </c>
    </row>
    <row r="130" spans="1:26" s="24" customFormat="1" hidden="1" outlineLevel="1" x14ac:dyDescent="0.25">
      <c r="A130" s="44"/>
      <c r="B130" s="11" t="str">
        <f>CONCATENATE("          ", "5034", " - ", "PURCHASES @ COST-SODA")</f>
        <v xml:space="preserve">          5034 - PURCHASES @ COST-SODA</v>
      </c>
      <c r="C130" s="11"/>
      <c r="D130" s="2">
        <v>1637.93</v>
      </c>
      <c r="E130" s="2"/>
      <c r="F130" s="19">
        <f t="shared" si="8"/>
        <v>1.52833613366089E-3</v>
      </c>
      <c r="G130" s="2"/>
      <c r="H130" s="2"/>
      <c r="I130" s="2"/>
      <c r="J130" s="19">
        <f t="shared" si="9"/>
        <v>0</v>
      </c>
      <c r="K130" s="2"/>
      <c r="L130" s="2">
        <f t="shared" si="10"/>
        <v>1637.93</v>
      </c>
      <c r="M130" s="2"/>
      <c r="N130" s="19">
        <f t="shared" si="11"/>
        <v>0</v>
      </c>
      <c r="O130" s="11"/>
      <c r="P130" s="2">
        <v>3762.09</v>
      </c>
      <c r="Q130" s="2"/>
      <c r="R130" s="19">
        <f t="shared" si="12"/>
        <v>3.559785162964301E-4</v>
      </c>
      <c r="S130" s="2"/>
      <c r="T130" s="2"/>
      <c r="U130" s="2"/>
      <c r="V130" s="19">
        <f t="shared" si="13"/>
        <v>0</v>
      </c>
      <c r="W130" s="2"/>
      <c r="X130" s="2">
        <f t="shared" si="14"/>
        <v>3762.09</v>
      </c>
      <c r="Y130" s="2"/>
      <c r="Z130" s="19">
        <f t="shared" si="15"/>
        <v>0</v>
      </c>
    </row>
    <row r="131" spans="1:26" s="24" customFormat="1" hidden="1" outlineLevel="1" x14ac:dyDescent="0.25">
      <c r="A131" s="44"/>
      <c r="B131" s="11" t="str">
        <f>CONCATENATE("          ", "5035", " - ", "PURCHASES @ COST-HEALTH &amp; BEAU")</f>
        <v xml:space="preserve">          5035 - PURCHASES @ COST-HEALTH &amp; BEAU</v>
      </c>
      <c r="C131" s="11"/>
      <c r="D131" s="2">
        <v>198.47</v>
      </c>
      <c r="E131" s="2"/>
      <c r="F131" s="19">
        <f t="shared" si="8"/>
        <v>1.8519037593039801E-4</v>
      </c>
      <c r="G131" s="2"/>
      <c r="H131" s="2"/>
      <c r="I131" s="2"/>
      <c r="J131" s="19">
        <f t="shared" si="9"/>
        <v>0</v>
      </c>
      <c r="K131" s="2"/>
      <c r="L131" s="2">
        <f t="shared" si="10"/>
        <v>198.47</v>
      </c>
      <c r="M131" s="2"/>
      <c r="N131" s="19">
        <f t="shared" si="11"/>
        <v>0</v>
      </c>
      <c r="O131" s="11"/>
      <c r="P131" s="2">
        <v>1055.67</v>
      </c>
      <c r="Q131" s="2"/>
      <c r="R131" s="19">
        <f t="shared" si="12"/>
        <v>9.9890178145300182E-5</v>
      </c>
      <c r="S131" s="2"/>
      <c r="T131" s="2"/>
      <c r="U131" s="2"/>
      <c r="V131" s="19">
        <f t="shared" si="13"/>
        <v>0</v>
      </c>
      <c r="W131" s="2"/>
      <c r="X131" s="2">
        <f t="shared" si="14"/>
        <v>1055.67</v>
      </c>
      <c r="Y131" s="2"/>
      <c r="Z131" s="19">
        <f t="shared" si="15"/>
        <v>0</v>
      </c>
    </row>
    <row r="132" spans="1:26" s="24" customFormat="1" hidden="1" outlineLevel="1" x14ac:dyDescent="0.25">
      <c r="A132" s="44"/>
      <c r="B132" s="11" t="str">
        <f>CONCATENATE("          ", "5037", " - ", "PURCHASES @ COST-WATER")</f>
        <v xml:space="preserve">          5037 - PURCHASES @ COST-WATER</v>
      </c>
      <c r="C132" s="11"/>
      <c r="D132" s="2">
        <v>1540.46</v>
      </c>
      <c r="E132" s="2"/>
      <c r="F132" s="19">
        <f t="shared" si="8"/>
        <v>1.4373878495779762E-3</v>
      </c>
      <c r="G132" s="2"/>
      <c r="H132" s="2"/>
      <c r="I132" s="2"/>
      <c r="J132" s="19">
        <f t="shared" si="9"/>
        <v>0</v>
      </c>
      <c r="K132" s="2"/>
      <c r="L132" s="2">
        <f t="shared" si="10"/>
        <v>1540.46</v>
      </c>
      <c r="M132" s="2"/>
      <c r="N132" s="19">
        <f t="shared" si="11"/>
        <v>0</v>
      </c>
      <c r="O132" s="11"/>
      <c r="P132" s="2">
        <v>5299.73</v>
      </c>
      <c r="Q132" s="2"/>
      <c r="R132" s="19">
        <f t="shared" si="12"/>
        <v>5.0147392065891011E-4</v>
      </c>
      <c r="S132" s="2"/>
      <c r="T132" s="2"/>
      <c r="U132" s="2"/>
      <c r="V132" s="19">
        <f t="shared" si="13"/>
        <v>0</v>
      </c>
      <c r="W132" s="2"/>
      <c r="X132" s="2">
        <f t="shared" si="14"/>
        <v>5299.73</v>
      </c>
      <c r="Y132" s="2"/>
      <c r="Z132" s="19">
        <f t="shared" si="15"/>
        <v>0</v>
      </c>
    </row>
    <row r="133" spans="1:26" s="24" customFormat="1" hidden="1" outlineLevel="1" x14ac:dyDescent="0.25">
      <c r="A133" s="44"/>
      <c r="B133" s="11" t="str">
        <f>CONCATENATE("          ", "5040", " - ", "PURCHASES @ COST-LOGO CLOTHING")</f>
        <v xml:space="preserve">          5040 - PURCHASES @ COST-LOGO CLOTHING</v>
      </c>
      <c r="C133" s="11"/>
      <c r="D133" s="2">
        <v>90806.55</v>
      </c>
      <c r="E133" s="2"/>
      <c r="F133" s="19">
        <f t="shared" si="8"/>
        <v>8.4730685400526445E-2</v>
      </c>
      <c r="G133" s="2"/>
      <c r="H133" s="2"/>
      <c r="I133" s="2"/>
      <c r="J133" s="19">
        <f t="shared" si="9"/>
        <v>0</v>
      </c>
      <c r="K133" s="2"/>
      <c r="L133" s="2">
        <f t="shared" si="10"/>
        <v>90806.55</v>
      </c>
      <c r="M133" s="2"/>
      <c r="N133" s="19">
        <f t="shared" si="11"/>
        <v>0</v>
      </c>
      <c r="O133" s="11"/>
      <c r="P133" s="2">
        <v>901545.55999999994</v>
      </c>
      <c r="Q133" s="2"/>
      <c r="R133" s="19">
        <f t="shared" si="12"/>
        <v>8.530653196027585E-2</v>
      </c>
      <c r="S133" s="2"/>
      <c r="T133" s="2"/>
      <c r="U133" s="2"/>
      <c r="V133" s="19">
        <f t="shared" si="13"/>
        <v>0</v>
      </c>
      <c r="W133" s="2"/>
      <c r="X133" s="2">
        <f t="shared" si="14"/>
        <v>901545.55999999994</v>
      </c>
      <c r="Y133" s="2"/>
      <c r="Z133" s="19">
        <f t="shared" si="15"/>
        <v>0</v>
      </c>
    </row>
    <row r="134" spans="1:26" s="24" customFormat="1" hidden="1" outlineLevel="1" x14ac:dyDescent="0.25">
      <c r="A134" s="44"/>
      <c r="B134" s="11" t="str">
        <f>CONCATENATE("          ", "5041", " - ", "PURCHASES @ COST-LOGO GIFTS")</f>
        <v xml:space="preserve">          5041 - PURCHASES @ COST-LOGO GIFTS</v>
      </c>
      <c r="C134" s="11"/>
      <c r="D134" s="2">
        <v>10366.19</v>
      </c>
      <c r="E134" s="2"/>
      <c r="F134" s="19">
        <f t="shared" si="8"/>
        <v>9.6725884167175522E-3</v>
      </c>
      <c r="G134" s="2"/>
      <c r="H134" s="2"/>
      <c r="I134" s="2"/>
      <c r="J134" s="19">
        <f t="shared" si="9"/>
        <v>0</v>
      </c>
      <c r="K134" s="2"/>
      <c r="L134" s="2">
        <f t="shared" si="10"/>
        <v>10366.19</v>
      </c>
      <c r="M134" s="2"/>
      <c r="N134" s="19">
        <f t="shared" si="11"/>
        <v>0</v>
      </c>
      <c r="O134" s="11"/>
      <c r="P134" s="2">
        <v>134382.06</v>
      </c>
      <c r="Q134" s="2"/>
      <c r="R134" s="19">
        <f t="shared" si="12"/>
        <v>1.2715572018653951E-2</v>
      </c>
      <c r="S134" s="2"/>
      <c r="T134" s="2"/>
      <c r="U134" s="2"/>
      <c r="V134" s="19">
        <f t="shared" si="13"/>
        <v>0</v>
      </c>
      <c r="W134" s="2"/>
      <c r="X134" s="2">
        <f t="shared" si="14"/>
        <v>134382.06</v>
      </c>
      <c r="Y134" s="2"/>
      <c r="Z134" s="19">
        <f t="shared" si="15"/>
        <v>0</v>
      </c>
    </row>
    <row r="135" spans="1:26" s="24" customFormat="1" hidden="1" outlineLevel="1" x14ac:dyDescent="0.25">
      <c r="A135" s="44"/>
      <c r="B135" s="11" t="str">
        <f>CONCATENATE("          ", "5042", " - ", "PURCHASES @ COST-EVERYDAY GIFT")</f>
        <v xml:space="preserve">          5042 - PURCHASES @ COST-EVERYDAY GIFT</v>
      </c>
      <c r="C135" s="11"/>
      <c r="D135" s="2">
        <v>8647</v>
      </c>
      <c r="E135" s="2"/>
      <c r="F135" s="19">
        <f t="shared" si="8"/>
        <v>8.06842938817026E-3</v>
      </c>
      <c r="G135" s="2"/>
      <c r="H135" s="2"/>
      <c r="I135" s="2"/>
      <c r="J135" s="19">
        <f t="shared" si="9"/>
        <v>0</v>
      </c>
      <c r="K135" s="2"/>
      <c r="L135" s="2">
        <f t="shared" si="10"/>
        <v>8647</v>
      </c>
      <c r="M135" s="2"/>
      <c r="N135" s="19">
        <f t="shared" si="11"/>
        <v>0</v>
      </c>
      <c r="O135" s="11"/>
      <c r="P135" s="2">
        <v>100007.97</v>
      </c>
      <c r="Q135" s="2"/>
      <c r="R135" s="19">
        <f t="shared" si="12"/>
        <v>9.4630082689191094E-3</v>
      </c>
      <c r="S135" s="2"/>
      <c r="T135" s="2"/>
      <c r="U135" s="2"/>
      <c r="V135" s="19">
        <f t="shared" si="13"/>
        <v>0</v>
      </c>
      <c r="W135" s="2"/>
      <c r="X135" s="2">
        <f t="shared" si="14"/>
        <v>100007.97</v>
      </c>
      <c r="Y135" s="2"/>
      <c r="Z135" s="19">
        <f t="shared" si="15"/>
        <v>0</v>
      </c>
    </row>
    <row r="136" spans="1:26" s="24" customFormat="1" hidden="1" outlineLevel="1" x14ac:dyDescent="0.25">
      <c r="A136" s="44"/>
      <c r="B136" s="11" t="str">
        <f>CONCATENATE("          ", "5043", " - ", "PURCHASES @ COST-CARDS")</f>
        <v xml:space="preserve">          5043 - PURCHASES @ COST-CARDS</v>
      </c>
      <c r="C136" s="11"/>
      <c r="D136" s="2">
        <v>18340.75</v>
      </c>
      <c r="E136" s="2"/>
      <c r="F136" s="19">
        <f t="shared" si="8"/>
        <v>1.7113570752987594E-2</v>
      </c>
      <c r="G136" s="2"/>
      <c r="H136" s="2"/>
      <c r="I136" s="2"/>
      <c r="J136" s="19">
        <f t="shared" si="9"/>
        <v>0</v>
      </c>
      <c r="K136" s="2"/>
      <c r="L136" s="2">
        <f t="shared" si="10"/>
        <v>18340.75</v>
      </c>
      <c r="M136" s="2"/>
      <c r="N136" s="19">
        <f t="shared" si="11"/>
        <v>0</v>
      </c>
      <c r="O136" s="11"/>
      <c r="P136" s="2">
        <v>29035.16</v>
      </c>
      <c r="Q136" s="2"/>
      <c r="R136" s="19">
        <f t="shared" si="12"/>
        <v>2.7473806254580445E-3</v>
      </c>
      <c r="S136" s="2"/>
      <c r="T136" s="2"/>
      <c r="U136" s="2"/>
      <c r="V136" s="19">
        <f t="shared" si="13"/>
        <v>0</v>
      </c>
      <c r="W136" s="2"/>
      <c r="X136" s="2">
        <f t="shared" si="14"/>
        <v>29035.16</v>
      </c>
      <c r="Y136" s="2"/>
      <c r="Z136" s="19">
        <f t="shared" si="15"/>
        <v>0</v>
      </c>
    </row>
    <row r="137" spans="1:26" s="24" customFormat="1" hidden="1" outlineLevel="1" x14ac:dyDescent="0.25">
      <c r="A137" s="44"/>
      <c r="B137" s="11" t="str">
        <f>CONCATENATE("          ", "5044", " - ", "PURCHASES @ COST-ACCESSORIES")</f>
        <v xml:space="preserve">          5044 - PURCHASES @ COST-ACCESSORIES</v>
      </c>
      <c r="C137" s="11"/>
      <c r="D137" s="2">
        <v>12532.23</v>
      </c>
      <c r="E137" s="2"/>
      <c r="F137" s="19">
        <f t="shared" si="8"/>
        <v>1.169369871993859E-2</v>
      </c>
      <c r="G137" s="2"/>
      <c r="H137" s="2"/>
      <c r="I137" s="2"/>
      <c r="J137" s="19">
        <f t="shared" si="9"/>
        <v>0</v>
      </c>
      <c r="K137" s="2"/>
      <c r="L137" s="2">
        <f t="shared" si="10"/>
        <v>12532.23</v>
      </c>
      <c r="M137" s="2"/>
      <c r="N137" s="19">
        <f t="shared" si="11"/>
        <v>0</v>
      </c>
      <c r="O137" s="11"/>
      <c r="P137" s="2">
        <v>33399.440000000002</v>
      </c>
      <c r="Q137" s="2"/>
      <c r="R137" s="19">
        <f t="shared" si="12"/>
        <v>3.1603398898834528E-3</v>
      </c>
      <c r="S137" s="2"/>
      <c r="T137" s="2"/>
      <c r="U137" s="2"/>
      <c r="V137" s="19">
        <f t="shared" si="13"/>
        <v>0</v>
      </c>
      <c r="W137" s="2"/>
      <c r="X137" s="2">
        <f t="shared" si="14"/>
        <v>33399.440000000002</v>
      </c>
      <c r="Y137" s="2"/>
      <c r="Z137" s="19">
        <f t="shared" si="15"/>
        <v>0</v>
      </c>
    </row>
    <row r="138" spans="1:26" s="24" customFormat="1" hidden="1" outlineLevel="1" x14ac:dyDescent="0.25">
      <c r="A138" s="44"/>
      <c r="B138" s="11" t="str">
        <f>CONCATENATE("          ", "5045", " - ", "PURCHASES @ COST-SPECIAL ORDER")</f>
        <v xml:space="preserve">          5045 - PURCHASES @ COST-SPECIAL ORDER</v>
      </c>
      <c r="C138" s="11"/>
      <c r="D138" s="2">
        <v>2948.55</v>
      </c>
      <c r="E138" s="2"/>
      <c r="F138" s="19">
        <f t="shared" si="8"/>
        <v>2.7512625734346504E-3</v>
      </c>
      <c r="G138" s="2"/>
      <c r="H138" s="2"/>
      <c r="I138" s="2"/>
      <c r="J138" s="19">
        <f t="shared" si="9"/>
        <v>0</v>
      </c>
      <c r="K138" s="2"/>
      <c r="L138" s="2">
        <f t="shared" si="10"/>
        <v>2948.55</v>
      </c>
      <c r="M138" s="2"/>
      <c r="N138" s="19">
        <f t="shared" si="11"/>
        <v>0</v>
      </c>
      <c r="O138" s="11"/>
      <c r="P138" s="2">
        <v>50964.780000000006</v>
      </c>
      <c r="Q138" s="2"/>
      <c r="R138" s="19">
        <f t="shared" si="12"/>
        <v>4.8224169990016127E-3</v>
      </c>
      <c r="S138" s="2"/>
      <c r="T138" s="2"/>
      <c r="U138" s="2"/>
      <c r="V138" s="19">
        <f t="shared" si="13"/>
        <v>0</v>
      </c>
      <c r="W138" s="2"/>
      <c r="X138" s="2">
        <f t="shared" si="14"/>
        <v>50964.780000000006</v>
      </c>
      <c r="Y138" s="2"/>
      <c r="Z138" s="19">
        <f t="shared" si="15"/>
        <v>0</v>
      </c>
    </row>
    <row r="139" spans="1:26" s="24" customFormat="1" hidden="1" outlineLevel="1" x14ac:dyDescent="0.25">
      <c r="A139" s="44"/>
      <c r="B139" s="11" t="str">
        <f>CONCATENATE("          ", "5053", " - ", "PURCHASES @ COST-FOOD")</f>
        <v xml:space="preserve">          5053 - PURCHASES @ COST-FOOD</v>
      </c>
      <c r="C139" s="11"/>
      <c r="D139" s="2">
        <v>185803.39</v>
      </c>
      <c r="E139" s="2"/>
      <c r="F139" s="19">
        <f t="shared" si="8"/>
        <v>0.17337128857380138</v>
      </c>
      <c r="G139" s="2"/>
      <c r="H139" s="2"/>
      <c r="I139" s="2"/>
      <c r="J139" s="19">
        <f t="shared" si="9"/>
        <v>0</v>
      </c>
      <c r="K139" s="2"/>
      <c r="L139" s="2">
        <f t="shared" si="10"/>
        <v>185803.39</v>
      </c>
      <c r="M139" s="2"/>
      <c r="N139" s="19">
        <f t="shared" si="11"/>
        <v>0</v>
      </c>
      <c r="O139" s="11"/>
      <c r="P139" s="2">
        <v>1085529.97</v>
      </c>
      <c r="Q139" s="2"/>
      <c r="R139" s="19">
        <f t="shared" si="12"/>
        <v>0.10271560438902531</v>
      </c>
      <c r="S139" s="2"/>
      <c r="T139" s="2"/>
      <c r="U139" s="2"/>
      <c r="V139" s="19">
        <f t="shared" si="13"/>
        <v>0</v>
      </c>
      <c r="W139" s="2"/>
      <c r="X139" s="2">
        <f t="shared" si="14"/>
        <v>1085529.97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"5059", " - ", "PURCHASES @ COST-FOOD")</f>
        <v xml:space="preserve">          5059 - PURCHASES @ COST-FOOD</v>
      </c>
      <c r="C140" s="11"/>
      <c r="D140" s="2">
        <v>4047.59</v>
      </c>
      <c r="E140" s="2"/>
      <c r="F140" s="19">
        <f t="shared" si="8"/>
        <v>3.7767658271382061E-3</v>
      </c>
      <c r="G140" s="2"/>
      <c r="H140" s="2"/>
      <c r="I140" s="2"/>
      <c r="J140" s="19">
        <f t="shared" si="9"/>
        <v>0</v>
      </c>
      <c r="K140" s="2"/>
      <c r="L140" s="2">
        <f t="shared" si="10"/>
        <v>4047.59</v>
      </c>
      <c r="M140" s="2"/>
      <c r="N140" s="19">
        <f t="shared" si="11"/>
        <v>0</v>
      </c>
      <c r="O140" s="11"/>
      <c r="P140" s="2">
        <v>-33457.93</v>
      </c>
      <c r="Q140" s="2"/>
      <c r="R140" s="19">
        <f t="shared" si="12"/>
        <v>-3.1658743623224901E-3</v>
      </c>
      <c r="S140" s="2"/>
      <c r="T140" s="2"/>
      <c r="U140" s="2"/>
      <c r="V140" s="19">
        <f t="shared" si="13"/>
        <v>0</v>
      </c>
      <c r="W140" s="2"/>
      <c r="X140" s="2">
        <f t="shared" si="14"/>
        <v>-33457.93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"5081", " - ", "PURCHASES @ COST-ELECTRONICS")</f>
        <v xml:space="preserve">          5081 - PURCHASES @ COST-ELECTRONICS</v>
      </c>
      <c r="C141" s="11"/>
      <c r="D141" s="2"/>
      <c r="E141" s="2"/>
      <c r="F141" s="19">
        <f t="shared" si="8"/>
        <v>0</v>
      </c>
      <c r="G141" s="2"/>
      <c r="H141" s="2"/>
      <c r="I141" s="2"/>
      <c r="J141" s="19">
        <f t="shared" si="9"/>
        <v>0</v>
      </c>
      <c r="K141" s="2"/>
      <c r="L141" s="2">
        <f t="shared" si="10"/>
        <v>0</v>
      </c>
      <c r="M141" s="2"/>
      <c r="N141" s="19">
        <f t="shared" si="11"/>
        <v>0</v>
      </c>
      <c r="O141" s="11"/>
      <c r="P141" s="2">
        <v>1891.21</v>
      </c>
      <c r="Q141" s="2"/>
      <c r="R141" s="19">
        <f t="shared" si="12"/>
        <v>1.7895109628025154E-4</v>
      </c>
      <c r="S141" s="2"/>
      <c r="T141" s="2"/>
      <c r="U141" s="2"/>
      <c r="V141" s="19">
        <f t="shared" si="13"/>
        <v>0</v>
      </c>
      <c r="W141" s="2"/>
      <c r="X141" s="2">
        <f t="shared" si="14"/>
        <v>1891.21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"5082", " - ", "PURCHASES @ COST-COMPUTER HARD")</f>
        <v xml:space="preserve">          5082 - PURCHASES @ COST-COMPUTER HARD</v>
      </c>
      <c r="C142" s="11"/>
      <c r="D142" s="2"/>
      <c r="E142" s="2"/>
      <c r="F142" s="19">
        <f t="shared" si="8"/>
        <v>0</v>
      </c>
      <c r="G142" s="2"/>
      <c r="H142" s="2"/>
      <c r="I142" s="2"/>
      <c r="J142" s="19">
        <f t="shared" si="9"/>
        <v>0</v>
      </c>
      <c r="K142" s="2"/>
      <c r="L142" s="2">
        <f t="shared" si="10"/>
        <v>0</v>
      </c>
      <c r="M142" s="2"/>
      <c r="N142" s="19">
        <f t="shared" si="11"/>
        <v>0</v>
      </c>
      <c r="O142" s="11"/>
      <c r="P142" s="2">
        <v>349.6</v>
      </c>
      <c r="Q142" s="2"/>
      <c r="R142" s="19">
        <f t="shared" si="12"/>
        <v>3.3080040428919024E-5</v>
      </c>
      <c r="S142" s="2"/>
      <c r="T142" s="2"/>
      <c r="U142" s="2"/>
      <c r="V142" s="19">
        <f t="shared" si="13"/>
        <v>0</v>
      </c>
      <c r="W142" s="2"/>
      <c r="X142" s="2">
        <f t="shared" si="14"/>
        <v>349.6</v>
      </c>
      <c r="Y142" s="2"/>
      <c r="Z142" s="19">
        <f t="shared" si="15"/>
        <v>0</v>
      </c>
    </row>
    <row r="143" spans="1:26" s="24" customFormat="1" hidden="1" outlineLevel="1" x14ac:dyDescent="0.25">
      <c r="A143" s="44"/>
      <c r="B143" s="11" t="str">
        <f>CONCATENATE("          ", "5083", " - ", "PURCHASES @ COST-COMPUTER EQUI")</f>
        <v xml:space="preserve">          5083 - PURCHASES @ COST-COMPUTER EQUI</v>
      </c>
      <c r="C143" s="11"/>
      <c r="D143" s="2">
        <v>-67.650000000000006</v>
      </c>
      <c r="E143" s="2"/>
      <c r="F143" s="19">
        <f t="shared" si="8"/>
        <v>-6.3123539737448622E-5</v>
      </c>
      <c r="G143" s="2"/>
      <c r="H143" s="2"/>
      <c r="I143" s="2"/>
      <c r="J143" s="19">
        <f t="shared" si="9"/>
        <v>0</v>
      </c>
      <c r="K143" s="2"/>
      <c r="L143" s="2">
        <f t="shared" si="10"/>
        <v>-67.650000000000006</v>
      </c>
      <c r="M143" s="2"/>
      <c r="N143" s="19">
        <f t="shared" si="11"/>
        <v>0</v>
      </c>
      <c r="O143" s="11"/>
      <c r="P143" s="2">
        <v>395.06</v>
      </c>
      <c r="Q143" s="2"/>
      <c r="R143" s="19">
        <f t="shared" si="12"/>
        <v>3.7381581155173762E-5</v>
      </c>
      <c r="S143" s="2"/>
      <c r="T143" s="2"/>
      <c r="U143" s="2"/>
      <c r="V143" s="19">
        <f t="shared" si="13"/>
        <v>0</v>
      </c>
      <c r="W143" s="2"/>
      <c r="X143" s="2">
        <f t="shared" si="14"/>
        <v>395.06</v>
      </c>
      <c r="Y143" s="2"/>
      <c r="Z143" s="19">
        <f t="shared" si="15"/>
        <v>0</v>
      </c>
    </row>
    <row r="144" spans="1:26" s="24" customFormat="1" hidden="1" outlineLevel="1" x14ac:dyDescent="0.25">
      <c r="A144" s="44"/>
      <c r="B144" s="11" t="str">
        <f>CONCATENATE("          ", "5086", " - ", "PURCHASES @ COST-COMPUTER SUPP")</f>
        <v xml:space="preserve">          5086 - PURCHASES @ COST-COMPUTER SUPP</v>
      </c>
      <c r="C144" s="11"/>
      <c r="D144" s="2">
        <v>9.98</v>
      </c>
      <c r="E144" s="2"/>
      <c r="F144" s="19">
        <f t="shared" si="8"/>
        <v>9.3122383825533955E-6</v>
      </c>
      <c r="G144" s="2"/>
      <c r="H144" s="2"/>
      <c r="I144" s="2"/>
      <c r="J144" s="19">
        <f t="shared" si="9"/>
        <v>0</v>
      </c>
      <c r="K144" s="2"/>
      <c r="L144" s="2">
        <f t="shared" si="10"/>
        <v>9.98</v>
      </c>
      <c r="M144" s="2"/>
      <c r="N144" s="19">
        <f t="shared" si="11"/>
        <v>0</v>
      </c>
      <c r="O144" s="11"/>
      <c r="P144" s="2">
        <v>426.22</v>
      </c>
      <c r="Q144" s="2"/>
      <c r="R144" s="19">
        <f t="shared" si="12"/>
        <v>4.0330019541229591E-5</v>
      </c>
      <c r="S144" s="2"/>
      <c r="T144" s="2"/>
      <c r="U144" s="2"/>
      <c r="V144" s="19">
        <f t="shared" si="13"/>
        <v>0</v>
      </c>
      <c r="W144" s="2"/>
      <c r="X144" s="2">
        <f t="shared" si="14"/>
        <v>426.22</v>
      </c>
      <c r="Y144" s="2"/>
      <c r="Z144" s="19">
        <f t="shared" si="15"/>
        <v>0</v>
      </c>
    </row>
    <row r="145" spans="1:26" s="24" customFormat="1" hidden="1" outlineLevel="1" x14ac:dyDescent="0.25">
      <c r="A145" s="44"/>
      <c r="B145" s="11" t="str">
        <f>CONCATENATE("          ", "5092", " - ", "PURCHASES @ COST-GRAD MERCH")</f>
        <v xml:space="preserve">          5092 - PURCHASES @ COST-GRAD MERCH</v>
      </c>
      <c r="C145" s="11"/>
      <c r="D145" s="2">
        <v>-137.06</v>
      </c>
      <c r="E145" s="2"/>
      <c r="F145" s="19">
        <f t="shared" si="8"/>
        <v>-1.2788931790709101E-4</v>
      </c>
      <c r="G145" s="2"/>
      <c r="H145" s="2"/>
      <c r="I145" s="2"/>
      <c r="J145" s="19">
        <f t="shared" si="9"/>
        <v>0</v>
      </c>
      <c r="K145" s="2"/>
      <c r="L145" s="2">
        <f t="shared" si="10"/>
        <v>-137.06</v>
      </c>
      <c r="M145" s="2"/>
      <c r="N145" s="19">
        <f t="shared" si="11"/>
        <v>0</v>
      </c>
      <c r="O145" s="11"/>
      <c r="P145" s="2">
        <v>1909.8</v>
      </c>
      <c r="Q145" s="2"/>
      <c r="R145" s="19">
        <f t="shared" si="12"/>
        <v>1.8071012932251013E-4</v>
      </c>
      <c r="S145" s="2"/>
      <c r="T145" s="2"/>
      <c r="U145" s="2"/>
      <c r="V145" s="19">
        <f t="shared" si="13"/>
        <v>0</v>
      </c>
      <c r="W145" s="2"/>
      <c r="X145" s="2">
        <f t="shared" si="14"/>
        <v>1909.8</v>
      </c>
      <c r="Y145" s="2"/>
      <c r="Z145" s="19">
        <f t="shared" si="15"/>
        <v>0</v>
      </c>
    </row>
    <row r="146" spans="1:26" s="24" customFormat="1" hidden="1" outlineLevel="1" x14ac:dyDescent="0.25">
      <c r="A146" s="44"/>
      <c r="B146" s="11" t="str">
        <f>CONCATENATE("          ", "5095", " - ", "PURCHASES @ COST-CUSTOMER SERV")</f>
        <v xml:space="preserve">          5095 - PURCHASES @ COST-CUSTOMER SERV</v>
      </c>
      <c r="C146" s="11"/>
      <c r="D146" s="2"/>
      <c r="E146" s="2"/>
      <c r="F146" s="19">
        <f t="shared" si="8"/>
        <v>0</v>
      </c>
      <c r="G146" s="2"/>
      <c r="H146" s="2"/>
      <c r="I146" s="2"/>
      <c r="J146" s="19">
        <f t="shared" si="9"/>
        <v>0</v>
      </c>
      <c r="K146" s="2"/>
      <c r="L146" s="2">
        <f t="shared" si="10"/>
        <v>0</v>
      </c>
      <c r="M146" s="2"/>
      <c r="N146" s="19">
        <f t="shared" si="11"/>
        <v>0</v>
      </c>
      <c r="O146" s="11"/>
      <c r="P146" s="2">
        <v>0</v>
      </c>
      <c r="Q146" s="2"/>
      <c r="R146" s="19">
        <f t="shared" si="12"/>
        <v>0</v>
      </c>
      <c r="S146" s="2"/>
      <c r="T146" s="2"/>
      <c r="U146" s="2"/>
      <c r="V146" s="19">
        <f t="shared" si="13"/>
        <v>0</v>
      </c>
      <c r="W146" s="2"/>
      <c r="X146" s="2">
        <f t="shared" si="14"/>
        <v>0</v>
      </c>
      <c r="Y146" s="2"/>
      <c r="Z146" s="19">
        <f t="shared" si="15"/>
        <v>0</v>
      </c>
    </row>
    <row r="147" spans="1:26" s="24" customFormat="1" hidden="1" outlineLevel="1" x14ac:dyDescent="0.25">
      <c r="A147" s="44"/>
      <c r="B147" s="11" t="str">
        <f>CONCATENATE("          ", "5200", " - ", "PURCHASES OFFSET")</f>
        <v xml:space="preserve">          5200 - PURCHASES OFFSET</v>
      </c>
      <c r="C147" s="11"/>
      <c r="D147" s="2">
        <v>-148774</v>
      </c>
      <c r="E147" s="2"/>
      <c r="F147" s="19">
        <f t="shared" si="8"/>
        <v>-0.1388195343813626</v>
      </c>
      <c r="G147" s="2"/>
      <c r="H147" s="2"/>
      <c r="I147" s="2"/>
      <c r="J147" s="19">
        <f t="shared" si="9"/>
        <v>0</v>
      </c>
      <c r="K147" s="2"/>
      <c r="L147" s="2">
        <f t="shared" si="10"/>
        <v>-148774</v>
      </c>
      <c r="M147" s="2"/>
      <c r="N147" s="19">
        <f t="shared" si="11"/>
        <v>0</v>
      </c>
      <c r="O147" s="11"/>
      <c r="P147" s="2">
        <v>-4174340</v>
      </c>
      <c r="Q147" s="2"/>
      <c r="R147" s="19">
        <f t="shared" si="12"/>
        <v>-0.3949866589360807</v>
      </c>
      <c r="S147" s="2"/>
      <c r="T147" s="2"/>
      <c r="U147" s="2"/>
      <c r="V147" s="19">
        <f t="shared" si="13"/>
        <v>0</v>
      </c>
      <c r="W147" s="2"/>
      <c r="X147" s="2">
        <f t="shared" si="14"/>
        <v>-4174340</v>
      </c>
      <c r="Y147" s="2"/>
      <c r="Z147" s="19">
        <f t="shared" si="15"/>
        <v>0</v>
      </c>
    </row>
    <row r="148" spans="1:26" s="24" customFormat="1" hidden="1" outlineLevel="1" x14ac:dyDescent="0.25">
      <c r="A148" s="44"/>
      <c r="B148" s="11" t="str">
        <f>CONCATENATE("          ", "5300", " - ", "COG$ OFFSET")</f>
        <v xml:space="preserve">          5300 - COG$ OFFSET</v>
      </c>
      <c r="C148" s="11"/>
      <c r="D148" s="2">
        <v>480847</v>
      </c>
      <c r="E148" s="2"/>
      <c r="F148" s="19">
        <f t="shared" si="8"/>
        <v>0.44867353602561644</v>
      </c>
      <c r="G148" s="2"/>
      <c r="H148" s="2"/>
      <c r="I148" s="2"/>
      <c r="J148" s="19">
        <f t="shared" si="9"/>
        <v>0</v>
      </c>
      <c r="K148" s="2"/>
      <c r="L148" s="2">
        <f t="shared" si="10"/>
        <v>480847</v>
      </c>
      <c r="M148" s="2"/>
      <c r="N148" s="19">
        <f t="shared" si="11"/>
        <v>0</v>
      </c>
      <c r="O148" s="11"/>
      <c r="P148" s="2">
        <v>3726737.47</v>
      </c>
      <c r="Q148" s="2"/>
      <c r="R148" s="19">
        <f t="shared" si="12"/>
        <v>0.35263337006741247</v>
      </c>
      <c r="S148" s="2"/>
      <c r="T148" s="2"/>
      <c r="U148" s="2"/>
      <c r="V148" s="19">
        <f t="shared" si="13"/>
        <v>0</v>
      </c>
      <c r="W148" s="2"/>
      <c r="X148" s="2">
        <f t="shared" si="14"/>
        <v>3726737.47</v>
      </c>
      <c r="Y148" s="2"/>
      <c r="Z148" s="19">
        <f t="shared" si="15"/>
        <v>0</v>
      </c>
    </row>
    <row r="149" spans="1:26" s="24" customFormat="1" hidden="1" outlineLevel="1" x14ac:dyDescent="0.25">
      <c r="A149" s="44"/>
      <c r="B149" s="11" t="str">
        <f>CONCATENATE("          ", "5500", " - ", "FREIGHT-IN")</f>
        <v xml:space="preserve">          5500 - FREIGHT-IN</v>
      </c>
      <c r="C149" s="11"/>
      <c r="D149" s="2">
        <v>33.950000000000003</v>
      </c>
      <c r="E149" s="2"/>
      <c r="F149" s="19">
        <f t="shared" si="8"/>
        <v>3.1678406121010801E-5</v>
      </c>
      <c r="G149" s="2"/>
      <c r="H149" s="2"/>
      <c r="I149" s="2"/>
      <c r="J149" s="19">
        <f t="shared" si="9"/>
        <v>0</v>
      </c>
      <c r="K149" s="2"/>
      <c r="L149" s="2">
        <f t="shared" si="10"/>
        <v>33.950000000000003</v>
      </c>
      <c r="M149" s="2"/>
      <c r="N149" s="19">
        <f t="shared" si="11"/>
        <v>0</v>
      </c>
      <c r="O149" s="11"/>
      <c r="P149" s="2">
        <v>156.47999999999999</v>
      </c>
      <c r="Q149" s="2"/>
      <c r="R149" s="19">
        <f t="shared" si="12"/>
        <v>1.4806535258344531E-5</v>
      </c>
      <c r="S149" s="2"/>
      <c r="T149" s="2"/>
      <c r="U149" s="2"/>
      <c r="V149" s="19">
        <f t="shared" si="13"/>
        <v>0</v>
      </c>
      <c r="W149" s="2"/>
      <c r="X149" s="2">
        <f t="shared" si="14"/>
        <v>156.47999999999999</v>
      </c>
      <c r="Y149" s="2"/>
      <c r="Z149" s="19">
        <f t="shared" si="15"/>
        <v>0</v>
      </c>
    </row>
    <row r="150" spans="1:26" s="24" customFormat="1" hidden="1" outlineLevel="1" x14ac:dyDescent="0.25">
      <c r="A150" s="44"/>
      <c r="B150" s="11" t="str">
        <f>CONCATENATE("          ", "5501", " - ", "FREIGHT-IN-NEW TEXT")</f>
        <v xml:space="preserve">          5501 - FREIGHT-IN-NEW TEXT</v>
      </c>
      <c r="C150" s="11"/>
      <c r="D150" s="2">
        <v>23947.37</v>
      </c>
      <c r="E150" s="2"/>
      <c r="F150" s="19">
        <f t="shared" si="8"/>
        <v>2.2345051911343453E-2</v>
      </c>
      <c r="G150" s="2"/>
      <c r="H150" s="2"/>
      <c r="I150" s="2"/>
      <c r="J150" s="19">
        <f t="shared" si="9"/>
        <v>0</v>
      </c>
      <c r="K150" s="2"/>
      <c r="L150" s="2">
        <f t="shared" si="10"/>
        <v>23947.37</v>
      </c>
      <c r="M150" s="2"/>
      <c r="N150" s="19">
        <f t="shared" si="11"/>
        <v>0</v>
      </c>
      <c r="O150" s="11"/>
      <c r="P150" s="2">
        <v>66024.739999999991</v>
      </c>
      <c r="Q150" s="2"/>
      <c r="R150" s="19">
        <f t="shared" si="12"/>
        <v>6.2474286856660944E-3</v>
      </c>
      <c r="S150" s="2"/>
      <c r="T150" s="2"/>
      <c r="U150" s="2"/>
      <c r="V150" s="19">
        <f t="shared" si="13"/>
        <v>0</v>
      </c>
      <c r="W150" s="2"/>
      <c r="X150" s="2">
        <f t="shared" si="14"/>
        <v>66024.739999999991</v>
      </c>
      <c r="Y150" s="2"/>
      <c r="Z150" s="19">
        <f t="shared" si="15"/>
        <v>0</v>
      </c>
    </row>
    <row r="151" spans="1:26" s="24" customFormat="1" hidden="1" outlineLevel="1" x14ac:dyDescent="0.25">
      <c r="A151" s="44"/>
      <c r="B151" s="11" t="str">
        <f>CONCATENATE("          ", "5502", " - ", "FREIGHT-IN-USED TEXT")</f>
        <v xml:space="preserve">          5502 - FREIGHT-IN-USED TEXT</v>
      </c>
      <c r="C151" s="11"/>
      <c r="D151" s="2">
        <v>2979.86</v>
      </c>
      <c r="E151" s="2"/>
      <c r="F151" s="19">
        <f t="shared" si="8"/>
        <v>2.7804776219073706E-3</v>
      </c>
      <c r="G151" s="2"/>
      <c r="H151" s="2"/>
      <c r="I151" s="2"/>
      <c r="J151" s="19">
        <f t="shared" si="9"/>
        <v>0</v>
      </c>
      <c r="K151" s="2"/>
      <c r="L151" s="2">
        <f t="shared" si="10"/>
        <v>2979.86</v>
      </c>
      <c r="M151" s="2"/>
      <c r="N151" s="19">
        <f t="shared" si="11"/>
        <v>0</v>
      </c>
      <c r="O151" s="11"/>
      <c r="P151" s="2">
        <v>14758.089999999998</v>
      </c>
      <c r="Q151" s="2"/>
      <c r="R151" s="19">
        <f t="shared" si="12"/>
        <v>1.3964479801305075E-3</v>
      </c>
      <c r="S151" s="2"/>
      <c r="T151" s="2"/>
      <c r="U151" s="2"/>
      <c r="V151" s="19">
        <f t="shared" si="13"/>
        <v>0</v>
      </c>
      <c r="W151" s="2"/>
      <c r="X151" s="2">
        <f t="shared" si="14"/>
        <v>14758.089999999998</v>
      </c>
      <c r="Y151" s="2"/>
      <c r="Z151" s="19">
        <f t="shared" si="15"/>
        <v>0</v>
      </c>
    </row>
    <row r="152" spans="1:26" s="24" customFormat="1" hidden="1" outlineLevel="1" x14ac:dyDescent="0.25">
      <c r="A152" s="44"/>
      <c r="B152" s="11" t="str">
        <f>CONCATENATE("          ", "5504", " - ", "FREIGHT-IN-DIGITAL TEXT")</f>
        <v xml:space="preserve">          5504 - FREIGHT-IN-DIGITAL TEXT</v>
      </c>
      <c r="C152" s="11"/>
      <c r="D152" s="2"/>
      <c r="E152" s="2"/>
      <c r="F152" s="19">
        <f t="shared" si="8"/>
        <v>0</v>
      </c>
      <c r="G152" s="2"/>
      <c r="H152" s="2"/>
      <c r="I152" s="2"/>
      <c r="J152" s="19">
        <f t="shared" si="9"/>
        <v>0</v>
      </c>
      <c r="K152" s="2"/>
      <c r="L152" s="2">
        <f t="shared" si="10"/>
        <v>0</v>
      </c>
      <c r="M152" s="2"/>
      <c r="N152" s="19">
        <f t="shared" si="11"/>
        <v>0</v>
      </c>
      <c r="O152" s="11"/>
      <c r="P152" s="2">
        <v>105.97</v>
      </c>
      <c r="Q152" s="2"/>
      <c r="R152" s="19">
        <f t="shared" si="12"/>
        <v>1.0027150698662896E-5</v>
      </c>
      <c r="S152" s="2"/>
      <c r="T152" s="2"/>
      <c r="U152" s="2"/>
      <c r="V152" s="19">
        <f t="shared" si="13"/>
        <v>0</v>
      </c>
      <c r="W152" s="2"/>
      <c r="X152" s="2">
        <f t="shared" si="14"/>
        <v>105.97</v>
      </c>
      <c r="Y152" s="2"/>
      <c r="Z152" s="19">
        <f t="shared" si="15"/>
        <v>0</v>
      </c>
    </row>
    <row r="153" spans="1:26" s="24" customFormat="1" hidden="1" outlineLevel="1" x14ac:dyDescent="0.25">
      <c r="A153" s="44"/>
      <c r="B153" s="11" t="str">
        <f>CONCATENATE("          ", "5513", " - ", "FREIGHT-IN-TRADE BOOKS")</f>
        <v xml:space="preserve">          5513 - FREIGHT-IN-TRADE BOOKS</v>
      </c>
      <c r="C153" s="11"/>
      <c r="D153" s="2"/>
      <c r="E153" s="2"/>
      <c r="F153" s="19">
        <f t="shared" si="8"/>
        <v>0</v>
      </c>
      <c r="G153" s="2"/>
      <c r="H153" s="2"/>
      <c r="I153" s="2"/>
      <c r="J153" s="19">
        <f t="shared" si="9"/>
        <v>0</v>
      </c>
      <c r="K153" s="2"/>
      <c r="L153" s="2">
        <f t="shared" si="10"/>
        <v>0</v>
      </c>
      <c r="M153" s="2"/>
      <c r="N153" s="19">
        <f t="shared" si="11"/>
        <v>0</v>
      </c>
      <c r="O153" s="11"/>
      <c r="P153" s="2">
        <v>21.41</v>
      </c>
      <c r="Q153" s="2"/>
      <c r="R153" s="19">
        <f t="shared" si="12"/>
        <v>2.025868608647472E-6</v>
      </c>
      <c r="S153" s="2"/>
      <c r="T153" s="2"/>
      <c r="U153" s="2"/>
      <c r="V153" s="19">
        <f t="shared" si="13"/>
        <v>0</v>
      </c>
      <c r="W153" s="2"/>
      <c r="X153" s="2">
        <f t="shared" si="14"/>
        <v>21.41</v>
      </c>
      <c r="Y153" s="2"/>
      <c r="Z153" s="19">
        <f t="shared" si="15"/>
        <v>0</v>
      </c>
    </row>
    <row r="154" spans="1:26" s="24" customFormat="1" hidden="1" outlineLevel="1" x14ac:dyDescent="0.25">
      <c r="A154" s="44"/>
      <c r="B154" s="11" t="str">
        <f>CONCATENATE("          ", "5518", " - ", "FREIGHT-IN-STUDY GUIDES")</f>
        <v xml:space="preserve">          5518 - FREIGHT-IN-STUDY GUIDES</v>
      </c>
      <c r="C154" s="11"/>
      <c r="D154" s="2"/>
      <c r="E154" s="2"/>
      <c r="F154" s="19">
        <f t="shared" si="8"/>
        <v>0</v>
      </c>
      <c r="G154" s="2"/>
      <c r="H154" s="2"/>
      <c r="I154" s="2"/>
      <c r="J154" s="19">
        <f t="shared" si="9"/>
        <v>0</v>
      </c>
      <c r="K154" s="2"/>
      <c r="L154" s="2">
        <f t="shared" si="10"/>
        <v>0</v>
      </c>
      <c r="M154" s="2"/>
      <c r="N154" s="19">
        <f t="shared" si="11"/>
        <v>0</v>
      </c>
      <c r="O154" s="11"/>
      <c r="P154" s="2">
        <v>21.13</v>
      </c>
      <c r="Q154" s="2"/>
      <c r="R154" s="19">
        <f t="shared" si="12"/>
        <v>1.9993742970911294E-6</v>
      </c>
      <c r="S154" s="2"/>
      <c r="T154" s="2"/>
      <c r="U154" s="2"/>
      <c r="V154" s="19">
        <f t="shared" si="13"/>
        <v>0</v>
      </c>
      <c r="W154" s="2"/>
      <c r="X154" s="2">
        <f t="shared" si="14"/>
        <v>21.13</v>
      </c>
      <c r="Y154" s="2"/>
      <c r="Z154" s="19">
        <f t="shared" si="15"/>
        <v>0</v>
      </c>
    </row>
    <row r="155" spans="1:26" s="24" customFormat="1" hidden="1" outlineLevel="1" x14ac:dyDescent="0.25">
      <c r="A155" s="44"/>
      <c r="B155" s="11" t="str">
        <f>CONCATENATE("          ", "5525", " - ", "FREIGHT-IN-TEST FORMS")</f>
        <v xml:space="preserve">          5525 - FREIGHT-IN-TEST FORMS</v>
      </c>
      <c r="C155" s="11"/>
      <c r="D155" s="2">
        <v>532.61</v>
      </c>
      <c r="E155" s="2"/>
      <c r="F155" s="19">
        <f t="shared" si="8"/>
        <v>4.9697307464246132E-4</v>
      </c>
      <c r="G155" s="2"/>
      <c r="H155" s="2"/>
      <c r="I155" s="2"/>
      <c r="J155" s="19">
        <f t="shared" si="9"/>
        <v>0</v>
      </c>
      <c r="K155" s="2"/>
      <c r="L155" s="2">
        <f t="shared" si="10"/>
        <v>532.61</v>
      </c>
      <c r="M155" s="2"/>
      <c r="N155" s="19">
        <f t="shared" si="11"/>
        <v>0</v>
      </c>
      <c r="O155" s="11"/>
      <c r="P155" s="2">
        <v>1155.02</v>
      </c>
      <c r="Q155" s="2"/>
      <c r="R155" s="19">
        <f t="shared" si="12"/>
        <v>1.0929092762073812E-4</v>
      </c>
      <c r="S155" s="2"/>
      <c r="T155" s="2"/>
      <c r="U155" s="2"/>
      <c r="V155" s="19">
        <f t="shared" si="13"/>
        <v>0</v>
      </c>
      <c r="W155" s="2"/>
      <c r="X155" s="2">
        <f t="shared" si="14"/>
        <v>1155.02</v>
      </c>
      <c r="Y155" s="2"/>
      <c r="Z155" s="19">
        <f t="shared" si="15"/>
        <v>0</v>
      </c>
    </row>
    <row r="156" spans="1:26" s="24" customFormat="1" hidden="1" outlineLevel="1" x14ac:dyDescent="0.25">
      <c r="A156" s="44"/>
      <c r="B156" s="11" t="str">
        <f>CONCATENATE("          ", "5526", " - ", "FREIGHT-IN-WRITING INSTRUMENTS")</f>
        <v xml:space="preserve">          5526 - FREIGHT-IN-WRITING INSTRUMENTS</v>
      </c>
      <c r="C156" s="11"/>
      <c r="D156" s="2"/>
      <c r="E156" s="2"/>
      <c r="F156" s="19">
        <f t="shared" si="8"/>
        <v>0</v>
      </c>
      <c r="G156" s="2"/>
      <c r="H156" s="2"/>
      <c r="I156" s="2"/>
      <c r="J156" s="19">
        <f t="shared" si="9"/>
        <v>0</v>
      </c>
      <c r="K156" s="2"/>
      <c r="L156" s="2">
        <f t="shared" si="10"/>
        <v>0</v>
      </c>
      <c r="M156" s="2"/>
      <c r="N156" s="19">
        <f t="shared" si="11"/>
        <v>0</v>
      </c>
      <c r="O156" s="11"/>
      <c r="P156" s="2">
        <v>260.35000000000002</v>
      </c>
      <c r="Q156" s="2"/>
      <c r="R156" s="19">
        <f t="shared" si="12"/>
        <v>2.4634978620334862E-5</v>
      </c>
      <c r="S156" s="2"/>
      <c r="T156" s="2"/>
      <c r="U156" s="2"/>
      <c r="V156" s="19">
        <f t="shared" si="13"/>
        <v>0</v>
      </c>
      <c r="W156" s="2"/>
      <c r="X156" s="2">
        <f t="shared" si="14"/>
        <v>260.35000000000002</v>
      </c>
      <c r="Y156" s="2"/>
      <c r="Z156" s="19">
        <f t="shared" si="15"/>
        <v>0</v>
      </c>
    </row>
    <row r="157" spans="1:26" s="24" customFormat="1" hidden="1" outlineLevel="1" x14ac:dyDescent="0.25">
      <c r="A157" s="44"/>
      <c r="B157" s="11" t="str">
        <f>CONCATENATE("          ", "5527", " - ", "FREIGHT-IN-SCHOOL SUPPLIES")</f>
        <v xml:space="preserve">          5527 - FREIGHT-IN-SCHOOL SUPPLIES</v>
      </c>
      <c r="C157" s="11"/>
      <c r="D157" s="2">
        <v>431.76</v>
      </c>
      <c r="E157" s="2"/>
      <c r="F157" s="19">
        <f t="shared" si="8"/>
        <v>4.0287094629772079E-4</v>
      </c>
      <c r="G157" s="2"/>
      <c r="H157" s="2"/>
      <c r="I157" s="2"/>
      <c r="J157" s="19">
        <f t="shared" si="9"/>
        <v>0</v>
      </c>
      <c r="K157" s="2"/>
      <c r="L157" s="2">
        <f t="shared" si="10"/>
        <v>431.76</v>
      </c>
      <c r="M157" s="2"/>
      <c r="N157" s="19">
        <f t="shared" si="11"/>
        <v>0</v>
      </c>
      <c r="O157" s="11"/>
      <c r="P157" s="2">
        <v>1651.6</v>
      </c>
      <c r="Q157" s="2"/>
      <c r="R157" s="19">
        <f t="shared" si="12"/>
        <v>1.5627858916591146E-4</v>
      </c>
      <c r="S157" s="2"/>
      <c r="T157" s="2"/>
      <c r="U157" s="2"/>
      <c r="V157" s="19">
        <f t="shared" si="13"/>
        <v>0</v>
      </c>
      <c r="W157" s="2"/>
      <c r="X157" s="2">
        <f t="shared" si="14"/>
        <v>1651.6</v>
      </c>
      <c r="Y157" s="2"/>
      <c r="Z157" s="19">
        <f t="shared" si="15"/>
        <v>0</v>
      </c>
    </row>
    <row r="158" spans="1:26" s="24" customFormat="1" hidden="1" outlineLevel="1" x14ac:dyDescent="0.25">
      <c r="A158" s="44"/>
      <c r="B158" s="11" t="str">
        <f>CONCATENATE("          ", "5528", " - ", "FREIGHT-IN-ART/TECH")</f>
        <v xml:space="preserve">          5528 - FREIGHT-IN-ART/TECH</v>
      </c>
      <c r="C158" s="11"/>
      <c r="D158" s="2">
        <v>164.79</v>
      </c>
      <c r="E158" s="2"/>
      <c r="F158" s="19">
        <f t="shared" si="8"/>
        <v>1.5376390411432603E-4</v>
      </c>
      <c r="G158" s="2"/>
      <c r="H158" s="2"/>
      <c r="I158" s="2"/>
      <c r="J158" s="19">
        <f t="shared" si="9"/>
        <v>0</v>
      </c>
      <c r="K158" s="2"/>
      <c r="L158" s="2">
        <f t="shared" si="10"/>
        <v>164.79</v>
      </c>
      <c r="M158" s="2"/>
      <c r="N158" s="19">
        <f t="shared" si="11"/>
        <v>0</v>
      </c>
      <c r="O158" s="11"/>
      <c r="P158" s="2">
        <v>1496.25</v>
      </c>
      <c r="Q158" s="2"/>
      <c r="R158" s="19">
        <f t="shared" si="12"/>
        <v>1.4157897737920505E-4</v>
      </c>
      <c r="S158" s="2"/>
      <c r="T158" s="2"/>
      <c r="U158" s="2"/>
      <c r="V158" s="19">
        <f t="shared" si="13"/>
        <v>0</v>
      </c>
      <c r="W158" s="2"/>
      <c r="X158" s="2">
        <f t="shared" si="14"/>
        <v>1496.25</v>
      </c>
      <c r="Y158" s="2"/>
      <c r="Z158" s="19">
        <f t="shared" si="15"/>
        <v>0</v>
      </c>
    </row>
    <row r="159" spans="1:26" s="24" customFormat="1" hidden="1" outlineLevel="1" x14ac:dyDescent="0.25">
      <c r="A159" s="44"/>
      <c r="B159" s="11" t="str">
        <f>CONCATENATE("          ", "5540", " - ", "FREIGHT-IN-LOGO CLOTHING")</f>
        <v xml:space="preserve">          5540 - FREIGHT-IN-LOGO CLOTHING</v>
      </c>
      <c r="C159" s="11"/>
      <c r="D159" s="2">
        <v>2803.41</v>
      </c>
      <c r="E159" s="2"/>
      <c r="F159" s="19">
        <f t="shared" si="8"/>
        <v>2.6158338881797608E-3</v>
      </c>
      <c r="G159" s="2"/>
      <c r="H159" s="2"/>
      <c r="I159" s="2"/>
      <c r="J159" s="19">
        <f t="shared" si="9"/>
        <v>0</v>
      </c>
      <c r="K159" s="2"/>
      <c r="L159" s="2">
        <f t="shared" si="10"/>
        <v>2803.41</v>
      </c>
      <c r="M159" s="2"/>
      <c r="N159" s="19">
        <f t="shared" si="11"/>
        <v>0</v>
      </c>
      <c r="O159" s="11"/>
      <c r="P159" s="2">
        <v>28481.3</v>
      </c>
      <c r="Q159" s="2"/>
      <c r="R159" s="19">
        <f t="shared" si="12"/>
        <v>2.6949729847487737E-3</v>
      </c>
      <c r="S159" s="2"/>
      <c r="T159" s="2"/>
      <c r="U159" s="2"/>
      <c r="V159" s="19">
        <f t="shared" si="13"/>
        <v>0</v>
      </c>
      <c r="W159" s="2"/>
      <c r="X159" s="2">
        <f t="shared" si="14"/>
        <v>28481.3</v>
      </c>
      <c r="Y159" s="2"/>
      <c r="Z159" s="19">
        <f t="shared" si="15"/>
        <v>0</v>
      </c>
    </row>
    <row r="160" spans="1:26" s="24" customFormat="1" hidden="1" outlineLevel="1" x14ac:dyDescent="0.25">
      <c r="A160" s="44"/>
      <c r="B160" s="11" t="str">
        <f>CONCATENATE("          ", "5541", " - ", "FREIGHT-IN-LOGO GIFTS")</f>
        <v xml:space="preserve">          5541 - FREIGHT-IN-LOGO GIFTS</v>
      </c>
      <c r="C160" s="11"/>
      <c r="D160" s="2">
        <v>486.35</v>
      </c>
      <c r="E160" s="2"/>
      <c r="F160" s="19">
        <f t="shared" si="8"/>
        <v>4.5380833039627695E-4</v>
      </c>
      <c r="G160" s="2"/>
      <c r="H160" s="2"/>
      <c r="I160" s="2"/>
      <c r="J160" s="19">
        <f t="shared" si="9"/>
        <v>0</v>
      </c>
      <c r="K160" s="2"/>
      <c r="L160" s="2">
        <f t="shared" si="10"/>
        <v>486.35</v>
      </c>
      <c r="M160" s="2"/>
      <c r="N160" s="19">
        <f t="shared" si="11"/>
        <v>0</v>
      </c>
      <c r="O160" s="11"/>
      <c r="P160" s="2">
        <v>4073.92</v>
      </c>
      <c r="Q160" s="2"/>
      <c r="R160" s="19">
        <f t="shared" si="12"/>
        <v>3.8548466334148104E-4</v>
      </c>
      <c r="S160" s="2"/>
      <c r="T160" s="2"/>
      <c r="U160" s="2"/>
      <c r="V160" s="19">
        <f t="shared" si="13"/>
        <v>0</v>
      </c>
      <c r="W160" s="2"/>
      <c r="X160" s="2">
        <f t="shared" si="14"/>
        <v>4073.92</v>
      </c>
      <c r="Y160" s="2"/>
      <c r="Z160" s="19">
        <f t="shared" si="15"/>
        <v>0</v>
      </c>
    </row>
    <row r="161" spans="1:26" s="24" customFormat="1" hidden="1" outlineLevel="1" x14ac:dyDescent="0.25">
      <c r="A161" s="44"/>
      <c r="B161" s="11" t="str">
        <f>CONCATENATE("          ", "5542", " - ", "FREIGHT-IN-EVERYDAY GIFTS")</f>
        <v xml:space="preserve">          5542 - FREIGHT-IN-EVERYDAY GIFTS</v>
      </c>
      <c r="C161" s="11"/>
      <c r="D161" s="2">
        <v>43.37</v>
      </c>
      <c r="E161" s="2"/>
      <c r="F161" s="19">
        <f t="shared" si="8"/>
        <v>4.0468114093320715E-5</v>
      </c>
      <c r="G161" s="2"/>
      <c r="H161" s="2"/>
      <c r="I161" s="2"/>
      <c r="J161" s="19">
        <f t="shared" si="9"/>
        <v>0</v>
      </c>
      <c r="K161" s="2"/>
      <c r="L161" s="2">
        <f t="shared" si="10"/>
        <v>43.37</v>
      </c>
      <c r="M161" s="2"/>
      <c r="N161" s="19">
        <f t="shared" si="11"/>
        <v>0</v>
      </c>
      <c r="O161" s="11"/>
      <c r="P161" s="2">
        <v>1751.7</v>
      </c>
      <c r="Q161" s="2"/>
      <c r="R161" s="19">
        <f t="shared" si="12"/>
        <v>1.6575030554730392E-4</v>
      </c>
      <c r="S161" s="2"/>
      <c r="T161" s="2"/>
      <c r="U161" s="2"/>
      <c r="V161" s="19">
        <f t="shared" si="13"/>
        <v>0</v>
      </c>
      <c r="W161" s="2"/>
      <c r="X161" s="2">
        <f t="shared" si="14"/>
        <v>1751.7</v>
      </c>
      <c r="Y161" s="2"/>
      <c r="Z161" s="19">
        <f t="shared" si="15"/>
        <v>0</v>
      </c>
    </row>
    <row r="162" spans="1:26" s="24" customFormat="1" hidden="1" outlineLevel="1" x14ac:dyDescent="0.25">
      <c r="A162" s="44"/>
      <c r="B162" s="11" t="str">
        <f>CONCATENATE("          ", "5543", " - ", "FREIGHT-IN-CARDS")</f>
        <v xml:space="preserve">          5543 - FREIGHT-IN-CARDS</v>
      </c>
      <c r="C162" s="11"/>
      <c r="D162" s="2">
        <v>2779.77</v>
      </c>
      <c r="E162" s="2"/>
      <c r="F162" s="19">
        <f t="shared" si="8"/>
        <v>2.5937756401473396E-3</v>
      </c>
      <c r="G162" s="2"/>
      <c r="H162" s="2"/>
      <c r="I162" s="2"/>
      <c r="J162" s="19">
        <f t="shared" si="9"/>
        <v>0</v>
      </c>
      <c r="K162" s="2"/>
      <c r="L162" s="2">
        <f t="shared" si="10"/>
        <v>2779.77</v>
      </c>
      <c r="M162" s="2"/>
      <c r="N162" s="19">
        <f t="shared" si="11"/>
        <v>0</v>
      </c>
      <c r="O162" s="11"/>
      <c r="P162" s="2">
        <v>2901.12</v>
      </c>
      <c r="Q162" s="2"/>
      <c r="R162" s="19">
        <f t="shared" si="12"/>
        <v>2.7451134693691519E-4</v>
      </c>
      <c r="S162" s="2"/>
      <c r="T162" s="2"/>
      <c r="U162" s="2"/>
      <c r="V162" s="19">
        <f t="shared" si="13"/>
        <v>0</v>
      </c>
      <c r="W162" s="2"/>
      <c r="X162" s="2">
        <f t="shared" si="14"/>
        <v>2901.12</v>
      </c>
      <c r="Y162" s="2"/>
      <c r="Z162" s="19">
        <f t="shared" si="15"/>
        <v>0</v>
      </c>
    </row>
    <row r="163" spans="1:26" s="24" customFormat="1" hidden="1" outlineLevel="1" x14ac:dyDescent="0.25">
      <c r="A163" s="44"/>
      <c r="B163" s="11" t="str">
        <f>CONCATENATE("          ", "5544", " - ", "FREIGHT-IN-ACCESSORIES")</f>
        <v xml:space="preserve">          5544 - FREIGHT-IN-ACCESSORIES</v>
      </c>
      <c r="C163" s="11"/>
      <c r="D163" s="2">
        <v>41.13</v>
      </c>
      <c r="E163" s="2"/>
      <c r="F163" s="19">
        <f t="shared" si="8"/>
        <v>3.8377992452346808E-5</v>
      </c>
      <c r="G163" s="2"/>
      <c r="H163" s="2"/>
      <c r="I163" s="2"/>
      <c r="J163" s="19">
        <f t="shared" si="9"/>
        <v>0</v>
      </c>
      <c r="K163" s="2"/>
      <c r="L163" s="2">
        <f t="shared" si="10"/>
        <v>41.13</v>
      </c>
      <c r="M163" s="2"/>
      <c r="N163" s="19">
        <f t="shared" si="11"/>
        <v>0</v>
      </c>
      <c r="O163" s="11"/>
      <c r="P163" s="2">
        <v>483.44</v>
      </c>
      <c r="Q163" s="2"/>
      <c r="R163" s="19">
        <f t="shared" si="12"/>
        <v>4.5744321352850716E-5</v>
      </c>
      <c r="S163" s="2"/>
      <c r="T163" s="2"/>
      <c r="U163" s="2"/>
      <c r="V163" s="19">
        <f t="shared" si="13"/>
        <v>0</v>
      </c>
      <c r="W163" s="2"/>
      <c r="X163" s="2">
        <f t="shared" si="14"/>
        <v>483.44</v>
      </c>
      <c r="Y163" s="2"/>
      <c r="Z163" s="19">
        <f t="shared" si="15"/>
        <v>0</v>
      </c>
    </row>
    <row r="164" spans="1:26" s="24" customFormat="1" hidden="1" outlineLevel="1" x14ac:dyDescent="0.25">
      <c r="A164" s="44"/>
      <c r="B164" s="11" t="str">
        <f>CONCATENATE("          ", "5545", " - ", "FREIGHT-IN-SPECIAL ORDERS")</f>
        <v xml:space="preserve">          5545 - FREIGHT-IN-SPECIAL ORDERS</v>
      </c>
      <c r="C164" s="11"/>
      <c r="D164" s="2">
        <v>4.49</v>
      </c>
      <c r="E164" s="2"/>
      <c r="F164" s="19">
        <f t="shared" si="8"/>
        <v>4.1895741821307355E-6</v>
      </c>
      <c r="G164" s="2"/>
      <c r="H164" s="2"/>
      <c r="I164" s="2"/>
      <c r="J164" s="19">
        <f t="shared" si="9"/>
        <v>0</v>
      </c>
      <c r="K164" s="2"/>
      <c r="L164" s="2">
        <f t="shared" si="10"/>
        <v>4.49</v>
      </c>
      <c r="M164" s="2"/>
      <c r="N164" s="19">
        <f t="shared" si="11"/>
        <v>0</v>
      </c>
      <c r="O164" s="11"/>
      <c r="P164" s="2">
        <v>846.39</v>
      </c>
      <c r="Q164" s="2"/>
      <c r="R164" s="19">
        <f t="shared" si="12"/>
        <v>8.0087572707759642E-5</v>
      </c>
      <c r="S164" s="2"/>
      <c r="T164" s="2"/>
      <c r="U164" s="2"/>
      <c r="V164" s="19">
        <f t="shared" si="13"/>
        <v>0</v>
      </c>
      <c r="W164" s="2"/>
      <c r="X164" s="2">
        <f t="shared" si="14"/>
        <v>846.39</v>
      </c>
      <c r="Y164" s="2"/>
      <c r="Z164" s="19">
        <f t="shared" si="15"/>
        <v>0</v>
      </c>
    </row>
    <row r="165" spans="1:26" s="24" customFormat="1" hidden="1" outlineLevel="1" x14ac:dyDescent="0.25">
      <c r="A165" s="44"/>
      <c r="B165" s="11" t="str">
        <f>CONCATENATE("          ", "5592", " - ", "FREIGHT-IN-GRAD MERCH")</f>
        <v xml:space="preserve">          5592 - FREIGHT-IN-GRAD MERCH</v>
      </c>
      <c r="C165" s="11"/>
      <c r="D165" s="2"/>
      <c r="E165" s="2"/>
      <c r="F165" s="19">
        <f t="shared" si="8"/>
        <v>0</v>
      </c>
      <c r="G165" s="2"/>
      <c r="H165" s="2"/>
      <c r="I165" s="2"/>
      <c r="J165" s="19">
        <f t="shared" si="9"/>
        <v>0</v>
      </c>
      <c r="K165" s="2"/>
      <c r="L165" s="2">
        <f t="shared" si="10"/>
        <v>0</v>
      </c>
      <c r="M165" s="2"/>
      <c r="N165" s="19">
        <f t="shared" si="11"/>
        <v>0</v>
      </c>
      <c r="O165" s="11"/>
      <c r="P165" s="2">
        <v>105.78</v>
      </c>
      <c r="Q165" s="2"/>
      <c r="R165" s="19">
        <f t="shared" si="12"/>
        <v>1.0009172415821092E-5</v>
      </c>
      <c r="S165" s="2"/>
      <c r="T165" s="2"/>
      <c r="U165" s="2"/>
      <c r="V165" s="19">
        <f t="shared" si="13"/>
        <v>0</v>
      </c>
      <c r="W165" s="2"/>
      <c r="X165" s="2">
        <f t="shared" si="14"/>
        <v>105.78</v>
      </c>
      <c r="Y165" s="2"/>
      <c r="Z165" s="19">
        <f t="shared" si="15"/>
        <v>0</v>
      </c>
    </row>
    <row r="166" spans="1:26" x14ac:dyDescent="0.25">
      <c r="A166" s="9"/>
      <c r="B166" s="10"/>
      <c r="C166" s="10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O166" s="10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25">
      <c r="A167" s="10"/>
      <c r="B167" s="28" t="s">
        <v>6</v>
      </c>
      <c r="C167" s="28"/>
      <c r="D167" s="21">
        <f>D12-D112</f>
        <v>379570.29000000015</v>
      </c>
      <c r="E167" s="14"/>
      <c r="F167" s="22">
        <f>IF(D$12=0,0,D167/D$12)</f>
        <v>0.35417324883917078</v>
      </c>
      <c r="G167" s="14"/>
      <c r="H167" s="21">
        <f>H12-H112</f>
        <v>573183.16213000007</v>
      </c>
      <c r="I167" s="14"/>
      <c r="J167" s="22">
        <f>IF(H$12=0,0,H167/H$12)</f>
        <v>0.5223126601036896</v>
      </c>
      <c r="K167" s="15"/>
      <c r="L167" s="21">
        <f>+D167-H167</f>
        <v>-193612.87212999992</v>
      </c>
      <c r="M167" s="15"/>
      <c r="N167" s="22">
        <f>IF(H167=0,0,L167/H167)</f>
        <v>-0.33778534493322709</v>
      </c>
      <c r="O167" s="29"/>
      <c r="P167" s="21">
        <f>P12-P112</f>
        <v>4603998.1900000013</v>
      </c>
      <c r="Q167" s="14"/>
      <c r="R167" s="22">
        <f>IF(P$12=0,0,P167/P$12)</f>
        <v>0.43564200875248865</v>
      </c>
      <c r="S167" s="14"/>
      <c r="T167" s="21">
        <f>T12-T112</f>
        <v>4842111.3529099999</v>
      </c>
      <c r="U167" s="14"/>
      <c r="V167" s="22">
        <f>IF(T$12=0,0,T167/T$12)</f>
        <v>0.4334572253500541</v>
      </c>
      <c r="W167" s="15"/>
      <c r="X167" s="21">
        <f>+P167-T167</f>
        <v>-238113.16290999856</v>
      </c>
      <c r="Y167" s="15"/>
      <c r="Z167" s="22">
        <f>IF(T167=0,0,X167/T167)</f>
        <v>-4.9175482667679238E-2</v>
      </c>
    </row>
    <row r="168" spans="1:26" x14ac:dyDescent="0.25">
      <c r="A168" s="9"/>
      <c r="B168" s="10"/>
      <c r="C168" s="9"/>
      <c r="D168" s="1"/>
      <c r="E168" s="1"/>
      <c r="F168" s="5"/>
      <c r="G168" s="1"/>
      <c r="H168" s="1"/>
      <c r="I168" s="1"/>
      <c r="J168" s="5"/>
      <c r="K168" s="1"/>
      <c r="L168" s="1"/>
      <c r="M168" s="1"/>
      <c r="N168" s="5"/>
      <c r="O168" s="36"/>
      <c r="P168" s="1"/>
      <c r="Q168" s="1"/>
      <c r="R168" s="5"/>
      <c r="S168" s="1"/>
      <c r="T168" s="1"/>
      <c r="U168" s="1"/>
      <c r="V168" s="5"/>
      <c r="W168" s="1"/>
      <c r="X168" s="1"/>
      <c r="Y168" s="1"/>
      <c r="Z168" s="5"/>
    </row>
    <row r="169" spans="1:26" s="23" customFormat="1" x14ac:dyDescent="0.25">
      <c r="A169" s="10"/>
      <c r="B169" s="29" t="s">
        <v>9</v>
      </c>
      <c r="C169" s="10"/>
      <c r="D169" s="20">
        <f>SUM(OSRRefD22x_0)</f>
        <v>485790.05000000005</v>
      </c>
      <c r="E169" s="20"/>
      <c r="F169" s="34">
        <f t="shared" ref="F169:F180" si="16">IF(D$12=0,0,D169/D$12)</f>
        <v>0.4532858466405344</v>
      </c>
      <c r="G169" s="20"/>
      <c r="H169" s="20">
        <f>SUM(OSRRefH22x_0)</f>
        <v>509436.22964318574</v>
      </c>
      <c r="I169" s="20"/>
      <c r="J169" s="34">
        <f t="shared" ref="J169:J180" si="17">IF(H$12=0,0,H169/H$12)</f>
        <v>0.46422332308110853</v>
      </c>
      <c r="K169" s="4"/>
      <c r="L169" s="20">
        <f t="shared" ref="L169:L180" si="18">+D169-H169</f>
        <v>-23646.179643185693</v>
      </c>
      <c r="M169" s="4"/>
      <c r="N169" s="34">
        <f t="shared" ref="N169:N180" si="19">IF(H169=0,0,L169/H169)</f>
        <v>-4.6416368266049148E-2</v>
      </c>
      <c r="O169" s="10"/>
      <c r="P169" s="20">
        <f>SUM(OSRRefP22x_0)</f>
        <v>3928892.790000001</v>
      </c>
      <c r="Q169" s="20"/>
      <c r="R169" s="34">
        <f t="shared" ref="R169:R180" si="20">IF(P$12=0,0,P169/P$12)</f>
        <v>0.37176182017759862</v>
      </c>
      <c r="S169" s="20"/>
      <c r="T169" s="20">
        <f>SUM(OSRRefT22x_0)</f>
        <v>4124413.2399833584</v>
      </c>
      <c r="U169" s="20"/>
      <c r="V169" s="34">
        <f t="shared" ref="V169:V180" si="21">IF(T$12=0,0,T169/T$12)</f>
        <v>0.36921016244820803</v>
      </c>
      <c r="W169" s="4"/>
      <c r="X169" s="20">
        <f t="shared" ref="X169:X180" si="22">+P169-T169</f>
        <v>-195520.44998335745</v>
      </c>
      <c r="Y169" s="4"/>
      <c r="Z169" s="34">
        <f t="shared" ref="Z169:Z180" si="23">IF(T169=0,0,X169/T169)</f>
        <v>-4.7405640173957535E-2</v>
      </c>
    </row>
    <row r="170" spans="1:26" s="27" customFormat="1" outlineLevel="1" collapsed="1" x14ac:dyDescent="0.25">
      <c r="A170" s="26"/>
      <c r="B170" s="13" t="str">
        <f>CONCATENATE("     ","*Benefits                                         ")</f>
        <v xml:space="preserve">     *Benefits                                         </v>
      </c>
      <c r="C170" s="13"/>
      <c r="D170" s="1">
        <f>SUM(OSRRefD22_0x_0)</f>
        <v>55273.929999999993</v>
      </c>
      <c r="E170" s="1"/>
      <c r="F170" s="5">
        <f t="shared" si="16"/>
        <v>5.1575552354766484E-2</v>
      </c>
      <c r="G170" s="1"/>
      <c r="H170" s="1">
        <f>SUM(OSRRefH22_0x_0)</f>
        <v>59177.616561576106</v>
      </c>
      <c r="I170" s="1"/>
      <c r="J170" s="5">
        <f t="shared" si="17"/>
        <v>5.3925551842820267E-2</v>
      </c>
      <c r="K170" s="1"/>
      <c r="L170" s="1">
        <f t="shared" si="18"/>
        <v>-3903.6865615761126</v>
      </c>
      <c r="M170" s="1"/>
      <c r="N170" s="5">
        <f t="shared" si="19"/>
        <v>-6.5965592877743021E-2</v>
      </c>
      <c r="O170" s="13"/>
      <c r="P170" s="1">
        <f>SUM(OSRRefP22_0x_0)</f>
        <v>500262.93000000005</v>
      </c>
      <c r="Q170" s="1"/>
      <c r="R170" s="5">
        <f t="shared" si="20"/>
        <v>4.7336149741102652E-2</v>
      </c>
      <c r="S170" s="1"/>
      <c r="T170" s="1">
        <f>SUM(OSRRefT22_0x_0)</f>
        <v>497949.68040407985</v>
      </c>
      <c r="U170" s="1"/>
      <c r="V170" s="5">
        <f t="shared" si="21"/>
        <v>4.4575572741048952E-2</v>
      </c>
      <c r="W170" s="1"/>
      <c r="X170" s="1">
        <f t="shared" si="22"/>
        <v>2313.249595920206</v>
      </c>
      <c r="Y170" s="1"/>
      <c r="Z170" s="5">
        <f t="shared" si="23"/>
        <v>4.6455489117756509E-3</v>
      </c>
    </row>
    <row r="171" spans="1:26" s="24" customFormat="1" hidden="1" outlineLevel="2" x14ac:dyDescent="0.25">
      <c r="A171" s="25"/>
      <c r="B171" s="11" t="str">
        <f>CONCATENATE("          ", "6111", " - ", "F.I.C.A.")</f>
        <v xml:space="preserve">          6111 - F.I.C.A.</v>
      </c>
      <c r="C171" s="11"/>
      <c r="D171" s="6">
        <v>9533.93</v>
      </c>
      <c r="E171" s="2"/>
      <c r="F171" s="7">
        <f t="shared" si="16"/>
        <v>8.8960149180939176E-3</v>
      </c>
      <c r="G171" s="2"/>
      <c r="H171" s="6">
        <v>9127.9224982100823</v>
      </c>
      <c r="I171" s="2"/>
      <c r="J171" s="7">
        <f t="shared" si="17"/>
        <v>8.3178114715433803E-3</v>
      </c>
      <c r="K171" s="2"/>
      <c r="L171" s="6">
        <f t="shared" si="18"/>
        <v>406.00750178991802</v>
      </c>
      <c r="M171" s="2"/>
      <c r="N171" s="7">
        <f t="shared" si="19"/>
        <v>4.447972710871867E-2</v>
      </c>
      <c r="O171" s="11"/>
      <c r="P171" s="6">
        <v>93176.95</v>
      </c>
      <c r="Q171" s="2"/>
      <c r="R171" s="7">
        <f t="shared" si="20"/>
        <v>8.8166397970348004E-3</v>
      </c>
      <c r="S171" s="2"/>
      <c r="T171" s="6">
        <v>88066.913909189389</v>
      </c>
      <c r="U171" s="2"/>
      <c r="V171" s="7">
        <f t="shared" si="21"/>
        <v>7.8835940287242806E-3</v>
      </c>
      <c r="W171" s="2"/>
      <c r="X171" s="6">
        <f t="shared" si="22"/>
        <v>5110.0360908106086</v>
      </c>
      <c r="Y171" s="2"/>
      <c r="Z171" s="7">
        <f t="shared" si="23"/>
        <v>5.802447098441358E-2</v>
      </c>
    </row>
    <row r="172" spans="1:26" s="24" customFormat="1" hidden="1" outlineLevel="2" x14ac:dyDescent="0.25">
      <c r="A172" s="25"/>
      <c r="B172" s="11" t="str">
        <f>CONCATENATE("          ", "6112", " - ", "COMPENSATION INSURANCE")</f>
        <v xml:space="preserve">          6112 - COMPENSATION INSURANCE</v>
      </c>
      <c r="C172" s="11"/>
      <c r="D172" s="6">
        <v>4059.73</v>
      </c>
      <c r="E172" s="2"/>
      <c r="F172" s="7">
        <f t="shared" si="16"/>
        <v>3.7880935399602698E-3</v>
      </c>
      <c r="G172" s="2"/>
      <c r="H172" s="6">
        <v>4631.0481748384609</v>
      </c>
      <c r="I172" s="2"/>
      <c r="J172" s="7">
        <f t="shared" si="17"/>
        <v>4.2200386387477445E-3</v>
      </c>
      <c r="K172" s="2"/>
      <c r="L172" s="6">
        <f t="shared" si="18"/>
        <v>-571.31817483846089</v>
      </c>
      <c r="M172" s="2"/>
      <c r="N172" s="7">
        <f t="shared" si="19"/>
        <v>-0.12336692542793284</v>
      </c>
      <c r="O172" s="11"/>
      <c r="P172" s="6">
        <v>27071.89</v>
      </c>
      <c r="Q172" s="2"/>
      <c r="R172" s="7">
        <f t="shared" si="20"/>
        <v>2.5616110288536856E-3</v>
      </c>
      <c r="S172" s="2"/>
      <c r="T172" s="6">
        <v>37232.31331348652</v>
      </c>
      <c r="U172" s="2"/>
      <c r="V172" s="7">
        <f t="shared" si="21"/>
        <v>3.3329706910868134E-3</v>
      </c>
      <c r="W172" s="2"/>
      <c r="X172" s="6">
        <f t="shared" si="22"/>
        <v>-10160.423313486521</v>
      </c>
      <c r="Y172" s="2"/>
      <c r="Z172" s="7">
        <f t="shared" si="23"/>
        <v>-0.27289261421761157</v>
      </c>
    </row>
    <row r="173" spans="1:26" s="24" customFormat="1" hidden="1" outlineLevel="2" x14ac:dyDescent="0.25">
      <c r="A173" s="25"/>
      <c r="B173" s="11" t="str">
        <f>CONCATENATE("          ", "6113", " - ", "GROUP INSURANCE")</f>
        <v xml:space="preserve">          6113 - GROUP INSURANCE</v>
      </c>
      <c r="C173" s="11"/>
      <c r="D173" s="6">
        <v>22086.390000000003</v>
      </c>
      <c r="E173" s="2"/>
      <c r="F173" s="7">
        <f t="shared" si="16"/>
        <v>2.0608590049102555E-2</v>
      </c>
      <c r="G173" s="2"/>
      <c r="H173" s="6">
        <v>24508.81923076923</v>
      </c>
      <c r="I173" s="2"/>
      <c r="J173" s="7">
        <f t="shared" si="17"/>
        <v>2.2333640298945426E-2</v>
      </c>
      <c r="K173" s="2"/>
      <c r="L173" s="6">
        <f t="shared" si="18"/>
        <v>-2422.4292307692267</v>
      </c>
      <c r="M173" s="2"/>
      <c r="N173" s="7">
        <f t="shared" si="19"/>
        <v>-9.8839083513579645E-2</v>
      </c>
      <c r="O173" s="11"/>
      <c r="P173" s="6">
        <v>191897.51</v>
      </c>
      <c r="Q173" s="2"/>
      <c r="R173" s="7">
        <f t="shared" si="20"/>
        <v>1.8157830060094086E-2</v>
      </c>
      <c r="S173" s="2"/>
      <c r="T173" s="6">
        <v>197485.63076923077</v>
      </c>
      <c r="U173" s="2"/>
      <c r="V173" s="7">
        <f t="shared" si="21"/>
        <v>1.767856361012669E-2</v>
      </c>
      <c r="W173" s="2"/>
      <c r="X173" s="6">
        <f t="shared" si="22"/>
        <v>-5588.1207692307653</v>
      </c>
      <c r="Y173" s="2"/>
      <c r="Z173" s="7">
        <f t="shared" si="23"/>
        <v>-2.8296341093092946E-2</v>
      </c>
    </row>
    <row r="174" spans="1:26" s="24" customFormat="1" hidden="1" outlineLevel="2" x14ac:dyDescent="0.25">
      <c r="A174" s="25"/>
      <c r="B174" s="11" t="str">
        <f>CONCATENATE("          ", "6114", " - ", "STATE UNEMPLOYMENT INSURANCE")</f>
        <v xml:space="preserve">          6114 - STATE UNEMPLOYMENT INSURANCE</v>
      </c>
      <c r="C174" s="11"/>
      <c r="D174" s="6">
        <v>639.48</v>
      </c>
      <c r="E174" s="2"/>
      <c r="F174" s="7">
        <f t="shared" si="16"/>
        <v>5.9669240489731914E-4</v>
      </c>
      <c r="G174" s="2"/>
      <c r="H174" s="6">
        <v>652.61982217870502</v>
      </c>
      <c r="I174" s="2"/>
      <c r="J174" s="7">
        <f t="shared" si="17"/>
        <v>5.9469924777944775E-4</v>
      </c>
      <c r="K174" s="2"/>
      <c r="L174" s="6">
        <f t="shared" si="18"/>
        <v>-13.139822178705003</v>
      </c>
      <c r="M174" s="2"/>
      <c r="N174" s="7">
        <f t="shared" si="19"/>
        <v>-2.0133961200931718E-2</v>
      </c>
      <c r="O174" s="11"/>
      <c r="P174" s="6">
        <v>5114.7700000000004</v>
      </c>
      <c r="Q174" s="2"/>
      <c r="R174" s="7">
        <f t="shared" si="20"/>
        <v>4.8397253542512058E-4</v>
      </c>
      <c r="S174" s="2"/>
      <c r="T174" s="6">
        <v>5241.5181329444749</v>
      </c>
      <c r="U174" s="2"/>
      <c r="V174" s="7">
        <f t="shared" si="21"/>
        <v>4.692114123238209E-4</v>
      </c>
      <c r="W174" s="2"/>
      <c r="X174" s="6">
        <f t="shared" si="22"/>
        <v>-126.74813294447449</v>
      </c>
      <c r="Y174" s="2"/>
      <c r="Z174" s="7">
        <f t="shared" si="23"/>
        <v>-2.4181569104535838E-2</v>
      </c>
    </row>
    <row r="175" spans="1:26" s="24" customFormat="1" hidden="1" outlineLevel="2" x14ac:dyDescent="0.25">
      <c r="A175" s="25"/>
      <c r="B175" s="11" t="str">
        <f>CONCATENATE("          ", "6115", " - ", "P.E.R.S.")</f>
        <v xml:space="preserve">          6115 - P.E.R.S.</v>
      </c>
      <c r="C175" s="11"/>
      <c r="D175" s="6">
        <v>7242.35</v>
      </c>
      <c r="E175" s="2"/>
      <c r="F175" s="7">
        <f t="shared" si="16"/>
        <v>6.757764493976511E-3</v>
      </c>
      <c r="G175" s="2"/>
      <c r="H175" s="6">
        <v>7602.123374384606</v>
      </c>
      <c r="I175" s="2"/>
      <c r="J175" s="7">
        <f t="shared" si="17"/>
        <v>6.9274283413278187E-3</v>
      </c>
      <c r="K175" s="2"/>
      <c r="L175" s="6">
        <f t="shared" si="18"/>
        <v>-359.77337438460563</v>
      </c>
      <c r="M175" s="2"/>
      <c r="N175" s="7">
        <f t="shared" si="19"/>
        <v>-4.7325379590242363E-2</v>
      </c>
      <c r="O175" s="11"/>
      <c r="P175" s="6">
        <v>69465.400000000009</v>
      </c>
      <c r="Q175" s="2"/>
      <c r="R175" s="7">
        <f t="shared" si="20"/>
        <v>6.5729926785212571E-3</v>
      </c>
      <c r="S175" s="2"/>
      <c r="T175" s="6">
        <v>65904.468403865321</v>
      </c>
      <c r="U175" s="2"/>
      <c r="V175" s="7">
        <f t="shared" si="21"/>
        <v>5.8996511914873222E-3</v>
      </c>
      <c r="W175" s="2"/>
      <c r="X175" s="6">
        <f t="shared" si="22"/>
        <v>3560.9315961346874</v>
      </c>
      <c r="Y175" s="2"/>
      <c r="Z175" s="7">
        <f t="shared" si="23"/>
        <v>5.403171715631102E-2</v>
      </c>
    </row>
    <row r="176" spans="1:26" s="24" customFormat="1" hidden="1" outlineLevel="2" x14ac:dyDescent="0.25">
      <c r="A176" s="25"/>
      <c r="B176" s="11" t="str">
        <f>CONCATENATE("          ", "6116", " - ", "EDUCATIONAL BENEFITS")</f>
        <v xml:space="preserve">          6116 - EDUCATIONAL BENEFITS</v>
      </c>
      <c r="C176" s="11"/>
      <c r="D176" s="6"/>
      <c r="E176" s="2"/>
      <c r="F176" s="7">
        <f t="shared" si="16"/>
        <v>0</v>
      </c>
      <c r="G176" s="2"/>
      <c r="H176" s="6">
        <v>0</v>
      </c>
      <c r="I176" s="2"/>
      <c r="J176" s="7">
        <f t="shared" si="17"/>
        <v>0</v>
      </c>
      <c r="K176" s="2"/>
      <c r="L176" s="6">
        <f t="shared" si="18"/>
        <v>0</v>
      </c>
      <c r="M176" s="2"/>
      <c r="N176" s="7">
        <f t="shared" si="19"/>
        <v>0</v>
      </c>
      <c r="O176" s="11"/>
      <c r="P176" s="6"/>
      <c r="Q176" s="2"/>
      <c r="R176" s="7">
        <f t="shared" si="20"/>
        <v>0</v>
      </c>
      <c r="S176" s="2"/>
      <c r="T176" s="6">
        <v>0</v>
      </c>
      <c r="U176" s="2"/>
      <c r="V176" s="7">
        <f t="shared" si="21"/>
        <v>0</v>
      </c>
      <c r="W176" s="2"/>
      <c r="X176" s="6">
        <f t="shared" si="22"/>
        <v>0</v>
      </c>
      <c r="Y176" s="2"/>
      <c r="Z176" s="7">
        <f t="shared" si="23"/>
        <v>0</v>
      </c>
    </row>
    <row r="177" spans="1:26" s="24" customFormat="1" hidden="1" outlineLevel="2" x14ac:dyDescent="0.25">
      <c r="A177" s="25"/>
      <c r="B177" s="11" t="str">
        <f>CONCATENATE("          ", "6117", " - ", "RETIREMENT STAFF HOURLY")</f>
        <v xml:space="preserve">          6117 - RETIREMENT STAFF HOURLY</v>
      </c>
      <c r="C177" s="11"/>
      <c r="D177" s="6">
        <v>111.34</v>
      </c>
      <c r="E177" s="2"/>
      <c r="F177" s="7">
        <f t="shared" si="16"/>
        <v>1.0389024263662274E-4</v>
      </c>
      <c r="G177" s="2"/>
      <c r="H177" s="6"/>
      <c r="I177" s="2"/>
      <c r="J177" s="7">
        <f t="shared" si="17"/>
        <v>0</v>
      </c>
      <c r="K177" s="2"/>
      <c r="L177" s="6">
        <f t="shared" si="18"/>
        <v>111.34</v>
      </c>
      <c r="M177" s="2"/>
      <c r="N177" s="7">
        <f t="shared" si="19"/>
        <v>0</v>
      </c>
      <c r="O177" s="11"/>
      <c r="P177" s="6">
        <v>1063.57</v>
      </c>
      <c r="Q177" s="2"/>
      <c r="R177" s="7">
        <f t="shared" si="20"/>
        <v>1.0063769622135412E-4</v>
      </c>
      <c r="S177" s="2"/>
      <c r="T177" s="6"/>
      <c r="U177" s="2"/>
      <c r="V177" s="7">
        <f t="shared" si="21"/>
        <v>0</v>
      </c>
      <c r="W177" s="2"/>
      <c r="X177" s="6">
        <f t="shared" si="22"/>
        <v>1063.57</v>
      </c>
      <c r="Y177" s="2"/>
      <c r="Z177" s="7">
        <f t="shared" si="23"/>
        <v>0</v>
      </c>
    </row>
    <row r="178" spans="1:26" s="24" customFormat="1" hidden="1" outlineLevel="2" x14ac:dyDescent="0.25">
      <c r="A178" s="25"/>
      <c r="B178" s="11" t="str">
        <f>CONCATENATE("          ", "6118", " - ", "VACATION")</f>
        <v xml:space="preserve">          6118 - VACATION</v>
      </c>
      <c r="C178" s="11"/>
      <c r="D178" s="6">
        <v>4736.9799999999996</v>
      </c>
      <c r="E178" s="2"/>
      <c r="F178" s="7">
        <f t="shared" si="16"/>
        <v>4.4200287548484749E-3</v>
      </c>
      <c r="G178" s="2"/>
      <c r="H178" s="6">
        <v>5067.6587466307647</v>
      </c>
      <c r="I178" s="2"/>
      <c r="J178" s="7">
        <f t="shared" si="17"/>
        <v>4.6178996441806099E-3</v>
      </c>
      <c r="K178" s="2"/>
      <c r="L178" s="6">
        <f t="shared" si="18"/>
        <v>-330.67874663076509</v>
      </c>
      <c r="M178" s="2"/>
      <c r="N178" s="7">
        <f t="shared" si="19"/>
        <v>-6.5252765263765444E-2</v>
      </c>
      <c r="O178" s="11"/>
      <c r="P178" s="6">
        <v>51444.34</v>
      </c>
      <c r="Q178" s="2"/>
      <c r="R178" s="7">
        <f t="shared" si="20"/>
        <v>4.8677941848943246E-3</v>
      </c>
      <c r="S178" s="2"/>
      <c r="T178" s="6">
        <v>43948.766973019206</v>
      </c>
      <c r="U178" s="2"/>
      <c r="V178" s="7">
        <f t="shared" si="21"/>
        <v>3.9342157173300925E-3</v>
      </c>
      <c r="W178" s="2"/>
      <c r="X178" s="6">
        <f t="shared" si="22"/>
        <v>7495.57302698079</v>
      </c>
      <c r="Y178" s="2"/>
      <c r="Z178" s="7">
        <f t="shared" si="23"/>
        <v>0.17055252156636003</v>
      </c>
    </row>
    <row r="179" spans="1:26" s="24" customFormat="1" hidden="1" outlineLevel="2" x14ac:dyDescent="0.25">
      <c r="A179" s="25"/>
      <c r="B179" s="11" t="str">
        <f>CONCATENATE("          ", "6119", " - ", "SICK LEAVE")</f>
        <v xml:space="preserve">          6119 - SICK LEAVE</v>
      </c>
      <c r="C179" s="11"/>
      <c r="D179" s="6">
        <v>4105.42</v>
      </c>
      <c r="E179" s="2"/>
      <c r="F179" s="7">
        <f t="shared" si="16"/>
        <v>3.8307264228960277E-3</v>
      </c>
      <c r="G179" s="2"/>
      <c r="H179" s="6">
        <v>6037.4247145642494</v>
      </c>
      <c r="I179" s="2"/>
      <c r="J179" s="7">
        <f t="shared" si="17"/>
        <v>5.5015980426246433E-3</v>
      </c>
      <c r="K179" s="2"/>
      <c r="L179" s="6">
        <f t="shared" si="18"/>
        <v>-1932.0047145642493</v>
      </c>
      <c r="M179" s="2"/>
      <c r="N179" s="7">
        <f t="shared" si="19"/>
        <v>-0.32000477122366761</v>
      </c>
      <c r="O179" s="11"/>
      <c r="P179" s="6">
        <v>39661.599999999999</v>
      </c>
      <c r="Q179" s="2"/>
      <c r="R179" s="7">
        <f t="shared" si="20"/>
        <v>3.7528813829394007E-3</v>
      </c>
      <c r="S179" s="2"/>
      <c r="T179" s="6">
        <v>47545.068902344108</v>
      </c>
      <c r="U179" s="2"/>
      <c r="V179" s="7">
        <f t="shared" si="21"/>
        <v>4.2561502913603631E-3</v>
      </c>
      <c r="W179" s="2"/>
      <c r="X179" s="6">
        <f t="shared" si="22"/>
        <v>-7883.4689023441097</v>
      </c>
      <c r="Y179" s="2"/>
      <c r="Z179" s="7">
        <f t="shared" si="23"/>
        <v>-0.16581044226766137</v>
      </c>
    </row>
    <row r="180" spans="1:26" s="24" customFormat="1" hidden="1" outlineLevel="2" x14ac:dyDescent="0.25">
      <c r="A180" s="25"/>
      <c r="B180" s="11" t="str">
        <f>CONCATENATE("          ", "6156", " - ", "EMPLOYEE MEALS")</f>
        <v xml:space="preserve">          6156 - EMPLOYEE MEALS</v>
      </c>
      <c r="C180" s="11"/>
      <c r="D180" s="6">
        <v>2758.31</v>
      </c>
      <c r="E180" s="2"/>
      <c r="F180" s="7">
        <f t="shared" si="16"/>
        <v>2.5737515283547948E-3</v>
      </c>
      <c r="G180" s="2"/>
      <c r="H180" s="6">
        <v>1550</v>
      </c>
      <c r="I180" s="2"/>
      <c r="J180" s="7">
        <f t="shared" si="17"/>
        <v>1.4124361576711879E-3</v>
      </c>
      <c r="K180" s="2"/>
      <c r="L180" s="6">
        <f t="shared" si="18"/>
        <v>1208.31</v>
      </c>
      <c r="M180" s="2"/>
      <c r="N180" s="7">
        <f t="shared" si="19"/>
        <v>0.77955483870967734</v>
      </c>
      <c r="O180" s="11"/>
      <c r="P180" s="6">
        <v>21366.9</v>
      </c>
      <c r="Q180" s="2"/>
      <c r="R180" s="7">
        <f t="shared" si="20"/>
        <v>2.0217903771186209E-3</v>
      </c>
      <c r="S180" s="2"/>
      <c r="T180" s="6">
        <v>12525</v>
      </c>
      <c r="U180" s="2"/>
      <c r="V180" s="7">
        <f t="shared" si="21"/>
        <v>1.1212157986095653E-3</v>
      </c>
      <c r="W180" s="2"/>
      <c r="X180" s="6">
        <f t="shared" si="22"/>
        <v>8841.9000000000015</v>
      </c>
      <c r="Y180" s="2"/>
      <c r="Z180" s="7">
        <f t="shared" si="23"/>
        <v>0.70594011976047921</v>
      </c>
    </row>
    <row r="181" spans="1:26" s="27" customFormat="1" outlineLevel="1" collapsed="1" x14ac:dyDescent="0.25">
      <c r="A181" s="26"/>
      <c r="B181" s="13" t="str">
        <f>CONCATENATE("     ","*Payroll                                          ")</f>
        <v xml:space="preserve">     *Payroll                                          </v>
      </c>
      <c r="C181" s="13"/>
      <c r="D181" s="1">
        <f>SUM(OSRRefD22_1x_0)</f>
        <v>218236.24999999997</v>
      </c>
      <c r="E181" s="1"/>
      <c r="F181" s="5">
        <f t="shared" ref="F181:F191" si="24">IF(D$12=0,0,D181/D$12)</f>
        <v>0.20363406650446073</v>
      </c>
      <c r="G181" s="1"/>
      <c r="H181" s="1">
        <f>SUM(OSRRefH22_1x_0)</f>
        <v>242239.11308160963</v>
      </c>
      <c r="I181" s="1"/>
      <c r="J181" s="5">
        <f t="shared" ref="J181:J191" si="25">IF(H$12=0,0,H181/H$12)</f>
        <v>0.22074018201204201</v>
      </c>
      <c r="K181" s="1"/>
      <c r="L181" s="1">
        <f t="shared" ref="L181:L191" si="26">+D181-H181</f>
        <v>-24002.863081609656</v>
      </c>
      <c r="M181" s="1"/>
      <c r="N181" s="5">
        <f t="shared" ref="N181:N191" si="27">IF(H181=0,0,L181/H181)</f>
        <v>-9.9087479211184049E-2</v>
      </c>
      <c r="O181" s="13"/>
      <c r="P181" s="1">
        <f>SUM(OSRRefP22_1x_0)</f>
        <v>1887285.16</v>
      </c>
      <c r="Q181" s="1"/>
      <c r="R181" s="5">
        <f t="shared" ref="R181:R191" si="28">IF(P$12=0,0,P181/P$12)</f>
        <v>0.17857971794536298</v>
      </c>
      <c r="S181" s="1"/>
      <c r="T181" s="1">
        <f>SUM(OSRRefT22_1x_0)</f>
        <v>1941433.559579279</v>
      </c>
      <c r="U181" s="1"/>
      <c r="V181" s="5">
        <f t="shared" ref="V181:V191" si="29">IF(T$12=0,0,T181/T$12)</f>
        <v>0.17379369093421895</v>
      </c>
      <c r="W181" s="1"/>
      <c r="X181" s="1">
        <f t="shared" ref="X181:X191" si="30">+P181-T181</f>
        <v>-54148.399579279125</v>
      </c>
      <c r="Y181" s="1"/>
      <c r="Z181" s="5">
        <f t="shared" ref="Z181:Z191" si="31">IF(T181=0,0,X181/T181)</f>
        <v>-2.7890936216747705E-2</v>
      </c>
    </row>
    <row r="182" spans="1:26" s="24" customFormat="1" hidden="1" outlineLevel="2" x14ac:dyDescent="0.25">
      <c r="A182" s="25"/>
      <c r="B182" s="11" t="str">
        <f>CONCATENATE("          ", "6001", " - ", "ADMINISTRATIVE SALARIES")</f>
        <v xml:space="preserve">          6001 - ADMINISTRATIVE SALARIES</v>
      </c>
      <c r="C182" s="11"/>
      <c r="D182" s="6">
        <v>9109.57</v>
      </c>
      <c r="E182" s="2"/>
      <c r="F182" s="7">
        <f t="shared" si="24"/>
        <v>8.5000488379315554E-3</v>
      </c>
      <c r="G182" s="2"/>
      <c r="H182" s="6">
        <v>37696.332694153847</v>
      </c>
      <c r="I182" s="2"/>
      <c r="J182" s="7">
        <f t="shared" si="25"/>
        <v>3.4350750521822862E-2</v>
      </c>
      <c r="K182" s="2"/>
      <c r="L182" s="6">
        <f t="shared" si="26"/>
        <v>-28586.762694153847</v>
      </c>
      <c r="M182" s="2"/>
      <c r="N182" s="7">
        <f t="shared" si="27"/>
        <v>-0.75834333610354721</v>
      </c>
      <c r="O182" s="11"/>
      <c r="P182" s="6">
        <v>88416.11</v>
      </c>
      <c r="Q182" s="2"/>
      <c r="R182" s="7">
        <f t="shared" si="28"/>
        <v>8.3661570176423086E-3</v>
      </c>
      <c r="S182" s="2"/>
      <c r="T182" s="6">
        <v>327327.28542384622</v>
      </c>
      <c r="U182" s="2"/>
      <c r="V182" s="7">
        <f t="shared" si="29"/>
        <v>2.9301758381892123E-2</v>
      </c>
      <c r="W182" s="2"/>
      <c r="X182" s="6">
        <f t="shared" si="30"/>
        <v>-238911.17542384623</v>
      </c>
      <c r="Y182" s="2"/>
      <c r="Z182" s="7">
        <f t="shared" si="31"/>
        <v>-0.72988469358577113</v>
      </c>
    </row>
    <row r="183" spans="1:26" s="24" customFormat="1" hidden="1" outlineLevel="2" x14ac:dyDescent="0.25">
      <c r="A183" s="25"/>
      <c r="B183" s="11" t="str">
        <f>CONCATENATE("          ", "6002", " - ", "STAFF SALARIES")</f>
        <v xml:space="preserve">          6002 - STAFF SALARIES</v>
      </c>
      <c r="C183" s="11"/>
      <c r="D183" s="6">
        <v>63413.63</v>
      </c>
      <c r="E183" s="2"/>
      <c r="F183" s="7">
        <f t="shared" si="24"/>
        <v>5.9170625176657256E-2</v>
      </c>
      <c r="G183" s="2"/>
      <c r="H183" s="6">
        <v>43309.186545646182</v>
      </c>
      <c r="I183" s="2"/>
      <c r="J183" s="7">
        <f t="shared" si="25"/>
        <v>3.9465458733159486E-2</v>
      </c>
      <c r="K183" s="2"/>
      <c r="L183" s="6">
        <f t="shared" si="26"/>
        <v>20104.443454353815</v>
      </c>
      <c r="M183" s="2"/>
      <c r="N183" s="7">
        <f t="shared" si="27"/>
        <v>0.46420736702511189</v>
      </c>
      <c r="O183" s="11"/>
      <c r="P183" s="6">
        <v>594698.61</v>
      </c>
      <c r="Q183" s="2"/>
      <c r="R183" s="7">
        <f t="shared" si="28"/>
        <v>5.6271893769513574E-2</v>
      </c>
      <c r="S183" s="2"/>
      <c r="T183" s="6">
        <v>374941.81427440397</v>
      </c>
      <c r="U183" s="2"/>
      <c r="V183" s="7">
        <f t="shared" si="29"/>
        <v>3.3564126604694218E-2</v>
      </c>
      <c r="W183" s="2"/>
      <c r="X183" s="6">
        <f t="shared" si="30"/>
        <v>219756.79572559602</v>
      </c>
      <c r="Y183" s="2"/>
      <c r="Z183" s="7">
        <f t="shared" si="31"/>
        <v>0.58610906375133009</v>
      </c>
    </row>
    <row r="184" spans="1:26" s="24" customFormat="1" hidden="1" outlineLevel="2" x14ac:dyDescent="0.25">
      <c r="A184" s="25"/>
      <c r="B184" s="11" t="str">
        <f>CONCATENATE("          ", "6003", " - ", "STAFF HOURLY-9 MONTH")</f>
        <v xml:space="preserve">          6003 - STAFF HOURLY-9 MONTH</v>
      </c>
      <c r="C184" s="11"/>
      <c r="D184" s="6"/>
      <c r="E184" s="2"/>
      <c r="F184" s="7">
        <f t="shared" si="24"/>
        <v>0</v>
      </c>
      <c r="G184" s="2"/>
      <c r="H184" s="6">
        <v>0</v>
      </c>
      <c r="I184" s="2"/>
      <c r="J184" s="7">
        <f t="shared" si="25"/>
        <v>0</v>
      </c>
      <c r="K184" s="2"/>
      <c r="L184" s="6">
        <f t="shared" si="26"/>
        <v>0</v>
      </c>
      <c r="M184" s="2"/>
      <c r="N184" s="7">
        <f t="shared" si="27"/>
        <v>0</v>
      </c>
      <c r="O184" s="11"/>
      <c r="P184" s="6"/>
      <c r="Q184" s="2"/>
      <c r="R184" s="7">
        <f t="shared" si="28"/>
        <v>0</v>
      </c>
      <c r="S184" s="2"/>
      <c r="T184" s="6">
        <v>0</v>
      </c>
      <c r="U184" s="2"/>
      <c r="V184" s="7">
        <f t="shared" si="29"/>
        <v>0</v>
      </c>
      <c r="W184" s="2"/>
      <c r="X184" s="6">
        <f t="shared" si="30"/>
        <v>0</v>
      </c>
      <c r="Y184" s="2"/>
      <c r="Z184" s="7">
        <f t="shared" si="31"/>
        <v>0</v>
      </c>
    </row>
    <row r="185" spans="1:26" s="24" customFormat="1" hidden="1" outlineLevel="2" x14ac:dyDescent="0.25">
      <c r="A185" s="25"/>
      <c r="B185" s="11" t="str">
        <f>CONCATENATE("          ", "6004", " - ", "STAFF HOURLY")</f>
        <v xml:space="preserve">          6004 - STAFF HOURLY</v>
      </c>
      <c r="C185" s="11"/>
      <c r="D185" s="6">
        <v>8324.66</v>
      </c>
      <c r="E185" s="2"/>
      <c r="F185" s="7">
        <f t="shared" si="24"/>
        <v>7.7676571516740421E-3</v>
      </c>
      <c r="G185" s="2"/>
      <c r="H185" s="6">
        <v>23493.712381999998</v>
      </c>
      <c r="I185" s="2"/>
      <c r="J185" s="7">
        <f t="shared" si="25"/>
        <v>2.1408625062105866E-2</v>
      </c>
      <c r="K185" s="2"/>
      <c r="L185" s="6">
        <f t="shared" si="26"/>
        <v>-15169.052381999998</v>
      </c>
      <c r="M185" s="2"/>
      <c r="N185" s="7">
        <f t="shared" si="27"/>
        <v>-0.6456643435212035</v>
      </c>
      <c r="O185" s="11"/>
      <c r="P185" s="6">
        <v>29424.57</v>
      </c>
      <c r="Q185" s="2"/>
      <c r="R185" s="7">
        <f t="shared" si="28"/>
        <v>2.7842275892550278E-3</v>
      </c>
      <c r="S185" s="2"/>
      <c r="T185" s="6">
        <v>200787.35053</v>
      </c>
      <c r="U185" s="2"/>
      <c r="V185" s="7">
        <f t="shared" si="29"/>
        <v>1.7974127710594225E-2</v>
      </c>
      <c r="W185" s="2"/>
      <c r="X185" s="6">
        <f t="shared" si="30"/>
        <v>-171362.78052999999</v>
      </c>
      <c r="Y185" s="2"/>
      <c r="Z185" s="7">
        <f t="shared" si="31"/>
        <v>-0.85345406509757382</v>
      </c>
    </row>
    <row r="186" spans="1:26" s="24" customFormat="1" hidden="1" outlineLevel="2" x14ac:dyDescent="0.25">
      <c r="A186" s="25"/>
      <c r="B186" s="11" t="str">
        <f>CONCATENATE("          ", "6005", " - ", "TEMPORARY WAGES-HOURLY")</f>
        <v xml:space="preserve">          6005 - TEMPORARY WAGES-HOURLY</v>
      </c>
      <c r="C186" s="11"/>
      <c r="D186" s="6">
        <v>28979.41</v>
      </c>
      <c r="E186" s="2"/>
      <c r="F186" s="7">
        <f t="shared" si="24"/>
        <v>2.7040398206989145E-2</v>
      </c>
      <c r="G186" s="2"/>
      <c r="H186" s="6">
        <v>4541.9712</v>
      </c>
      <c r="I186" s="2"/>
      <c r="J186" s="7">
        <f t="shared" si="25"/>
        <v>4.1388673225685128E-3</v>
      </c>
      <c r="K186" s="2"/>
      <c r="L186" s="6">
        <f t="shared" si="26"/>
        <v>24437.4388</v>
      </c>
      <c r="M186" s="2"/>
      <c r="N186" s="7">
        <f t="shared" si="27"/>
        <v>5.3803596993305458</v>
      </c>
      <c r="O186" s="11"/>
      <c r="P186" s="6">
        <v>203432.98</v>
      </c>
      <c r="Q186" s="2"/>
      <c r="R186" s="7">
        <f t="shared" si="28"/>
        <v>1.9249345546268521E-2</v>
      </c>
      <c r="S186" s="2"/>
      <c r="T186" s="6">
        <v>37318.782399999996</v>
      </c>
      <c r="U186" s="2"/>
      <c r="V186" s="7">
        <f t="shared" si="29"/>
        <v>3.3407112504393278E-3</v>
      </c>
      <c r="W186" s="2"/>
      <c r="X186" s="6">
        <f t="shared" si="30"/>
        <v>166114.19760000001</v>
      </c>
      <c r="Y186" s="2"/>
      <c r="Z186" s="7">
        <f t="shared" si="31"/>
        <v>4.4512223314123993</v>
      </c>
    </row>
    <row r="187" spans="1:26" s="24" customFormat="1" hidden="1" outlineLevel="2" x14ac:dyDescent="0.25">
      <c r="A187" s="25"/>
      <c r="B187" s="11" t="str">
        <f>CONCATENATE("          ", "6006", " - ", "TEMPORARY PART TIME")</f>
        <v xml:space="preserve">          6006 - TEMPORARY PART TIME</v>
      </c>
      <c r="C187" s="11"/>
      <c r="D187" s="6">
        <v>7092.9</v>
      </c>
      <c r="E187" s="2"/>
      <c r="F187" s="7">
        <f t="shared" si="24"/>
        <v>6.6183141907427828E-3</v>
      </c>
      <c r="G187" s="2"/>
      <c r="H187" s="6">
        <v>0</v>
      </c>
      <c r="I187" s="2"/>
      <c r="J187" s="7">
        <f t="shared" si="25"/>
        <v>0</v>
      </c>
      <c r="K187" s="2"/>
      <c r="L187" s="6">
        <f t="shared" si="26"/>
        <v>7092.9</v>
      </c>
      <c r="M187" s="2"/>
      <c r="N187" s="7">
        <f t="shared" si="27"/>
        <v>0</v>
      </c>
      <c r="O187" s="11"/>
      <c r="P187" s="6">
        <v>39248.76</v>
      </c>
      <c r="Q187" s="2"/>
      <c r="R187" s="7">
        <f t="shared" si="28"/>
        <v>3.7138174130003998E-3</v>
      </c>
      <c r="S187" s="2"/>
      <c r="T187" s="6">
        <v>0</v>
      </c>
      <c r="U187" s="2"/>
      <c r="V187" s="7">
        <f t="shared" si="29"/>
        <v>0</v>
      </c>
      <c r="W187" s="2"/>
      <c r="X187" s="6">
        <f t="shared" si="30"/>
        <v>39248.76</v>
      </c>
      <c r="Y187" s="2"/>
      <c r="Z187" s="7">
        <f t="shared" si="31"/>
        <v>0</v>
      </c>
    </row>
    <row r="188" spans="1:26" s="24" customFormat="1" hidden="1" outlineLevel="2" x14ac:dyDescent="0.25">
      <c r="A188" s="25"/>
      <c r="B188" s="11" t="str">
        <f>CONCATENATE("          ", "6007", " - ", "STUDENT HOURLY")</f>
        <v xml:space="preserve">          6007 - STUDENT HOURLY</v>
      </c>
      <c r="C188" s="11"/>
      <c r="D188" s="6">
        <v>97885.75</v>
      </c>
      <c r="E188" s="2"/>
      <c r="F188" s="7">
        <f t="shared" si="24"/>
        <v>9.1336216258018632E-2</v>
      </c>
      <c r="G188" s="2"/>
      <c r="H188" s="6">
        <v>6304.8898079999999</v>
      </c>
      <c r="I188" s="2"/>
      <c r="J188" s="7">
        <f t="shared" si="25"/>
        <v>5.7453253773882282E-3</v>
      </c>
      <c r="K188" s="2"/>
      <c r="L188" s="6">
        <f t="shared" si="26"/>
        <v>91580.860191999993</v>
      </c>
      <c r="M188" s="2"/>
      <c r="N188" s="7">
        <f t="shared" si="27"/>
        <v>14.525370463381776</v>
      </c>
      <c r="O188" s="11"/>
      <c r="P188" s="6">
        <v>908647.62</v>
      </c>
      <c r="Q188" s="2"/>
      <c r="R188" s="7">
        <f t="shared" si="28"/>
        <v>8.5978546925746704E-2</v>
      </c>
      <c r="S188" s="2"/>
      <c r="T188" s="6">
        <v>174745.40333520001</v>
      </c>
      <c r="U188" s="2"/>
      <c r="V188" s="7">
        <f t="shared" si="29"/>
        <v>1.5642898758788572E-2</v>
      </c>
      <c r="W188" s="2"/>
      <c r="X188" s="6">
        <f t="shared" si="30"/>
        <v>733902.21666479995</v>
      </c>
      <c r="Y188" s="2"/>
      <c r="Z188" s="7">
        <f t="shared" si="31"/>
        <v>4.1998370352381436</v>
      </c>
    </row>
    <row r="189" spans="1:26" s="24" customFormat="1" hidden="1" outlineLevel="2" x14ac:dyDescent="0.25">
      <c r="A189" s="25"/>
      <c r="B189" s="11" t="str">
        <f>CONCATENATE("          ", "6008", " - ", "STUDENT HOURLY-FICA EXEMPT")</f>
        <v xml:space="preserve">          6008 - STUDENT HOURLY-FICA EXEMPT</v>
      </c>
      <c r="C189" s="11"/>
      <c r="D189" s="6">
        <v>3430.33</v>
      </c>
      <c r="E189" s="2"/>
      <c r="F189" s="7">
        <f t="shared" si="24"/>
        <v>3.2008066824473331E-3</v>
      </c>
      <c r="G189" s="2"/>
      <c r="H189" s="6">
        <v>126893.0204518096</v>
      </c>
      <c r="I189" s="2"/>
      <c r="J189" s="7">
        <f t="shared" si="25"/>
        <v>0.11563115499499704</v>
      </c>
      <c r="K189" s="2"/>
      <c r="L189" s="6">
        <f t="shared" si="26"/>
        <v>-123462.6904518096</v>
      </c>
      <c r="M189" s="2"/>
      <c r="N189" s="7">
        <f t="shared" si="27"/>
        <v>-0.97296675587210291</v>
      </c>
      <c r="O189" s="11"/>
      <c r="P189" s="6">
        <v>23416.510000000002</v>
      </c>
      <c r="Q189" s="2"/>
      <c r="R189" s="7">
        <f t="shared" si="28"/>
        <v>2.2157296839364605E-3</v>
      </c>
      <c r="S189" s="2"/>
      <c r="T189" s="6">
        <v>826312.92361582885</v>
      </c>
      <c r="U189" s="2"/>
      <c r="V189" s="7">
        <f t="shared" si="29"/>
        <v>7.3970068227810479E-2</v>
      </c>
      <c r="W189" s="2"/>
      <c r="X189" s="6">
        <f t="shared" si="30"/>
        <v>-802896.41361582885</v>
      </c>
      <c r="Y189" s="2"/>
      <c r="Z189" s="7">
        <f t="shared" si="31"/>
        <v>-0.97166145012287519</v>
      </c>
    </row>
    <row r="190" spans="1:26" s="24" customFormat="1" hidden="1" outlineLevel="2" x14ac:dyDescent="0.25">
      <c r="A190" s="25"/>
      <c r="B190" s="11" t="str">
        <f>CONCATENATE("          ", "6009", " - ", "TEMPORARY-SEASONAL")</f>
        <v xml:space="preserve">          6009 - TEMPORARY-SEASONAL</v>
      </c>
      <c r="C190" s="11"/>
      <c r="D190" s="6"/>
      <c r="E190" s="2"/>
      <c r="F190" s="7">
        <f t="shared" si="24"/>
        <v>0</v>
      </c>
      <c r="G190" s="2"/>
      <c r="H190" s="6">
        <v>0</v>
      </c>
      <c r="I190" s="2"/>
      <c r="J190" s="7">
        <f t="shared" si="25"/>
        <v>0</v>
      </c>
      <c r="K190" s="2"/>
      <c r="L190" s="6">
        <f t="shared" si="26"/>
        <v>0</v>
      </c>
      <c r="M190" s="2"/>
      <c r="N190" s="7">
        <f t="shared" si="27"/>
        <v>0</v>
      </c>
      <c r="O190" s="11"/>
      <c r="P190" s="6"/>
      <c r="Q190" s="2"/>
      <c r="R190" s="7">
        <f t="shared" si="28"/>
        <v>0</v>
      </c>
      <c r="S190" s="2"/>
      <c r="T190" s="6">
        <v>0</v>
      </c>
      <c r="U190" s="2"/>
      <c r="V190" s="7">
        <f t="shared" si="29"/>
        <v>0</v>
      </c>
      <c r="W190" s="2"/>
      <c r="X190" s="6">
        <f t="shared" si="30"/>
        <v>0</v>
      </c>
      <c r="Y190" s="2"/>
      <c r="Z190" s="7">
        <f t="shared" si="31"/>
        <v>0</v>
      </c>
    </row>
    <row r="191" spans="1:26" s="24" customFormat="1" hidden="1" outlineLevel="2" x14ac:dyDescent="0.25">
      <c r="A191" s="25"/>
      <c r="B191" s="11" t="str">
        <f>CONCATENATE("          ", "6010", " - ", "GRATUITY")</f>
        <v xml:space="preserve">          6010 - GRATUITY</v>
      </c>
      <c r="C191" s="11"/>
      <c r="D191" s="6"/>
      <c r="E191" s="2"/>
      <c r="F191" s="7">
        <f t="shared" si="24"/>
        <v>0</v>
      </c>
      <c r="G191" s="2"/>
      <c r="H191" s="6">
        <v>0</v>
      </c>
      <c r="I191" s="2"/>
      <c r="J191" s="7">
        <f t="shared" si="25"/>
        <v>0</v>
      </c>
      <c r="K191" s="2"/>
      <c r="L191" s="6">
        <f t="shared" si="26"/>
        <v>0</v>
      </c>
      <c r="M191" s="2"/>
      <c r="N191" s="7">
        <f t="shared" si="27"/>
        <v>0</v>
      </c>
      <c r="O191" s="11"/>
      <c r="P191" s="6"/>
      <c r="Q191" s="2"/>
      <c r="R191" s="7">
        <f t="shared" si="28"/>
        <v>0</v>
      </c>
      <c r="S191" s="2"/>
      <c r="T191" s="6">
        <v>0</v>
      </c>
      <c r="U191" s="2"/>
      <c r="V191" s="7">
        <f t="shared" si="29"/>
        <v>0</v>
      </c>
      <c r="W191" s="2"/>
      <c r="X191" s="6">
        <f t="shared" si="30"/>
        <v>0</v>
      </c>
      <c r="Y191" s="2"/>
      <c r="Z191" s="7">
        <f t="shared" si="31"/>
        <v>0</v>
      </c>
    </row>
    <row r="192" spans="1:26" s="27" customFormat="1" outlineLevel="1" collapsed="1" x14ac:dyDescent="0.25">
      <c r="A192" s="26"/>
      <c r="B192" s="13" t="str">
        <f>CONCATENATE("     ","Advertising/Promo                                 ")</f>
        <v xml:space="preserve">     Advertising/Promo                                 </v>
      </c>
      <c r="C192" s="13"/>
      <c r="D192" s="1">
        <f>SUM(OSRRefD22_2x_0)</f>
        <v>3328.15</v>
      </c>
      <c r="E192" s="1"/>
      <c r="F192" s="5">
        <f t="shared" ref="F192:F196" si="32">IF(D$12=0,0,D192/D$12)</f>
        <v>3.1054635443782648E-3</v>
      </c>
      <c r="G192" s="1"/>
      <c r="H192" s="1">
        <f>SUM(OSRRefH22_2x_0)</f>
        <v>6370</v>
      </c>
      <c r="I192" s="1"/>
      <c r="J192" s="5">
        <f t="shared" ref="J192:J196" si="33">IF(H$12=0,0,H192/H$12)</f>
        <v>5.8046569834615917E-3</v>
      </c>
      <c r="K192" s="1"/>
      <c r="L192" s="1">
        <f t="shared" ref="L192:L196" si="34">+D192-H192</f>
        <v>-3041.85</v>
      </c>
      <c r="M192" s="1"/>
      <c r="N192" s="5">
        <f t="shared" ref="N192:N196" si="35">IF(H192=0,0,L192/H192)</f>
        <v>-0.47752747252747252</v>
      </c>
      <c r="O192" s="13"/>
      <c r="P192" s="1">
        <f>SUM(OSRRefP22_2x_0)</f>
        <v>46697.16</v>
      </c>
      <c r="Q192" s="1"/>
      <c r="R192" s="5">
        <f t="shared" ref="R192:R196" si="36">IF(P$12=0,0,P192/P$12)</f>
        <v>4.4186039494156183E-3</v>
      </c>
      <c r="S192" s="1"/>
      <c r="T192" s="1">
        <f>SUM(OSRRefT22_2x_0)</f>
        <v>54585</v>
      </c>
      <c r="U192" s="1"/>
      <c r="V192" s="5">
        <f t="shared" ref="V192:V196" si="37">IF(T$12=0,0,T192/T$12)</f>
        <v>4.8863524444792911E-3</v>
      </c>
      <c r="W192" s="1"/>
      <c r="X192" s="1">
        <f t="shared" ref="X192:X196" si="38">+P192-T192</f>
        <v>-7887.8399999999965</v>
      </c>
      <c r="Y192" s="1"/>
      <c r="Z192" s="5">
        <f t="shared" ref="Z192:Z196" si="39">IF(T192=0,0,X192/T192)</f>
        <v>-0.14450563341577349</v>
      </c>
    </row>
    <row r="193" spans="1:26" s="24" customFormat="1" hidden="1" outlineLevel="2" x14ac:dyDescent="0.25">
      <c r="A193" s="25"/>
      <c r="B193" s="11" t="str">
        <f>CONCATENATE("          ", "6362", " - ", "ADVERTISING EXPENSE")</f>
        <v xml:space="preserve">          6362 - ADVERTISING EXPENSE</v>
      </c>
      <c r="C193" s="11"/>
      <c r="D193" s="6">
        <v>3328.15</v>
      </c>
      <c r="E193" s="2"/>
      <c r="F193" s="7">
        <f t="shared" si="32"/>
        <v>3.1054635443782648E-3</v>
      </c>
      <c r="G193" s="2"/>
      <c r="H193" s="6">
        <v>6370</v>
      </c>
      <c r="I193" s="2"/>
      <c r="J193" s="7">
        <f t="shared" si="33"/>
        <v>5.8046569834615917E-3</v>
      </c>
      <c r="K193" s="2"/>
      <c r="L193" s="6">
        <f t="shared" si="34"/>
        <v>-3041.85</v>
      </c>
      <c r="M193" s="2"/>
      <c r="N193" s="7">
        <f t="shared" si="35"/>
        <v>-0.47752747252747252</v>
      </c>
      <c r="O193" s="11"/>
      <c r="P193" s="6">
        <v>46697.16</v>
      </c>
      <c r="Q193" s="2"/>
      <c r="R193" s="7">
        <f t="shared" si="36"/>
        <v>4.4186039494156183E-3</v>
      </c>
      <c r="S193" s="2"/>
      <c r="T193" s="6">
        <v>54585</v>
      </c>
      <c r="U193" s="2"/>
      <c r="V193" s="7">
        <f t="shared" si="37"/>
        <v>4.8863524444792911E-3</v>
      </c>
      <c r="W193" s="2"/>
      <c r="X193" s="6">
        <f t="shared" si="38"/>
        <v>-7887.8399999999965</v>
      </c>
      <c r="Y193" s="2"/>
      <c r="Z193" s="7">
        <f t="shared" si="39"/>
        <v>-0.14450563341577349</v>
      </c>
    </row>
    <row r="194" spans="1:26" s="27" customFormat="1" outlineLevel="1" collapsed="1" x14ac:dyDescent="0.25">
      <c r="A194" s="26"/>
      <c r="B194" s="13" t="str">
        <f>CONCATENATE("     ","Bad Debts/Over/Short                              ")</f>
        <v xml:space="preserve">     Bad Debts/Over/Short                              </v>
      </c>
      <c r="C194" s="13"/>
      <c r="D194" s="1">
        <f>SUM(OSRRefD22_3x_0)</f>
        <v>-104.23</v>
      </c>
      <c r="E194" s="1"/>
      <c r="F194" s="5">
        <f t="shared" si="32"/>
        <v>-9.7255972606567173E-5</v>
      </c>
      <c r="G194" s="1"/>
      <c r="H194" s="1">
        <f>SUM(OSRRefH22_3x_0)</f>
        <v>145</v>
      </c>
      <c r="I194" s="1"/>
      <c r="J194" s="5">
        <f t="shared" si="33"/>
        <v>1.3213112442730468E-4</v>
      </c>
      <c r="K194" s="1"/>
      <c r="L194" s="1">
        <f t="shared" si="34"/>
        <v>-249.23000000000002</v>
      </c>
      <c r="M194" s="1"/>
      <c r="N194" s="5">
        <f t="shared" si="35"/>
        <v>-1.7188275862068967</v>
      </c>
      <c r="O194" s="13"/>
      <c r="P194" s="1">
        <f>SUM(OSRRefP22_3x_0)</f>
        <v>-367.53</v>
      </c>
      <c r="Q194" s="1"/>
      <c r="R194" s="5">
        <f t="shared" si="36"/>
        <v>-3.4776622593937661E-5</v>
      </c>
      <c r="S194" s="1"/>
      <c r="T194" s="1">
        <f>SUM(OSRRefT22_3x_0)</f>
        <v>1160</v>
      </c>
      <c r="U194" s="1"/>
      <c r="V194" s="5">
        <f t="shared" si="37"/>
        <v>1.0384114382332101E-4</v>
      </c>
      <c r="W194" s="1"/>
      <c r="X194" s="1">
        <f t="shared" si="38"/>
        <v>-1527.53</v>
      </c>
      <c r="Y194" s="1"/>
      <c r="Z194" s="5">
        <f t="shared" si="39"/>
        <v>-1.3168362068965518</v>
      </c>
    </row>
    <row r="195" spans="1:26" s="24" customFormat="1" hidden="1" outlineLevel="2" x14ac:dyDescent="0.25">
      <c r="A195" s="25"/>
      <c r="B195" s="11" t="str">
        <f>CONCATENATE("          ", "6272", " - ", "CASH (OVER/SHORT)")</f>
        <v xml:space="preserve">          6272 - CASH (OVER/SHORT)</v>
      </c>
      <c r="C195" s="11"/>
      <c r="D195" s="6">
        <v>-104.23</v>
      </c>
      <c r="E195" s="2"/>
      <c r="F195" s="7">
        <f t="shared" si="32"/>
        <v>-9.7255972606567173E-5</v>
      </c>
      <c r="G195" s="2"/>
      <c r="H195" s="6">
        <v>135</v>
      </c>
      <c r="I195" s="2"/>
      <c r="J195" s="7">
        <f t="shared" si="33"/>
        <v>1.2301863308749057E-4</v>
      </c>
      <c r="K195" s="2"/>
      <c r="L195" s="6">
        <f t="shared" si="34"/>
        <v>-239.23000000000002</v>
      </c>
      <c r="M195" s="2"/>
      <c r="N195" s="7">
        <f t="shared" si="35"/>
        <v>-1.7720740740740741</v>
      </c>
      <c r="O195" s="11"/>
      <c r="P195" s="6">
        <v>-412.33</v>
      </c>
      <c r="Q195" s="2"/>
      <c r="R195" s="7">
        <f t="shared" si="36"/>
        <v>-3.9015712442952457E-5</v>
      </c>
      <c r="S195" s="2"/>
      <c r="T195" s="6">
        <v>1080</v>
      </c>
      <c r="U195" s="2"/>
      <c r="V195" s="7">
        <f t="shared" si="37"/>
        <v>9.6679685628609213E-5</v>
      </c>
      <c r="W195" s="2"/>
      <c r="X195" s="6">
        <f t="shared" si="38"/>
        <v>-1492.33</v>
      </c>
      <c r="Y195" s="2"/>
      <c r="Z195" s="7">
        <f t="shared" si="39"/>
        <v>-1.3817870370370369</v>
      </c>
    </row>
    <row r="196" spans="1:26" s="24" customFormat="1" hidden="1" outlineLevel="2" x14ac:dyDescent="0.25">
      <c r="A196" s="25"/>
      <c r="B196" s="11" t="str">
        <f>CONCATENATE("          ", "6342", " - ", "BAD DEBT")</f>
        <v xml:space="preserve">          6342 - BAD DEBT</v>
      </c>
      <c r="C196" s="11"/>
      <c r="D196" s="6"/>
      <c r="E196" s="2"/>
      <c r="F196" s="7">
        <f t="shared" si="32"/>
        <v>0</v>
      </c>
      <c r="G196" s="2"/>
      <c r="H196" s="6">
        <v>10</v>
      </c>
      <c r="I196" s="2"/>
      <c r="J196" s="7">
        <f t="shared" si="33"/>
        <v>9.112491339814116E-6</v>
      </c>
      <c r="K196" s="2"/>
      <c r="L196" s="6">
        <f t="shared" si="34"/>
        <v>-10</v>
      </c>
      <c r="M196" s="2"/>
      <c r="N196" s="7">
        <f t="shared" si="35"/>
        <v>-1</v>
      </c>
      <c r="O196" s="11"/>
      <c r="P196" s="6">
        <v>44.8</v>
      </c>
      <c r="Q196" s="2"/>
      <c r="R196" s="7">
        <f t="shared" si="36"/>
        <v>4.239089849014794E-6</v>
      </c>
      <c r="S196" s="2"/>
      <c r="T196" s="6">
        <v>80</v>
      </c>
      <c r="U196" s="2"/>
      <c r="V196" s="7">
        <f t="shared" si="37"/>
        <v>7.1614581947117937E-6</v>
      </c>
      <c r="W196" s="2"/>
      <c r="X196" s="6">
        <f t="shared" si="38"/>
        <v>-35.200000000000003</v>
      </c>
      <c r="Y196" s="2"/>
      <c r="Z196" s="7">
        <f t="shared" si="39"/>
        <v>-0.44000000000000006</v>
      </c>
    </row>
    <row r="197" spans="1:26" s="27" customFormat="1" outlineLevel="1" collapsed="1" x14ac:dyDescent="0.25">
      <c r="A197" s="26"/>
      <c r="B197" s="13" t="str">
        <f>CONCATENATE("     ","Bank/card Fees                                    ")</f>
        <v xml:space="preserve">     Bank/card Fees                                    </v>
      </c>
      <c r="C197" s="13"/>
      <c r="D197" s="1">
        <f>SUM(OSRRefD22_4x_0)</f>
        <v>30276.289999999997</v>
      </c>
      <c r="E197" s="1"/>
      <c r="F197" s="5">
        <f t="shared" ref="F197:F203" si="40">IF(D$12=0,0,D197/D$12)</f>
        <v>2.8250503989911573E-2</v>
      </c>
      <c r="G197" s="1"/>
      <c r="H197" s="1">
        <f>SUM(OSRRefH22_4x_0)</f>
        <v>26589</v>
      </c>
      <c r="I197" s="1"/>
      <c r="J197" s="5">
        <f t="shared" ref="J197:J203" si="41">IF(H$12=0,0,H197/H$12)</f>
        <v>2.4229203223431754E-2</v>
      </c>
      <c r="K197" s="1"/>
      <c r="L197" s="1">
        <f t="shared" ref="L197:L203" si="42">+D197-H197</f>
        <v>3687.2899999999972</v>
      </c>
      <c r="M197" s="1"/>
      <c r="N197" s="5">
        <f t="shared" ref="N197:N203" si="43">IF(H197=0,0,L197/H197)</f>
        <v>0.13867727255632017</v>
      </c>
      <c r="O197" s="13"/>
      <c r="P197" s="1">
        <f>SUM(OSRRefP22_4x_0)</f>
        <v>211755.22</v>
      </c>
      <c r="Q197" s="1"/>
      <c r="R197" s="5">
        <f t="shared" ref="R197:R203" si="44">IF(P$12=0,0,P197/P$12)</f>
        <v>2.0036817044149433E-2</v>
      </c>
      <c r="S197" s="1"/>
      <c r="T197" s="1">
        <f>SUM(OSRRefT22_4x_0)</f>
        <v>211553</v>
      </c>
      <c r="U197" s="1"/>
      <c r="V197" s="5">
        <f t="shared" ref="V197:V203" si="45">IF(T$12=0,0,T197/T$12)</f>
        <v>1.8937849568323301E-2</v>
      </c>
      <c r="W197" s="1"/>
      <c r="X197" s="1">
        <f t="shared" ref="X197:X203" si="46">+P197-T197</f>
        <v>202.22000000000116</v>
      </c>
      <c r="Y197" s="1"/>
      <c r="Z197" s="5">
        <f t="shared" ref="Z197:Z203" si="47">IF(T197=0,0,X197/T197)</f>
        <v>9.5588339565026812E-4</v>
      </c>
    </row>
    <row r="198" spans="1:26" s="24" customFormat="1" hidden="1" outlineLevel="2" x14ac:dyDescent="0.25">
      <c r="A198" s="25"/>
      <c r="B198" s="11" t="str">
        <f>CONCATENATE("          ", "6381", " - ", "BANK/CREDIT CARD FEES")</f>
        <v xml:space="preserve">          6381 - BANK/CREDIT CARD FEES</v>
      </c>
      <c r="C198" s="11"/>
      <c r="D198" s="6">
        <v>30276.289999999997</v>
      </c>
      <c r="E198" s="2"/>
      <c r="F198" s="7">
        <f t="shared" si="40"/>
        <v>2.8250503989911573E-2</v>
      </c>
      <c r="G198" s="2"/>
      <c r="H198" s="6">
        <v>26589</v>
      </c>
      <c r="I198" s="2"/>
      <c r="J198" s="7">
        <f t="shared" si="41"/>
        <v>2.4229203223431754E-2</v>
      </c>
      <c r="K198" s="2"/>
      <c r="L198" s="6">
        <f t="shared" si="42"/>
        <v>3687.2899999999972</v>
      </c>
      <c r="M198" s="2"/>
      <c r="N198" s="7">
        <f t="shared" si="43"/>
        <v>0.13867727255632017</v>
      </c>
      <c r="O198" s="11"/>
      <c r="P198" s="6">
        <v>211755.22</v>
      </c>
      <c r="Q198" s="2"/>
      <c r="R198" s="7">
        <f t="shared" si="44"/>
        <v>2.0036817044149433E-2</v>
      </c>
      <c r="S198" s="2"/>
      <c r="T198" s="6">
        <v>211553</v>
      </c>
      <c r="U198" s="2"/>
      <c r="V198" s="7">
        <f t="shared" si="45"/>
        <v>1.8937849568323301E-2</v>
      </c>
      <c r="W198" s="2"/>
      <c r="X198" s="6">
        <f t="shared" si="46"/>
        <v>202.22000000000116</v>
      </c>
      <c r="Y198" s="2"/>
      <c r="Z198" s="7">
        <f t="shared" si="47"/>
        <v>9.5588339565026812E-4</v>
      </c>
    </row>
    <row r="199" spans="1:26" s="27" customFormat="1" outlineLevel="1" collapsed="1" x14ac:dyDescent="0.25">
      <c r="A199" s="26"/>
      <c r="B199" s="13" t="str">
        <f>CONCATENATE("     ","Depreciation                                      ")</f>
        <v xml:space="preserve">     Depreciation                                      </v>
      </c>
      <c r="C199" s="13"/>
      <c r="D199" s="1">
        <f>SUM(OSRRefD22_5x_0)</f>
        <v>38845.11</v>
      </c>
      <c r="E199" s="1"/>
      <c r="F199" s="5">
        <f t="shared" si="40"/>
        <v>3.6245984400451771E-2</v>
      </c>
      <c r="G199" s="1"/>
      <c r="H199" s="1">
        <f>SUM(OSRRefH22_5x_0)</f>
        <v>40505</v>
      </c>
      <c r="I199" s="1"/>
      <c r="J199" s="5">
        <f t="shared" si="41"/>
        <v>3.6910146171917076E-2</v>
      </c>
      <c r="K199" s="1"/>
      <c r="L199" s="1">
        <f t="shared" si="42"/>
        <v>-1659.8899999999994</v>
      </c>
      <c r="M199" s="1"/>
      <c r="N199" s="5">
        <f t="shared" si="43"/>
        <v>-4.097987902728057E-2</v>
      </c>
      <c r="O199" s="13"/>
      <c r="P199" s="1">
        <f>SUM(OSRRefP22_5x_0)</f>
        <v>305548.08</v>
      </c>
      <c r="Q199" s="1"/>
      <c r="R199" s="5">
        <f t="shared" si="44"/>
        <v>2.8911735810579473E-2</v>
      </c>
      <c r="S199" s="1"/>
      <c r="T199" s="1">
        <f>SUM(OSRRefT22_5x_0)</f>
        <v>315703</v>
      </c>
      <c r="U199" s="1"/>
      <c r="V199" s="5">
        <f t="shared" si="45"/>
        <v>2.8261172955563716E-2</v>
      </c>
      <c r="W199" s="1"/>
      <c r="X199" s="1">
        <f t="shared" si="46"/>
        <v>-10154.919999999984</v>
      </c>
      <c r="Y199" s="1"/>
      <c r="Z199" s="5">
        <f t="shared" si="47"/>
        <v>-3.2166054804673959E-2</v>
      </c>
    </row>
    <row r="200" spans="1:26" s="24" customFormat="1" hidden="1" outlineLevel="2" x14ac:dyDescent="0.25">
      <c r="A200" s="25"/>
      <c r="B200" s="11" t="str">
        <f>CONCATENATE("          ", "6321", " - ", "BUILDING DEPRECIATION")</f>
        <v xml:space="preserve">          6321 - BUILDING DEPRECIATION</v>
      </c>
      <c r="C200" s="11"/>
      <c r="D200" s="6">
        <v>21477.030000000002</v>
      </c>
      <c r="E200" s="2"/>
      <c r="F200" s="7">
        <f t="shared" si="40"/>
        <v>2.0040002315556187E-2</v>
      </c>
      <c r="G200" s="2"/>
      <c r="H200" s="6">
        <v>21478</v>
      </c>
      <c r="I200" s="2"/>
      <c r="J200" s="7">
        <f t="shared" si="41"/>
        <v>1.9571808899652758E-2</v>
      </c>
      <c r="K200" s="2"/>
      <c r="L200" s="6">
        <f t="shared" si="42"/>
        <v>-0.96999999999752617</v>
      </c>
      <c r="M200" s="2"/>
      <c r="N200" s="7">
        <f t="shared" si="43"/>
        <v>-4.5162491852012582E-5</v>
      </c>
      <c r="O200" s="11"/>
      <c r="P200" s="6">
        <v>171816.24000000002</v>
      </c>
      <c r="Q200" s="2"/>
      <c r="R200" s="7">
        <f t="shared" si="44"/>
        <v>1.6257689260711826E-2</v>
      </c>
      <c r="S200" s="2"/>
      <c r="T200" s="6">
        <v>171992</v>
      </c>
      <c r="U200" s="2"/>
      <c r="V200" s="7">
        <f t="shared" si="45"/>
        <v>1.5396418972810886E-2</v>
      </c>
      <c r="W200" s="2"/>
      <c r="X200" s="6">
        <f t="shared" si="46"/>
        <v>-175.75999999998021</v>
      </c>
      <c r="Y200" s="2"/>
      <c r="Z200" s="7">
        <f t="shared" si="47"/>
        <v>-1.0219079957206161E-3</v>
      </c>
    </row>
    <row r="201" spans="1:26" s="24" customFormat="1" hidden="1" outlineLevel="2" x14ac:dyDescent="0.25">
      <c r="A201" s="25"/>
      <c r="B201" s="11" t="str">
        <f>CONCATENATE("          ", "6322", " - ", "EQUIPMENT DEPRECIATION EXPENSE")</f>
        <v xml:space="preserve">          6322 - EQUIPMENT DEPRECIATION EXPENSE</v>
      </c>
      <c r="C201" s="11"/>
      <c r="D201" s="6">
        <v>17368.080000000002</v>
      </c>
      <c r="E201" s="2"/>
      <c r="F201" s="7">
        <f t="shared" si="40"/>
        <v>1.6205982084895588E-2</v>
      </c>
      <c r="G201" s="2"/>
      <c r="H201" s="6">
        <v>16224</v>
      </c>
      <c r="I201" s="2"/>
      <c r="J201" s="7">
        <f t="shared" si="41"/>
        <v>1.4784105949714422E-2</v>
      </c>
      <c r="K201" s="2"/>
      <c r="L201" s="6">
        <f t="shared" si="42"/>
        <v>1144.0800000000017</v>
      </c>
      <c r="M201" s="2"/>
      <c r="N201" s="7">
        <f t="shared" si="43"/>
        <v>7.0517751479290042E-2</v>
      </c>
      <c r="O201" s="11"/>
      <c r="P201" s="6">
        <v>133731.84</v>
      </c>
      <c r="Q201" s="2"/>
      <c r="R201" s="7">
        <f t="shared" si="44"/>
        <v>1.2654046549867648E-2</v>
      </c>
      <c r="S201" s="2"/>
      <c r="T201" s="6">
        <v>129792</v>
      </c>
      <c r="U201" s="2"/>
      <c r="V201" s="7">
        <f t="shared" si="45"/>
        <v>1.1618749775100414E-2</v>
      </c>
      <c r="W201" s="2"/>
      <c r="X201" s="6">
        <f t="shared" si="46"/>
        <v>3939.8399999999965</v>
      </c>
      <c r="Y201" s="2"/>
      <c r="Z201" s="7">
        <f t="shared" si="47"/>
        <v>3.035502958579879E-2</v>
      </c>
    </row>
    <row r="202" spans="1:26" s="24" customFormat="1" hidden="1" outlineLevel="2" x14ac:dyDescent="0.25">
      <c r="A202" s="25"/>
      <c r="B202" s="11" t="str">
        <f>CONCATENATE("          ", "6324", " - ", "FURNITURE + FIXT DEPRECIATION")</f>
        <v xml:space="preserve">          6324 - FURNITURE + FIXT DEPRECIATION</v>
      </c>
      <c r="C202" s="11"/>
      <c r="D202" s="6"/>
      <c r="E202" s="2"/>
      <c r="F202" s="7">
        <f t="shared" si="40"/>
        <v>0</v>
      </c>
      <c r="G202" s="2"/>
      <c r="H202" s="6">
        <v>2470</v>
      </c>
      <c r="I202" s="2"/>
      <c r="J202" s="7">
        <f t="shared" si="41"/>
        <v>2.2507853609340868E-3</v>
      </c>
      <c r="K202" s="2"/>
      <c r="L202" s="6">
        <f t="shared" si="42"/>
        <v>-2470</v>
      </c>
      <c r="M202" s="2"/>
      <c r="N202" s="7">
        <f t="shared" si="43"/>
        <v>-1</v>
      </c>
      <c r="O202" s="11"/>
      <c r="P202" s="6"/>
      <c r="Q202" s="2"/>
      <c r="R202" s="7">
        <f t="shared" si="44"/>
        <v>0</v>
      </c>
      <c r="S202" s="2"/>
      <c r="T202" s="6">
        <v>12254</v>
      </c>
      <c r="U202" s="2"/>
      <c r="V202" s="7">
        <f t="shared" si="45"/>
        <v>1.0969563589749789E-3</v>
      </c>
      <c r="W202" s="2"/>
      <c r="X202" s="6">
        <f t="shared" si="46"/>
        <v>-12254</v>
      </c>
      <c r="Y202" s="2"/>
      <c r="Z202" s="7">
        <f t="shared" si="47"/>
        <v>-1</v>
      </c>
    </row>
    <row r="203" spans="1:26" s="24" customFormat="1" hidden="1" outlineLevel="2" x14ac:dyDescent="0.25">
      <c r="A203" s="25"/>
      <c r="B203" s="11" t="str">
        <f>CONCATENATE("          ", "6326", " - ", "VEHICLES DEPRECIATION EXPENSE")</f>
        <v xml:space="preserve">          6326 - VEHICLES DEPRECIATION EXPENSE</v>
      </c>
      <c r="C203" s="11"/>
      <c r="D203" s="6"/>
      <c r="E203" s="2"/>
      <c r="F203" s="7">
        <f t="shared" si="40"/>
        <v>0</v>
      </c>
      <c r="G203" s="2"/>
      <c r="H203" s="6">
        <v>333</v>
      </c>
      <c r="I203" s="2"/>
      <c r="J203" s="7">
        <f t="shared" si="41"/>
        <v>3.0344596161581004E-4</v>
      </c>
      <c r="K203" s="2"/>
      <c r="L203" s="6">
        <f t="shared" si="42"/>
        <v>-333</v>
      </c>
      <c r="M203" s="2"/>
      <c r="N203" s="7">
        <f t="shared" si="43"/>
        <v>-1</v>
      </c>
      <c r="O203" s="11"/>
      <c r="P203" s="6"/>
      <c r="Q203" s="2"/>
      <c r="R203" s="7">
        <f t="shared" si="44"/>
        <v>0</v>
      </c>
      <c r="S203" s="2"/>
      <c r="T203" s="6">
        <v>1665</v>
      </c>
      <c r="U203" s="2"/>
      <c r="V203" s="7">
        <f t="shared" si="45"/>
        <v>1.4904784867743919E-4</v>
      </c>
      <c r="W203" s="2"/>
      <c r="X203" s="6">
        <f t="shared" si="46"/>
        <v>-1665</v>
      </c>
      <c r="Y203" s="2"/>
      <c r="Z203" s="7">
        <f t="shared" si="47"/>
        <v>-1</v>
      </c>
    </row>
    <row r="204" spans="1:26" s="27" customFormat="1" outlineLevel="1" collapsed="1" x14ac:dyDescent="0.25">
      <c r="A204" s="26"/>
      <c r="B204" s="13" t="str">
        <f>CONCATENATE("     ","Discounts and Markdowns                           ")</f>
        <v xml:space="preserve">     Discounts and Markdowns                           </v>
      </c>
      <c r="C204" s="13"/>
      <c r="D204" s="1">
        <f>SUM(OSRRefD22_6x_0)</f>
        <v>34218.160000000003</v>
      </c>
      <c r="E204" s="1"/>
      <c r="F204" s="5">
        <f t="shared" ref="F204:F206" si="48">IF(D$12=0,0,D204/D$12)</f>
        <v>3.1928623540315962E-2</v>
      </c>
      <c r="G204" s="1"/>
      <c r="H204" s="1">
        <f>SUM(OSRRefH22_6x_0)</f>
        <v>27225</v>
      </c>
      <c r="I204" s="1"/>
      <c r="J204" s="5">
        <f t="shared" ref="J204:J206" si="49">IF(H$12=0,0,H204/H$12)</f>
        <v>2.4808757672643931E-2</v>
      </c>
      <c r="K204" s="1"/>
      <c r="L204" s="1">
        <f t="shared" ref="L204:L206" si="50">+D204-H204</f>
        <v>6993.1600000000035</v>
      </c>
      <c r="M204" s="1"/>
      <c r="N204" s="5">
        <f t="shared" ref="N204:N206" si="51">IF(H204=0,0,L204/H204)</f>
        <v>0.25686538108356305</v>
      </c>
      <c r="O204" s="13"/>
      <c r="P204" s="1">
        <f>SUM(OSRRefP22_6x_0)</f>
        <v>258987.00000000003</v>
      </c>
      <c r="Q204" s="1"/>
      <c r="R204" s="5">
        <f t="shared" ref="R204:R206" si="52">IF(P$12=0,0,P204/P$12)</f>
        <v>2.4506008096580236E-2</v>
      </c>
      <c r="S204" s="1"/>
      <c r="T204" s="1">
        <f>SUM(OSRRefT22_6x_0)</f>
        <v>256700.00000000003</v>
      </c>
      <c r="U204" s="1"/>
      <c r="V204" s="5">
        <f t="shared" ref="V204:V206" si="53">IF(T$12=0,0,T204/T$12)</f>
        <v>2.2979328982281472E-2</v>
      </c>
      <c r="W204" s="1"/>
      <c r="X204" s="1">
        <f t="shared" ref="X204:X206" si="54">+P204-T204</f>
        <v>2287</v>
      </c>
      <c r="Y204" s="1"/>
      <c r="Z204" s="5">
        <f t="shared" ref="Z204:Z206" si="55">IF(T204=0,0,X204/T204)</f>
        <v>8.9092325671990633E-3</v>
      </c>
    </row>
    <row r="205" spans="1:26" s="24" customFormat="1" hidden="1" outlineLevel="2" x14ac:dyDescent="0.25">
      <c r="A205" s="25"/>
      <c r="B205" s="11" t="str">
        <f>CONCATENATE("          ", "6382", " - ", "DISCOUNTS/MARK DOWNS")</f>
        <v xml:space="preserve">          6382 - DISCOUNTS/MARK DOWNS</v>
      </c>
      <c r="C205" s="11"/>
      <c r="D205" s="6">
        <v>34406.93</v>
      </c>
      <c r="E205" s="2"/>
      <c r="F205" s="7">
        <f t="shared" si="48"/>
        <v>3.2104762943068924E-2</v>
      </c>
      <c r="G205" s="2"/>
      <c r="H205" s="6">
        <v>27225</v>
      </c>
      <c r="I205" s="2"/>
      <c r="J205" s="7">
        <f t="shared" si="49"/>
        <v>2.4808757672643931E-2</v>
      </c>
      <c r="K205" s="2"/>
      <c r="L205" s="6">
        <f t="shared" si="50"/>
        <v>7181.93</v>
      </c>
      <c r="M205" s="2"/>
      <c r="N205" s="7">
        <f t="shared" si="51"/>
        <v>0.26379908172635447</v>
      </c>
      <c r="O205" s="11"/>
      <c r="P205" s="6">
        <v>262082.77000000002</v>
      </c>
      <c r="Q205" s="2"/>
      <c r="R205" s="7">
        <f t="shared" si="52"/>
        <v>2.4798937721175873E-2</v>
      </c>
      <c r="S205" s="2"/>
      <c r="T205" s="6">
        <v>256700.00000000003</v>
      </c>
      <c r="U205" s="2"/>
      <c r="V205" s="7">
        <f t="shared" si="53"/>
        <v>2.2979328982281472E-2</v>
      </c>
      <c r="W205" s="2"/>
      <c r="X205" s="6">
        <f t="shared" si="54"/>
        <v>5382.7699999999895</v>
      </c>
      <c r="Y205" s="2"/>
      <c r="Z205" s="7">
        <f t="shared" si="55"/>
        <v>2.0969107908063844E-2</v>
      </c>
    </row>
    <row r="206" spans="1:26" s="24" customFormat="1" hidden="1" outlineLevel="2" x14ac:dyDescent="0.25">
      <c r="A206" s="25"/>
      <c r="B206" s="11" t="str">
        <f>CONCATENATE("          ", "9175", " - ", "EARNED DISCOUNTS")</f>
        <v xml:space="preserve">          9175 - EARNED DISCOUNTS</v>
      </c>
      <c r="C206" s="11"/>
      <c r="D206" s="6">
        <v>-188.77</v>
      </c>
      <c r="E206" s="2"/>
      <c r="F206" s="7">
        <f t="shared" si="48"/>
        <v>-1.7613940275296638E-4</v>
      </c>
      <c r="G206" s="2"/>
      <c r="H206" s="6"/>
      <c r="I206" s="2"/>
      <c r="J206" s="7">
        <f t="shared" si="49"/>
        <v>0</v>
      </c>
      <c r="K206" s="2"/>
      <c r="L206" s="6">
        <f t="shared" si="50"/>
        <v>-188.77</v>
      </c>
      <c r="M206" s="2"/>
      <c r="N206" s="7">
        <f t="shared" si="51"/>
        <v>0</v>
      </c>
      <c r="O206" s="11"/>
      <c r="P206" s="6">
        <v>-3095.77</v>
      </c>
      <c r="Q206" s="2"/>
      <c r="R206" s="7">
        <f t="shared" si="52"/>
        <v>-2.9292962459563681E-4</v>
      </c>
      <c r="S206" s="2"/>
      <c r="T206" s="6"/>
      <c r="U206" s="2"/>
      <c r="V206" s="7">
        <f t="shared" si="53"/>
        <v>0</v>
      </c>
      <c r="W206" s="2"/>
      <c r="X206" s="6">
        <f t="shared" si="54"/>
        <v>-3095.77</v>
      </c>
      <c r="Y206" s="2"/>
      <c r="Z206" s="7">
        <f t="shared" si="55"/>
        <v>0</v>
      </c>
    </row>
    <row r="207" spans="1:26" s="27" customFormat="1" outlineLevel="1" collapsed="1" x14ac:dyDescent="0.25">
      <c r="A207" s="26"/>
      <c r="B207" s="13" t="str">
        <f>CONCATENATE("     ","Donations                                         ")</f>
        <v xml:space="preserve">     Donations                                         </v>
      </c>
      <c r="C207" s="13"/>
      <c r="D207" s="1">
        <f>SUM(OSRRefD22_7x_0)</f>
        <v>1804</v>
      </c>
      <c r="E207" s="1"/>
      <c r="F207" s="5">
        <f t="shared" ref="F207:F209" si="56">IF(D$12=0,0,D207/D$12)</f>
        <v>1.6832943929986296E-3</v>
      </c>
      <c r="G207" s="1"/>
      <c r="H207" s="1">
        <f>SUM(OSRRefH22_7x_0)</f>
        <v>1025</v>
      </c>
      <c r="I207" s="1"/>
      <c r="J207" s="5">
        <f t="shared" ref="J207:J209" si="57">IF(H$12=0,0,H207/H$12)</f>
        <v>9.340303623309469E-4</v>
      </c>
      <c r="K207" s="1"/>
      <c r="L207" s="1">
        <f t="shared" ref="L207:L209" si="58">+D207-H207</f>
        <v>779</v>
      </c>
      <c r="M207" s="1"/>
      <c r="N207" s="5">
        <f t="shared" ref="N207:N209" si="59">IF(H207=0,0,L207/H207)</f>
        <v>0.76</v>
      </c>
      <c r="O207" s="13"/>
      <c r="P207" s="1">
        <f>SUM(OSRRefP22_7x_0)</f>
        <v>11602.22</v>
      </c>
      <c r="Q207" s="1"/>
      <c r="R207" s="5">
        <f t="shared" ref="R207:R209" si="60">IF(P$12=0,0,P207/P$12)</f>
        <v>1.0978315408043844E-3</v>
      </c>
      <c r="S207" s="1"/>
      <c r="T207" s="1">
        <f>SUM(OSRRefT22_7x_0)</f>
        <v>8275</v>
      </c>
      <c r="U207" s="1"/>
      <c r="V207" s="5">
        <f t="shared" ref="V207:V209" si="61">IF(T$12=0,0,T207/T$12)</f>
        <v>7.4076333201550121E-4</v>
      </c>
      <c r="W207" s="1"/>
      <c r="X207" s="1">
        <f t="shared" ref="X207:X209" si="62">+P207-T207</f>
        <v>3327.2199999999993</v>
      </c>
      <c r="Y207" s="1"/>
      <c r="Z207" s="5">
        <f t="shared" ref="Z207:Z209" si="63">IF(T207=0,0,X207/T207)</f>
        <v>0.40208096676737154</v>
      </c>
    </row>
    <row r="208" spans="1:26" s="24" customFormat="1" hidden="1" outlineLevel="2" x14ac:dyDescent="0.25">
      <c r="A208" s="25"/>
      <c r="B208" s="11" t="str">
        <f>CONCATENATE("          ", "6395", " - ", "DONATION-OFF CAMPUS")</f>
        <v xml:space="preserve">          6395 - DONATION-OFF CAMPUS</v>
      </c>
      <c r="C208" s="11"/>
      <c r="D208" s="6"/>
      <c r="E208" s="2"/>
      <c r="F208" s="7">
        <f t="shared" si="56"/>
        <v>0</v>
      </c>
      <c r="G208" s="2"/>
      <c r="H208" s="6">
        <v>1025</v>
      </c>
      <c r="I208" s="2"/>
      <c r="J208" s="7">
        <f t="shared" si="57"/>
        <v>9.340303623309469E-4</v>
      </c>
      <c r="K208" s="2"/>
      <c r="L208" s="6">
        <f t="shared" si="58"/>
        <v>-1025</v>
      </c>
      <c r="M208" s="2"/>
      <c r="N208" s="7">
        <f t="shared" si="59"/>
        <v>-1</v>
      </c>
      <c r="O208" s="11"/>
      <c r="P208" s="6"/>
      <c r="Q208" s="2"/>
      <c r="R208" s="7">
        <f t="shared" si="60"/>
        <v>0</v>
      </c>
      <c r="S208" s="2"/>
      <c r="T208" s="6">
        <v>8275</v>
      </c>
      <c r="U208" s="2"/>
      <c r="V208" s="7">
        <f t="shared" si="61"/>
        <v>7.4076333201550121E-4</v>
      </c>
      <c r="W208" s="2"/>
      <c r="X208" s="6">
        <f t="shared" si="62"/>
        <v>-8275</v>
      </c>
      <c r="Y208" s="2"/>
      <c r="Z208" s="7">
        <f t="shared" si="63"/>
        <v>-1</v>
      </c>
    </row>
    <row r="209" spans="1:26" s="24" customFormat="1" hidden="1" outlineLevel="2" x14ac:dyDescent="0.25">
      <c r="A209" s="25"/>
      <c r="B209" s="11" t="str">
        <f>CONCATENATE("          ", "6399", " - ", "DONATION-ON CAMPUS")</f>
        <v xml:space="preserve">          6399 - DONATION-ON CAMPUS</v>
      </c>
      <c r="C209" s="11"/>
      <c r="D209" s="6">
        <v>1804</v>
      </c>
      <c r="E209" s="2"/>
      <c r="F209" s="7">
        <f t="shared" si="56"/>
        <v>1.6832943929986296E-3</v>
      </c>
      <c r="G209" s="2"/>
      <c r="H209" s="6"/>
      <c r="I209" s="2"/>
      <c r="J209" s="7">
        <f t="shared" si="57"/>
        <v>0</v>
      </c>
      <c r="K209" s="2"/>
      <c r="L209" s="6">
        <f t="shared" si="58"/>
        <v>1804</v>
      </c>
      <c r="M209" s="2"/>
      <c r="N209" s="7">
        <f t="shared" si="59"/>
        <v>0</v>
      </c>
      <c r="O209" s="11"/>
      <c r="P209" s="6">
        <v>11602.22</v>
      </c>
      <c r="Q209" s="2"/>
      <c r="R209" s="7">
        <f t="shared" si="60"/>
        <v>1.0978315408043844E-3</v>
      </c>
      <c r="S209" s="2"/>
      <c r="T209" s="6"/>
      <c r="U209" s="2"/>
      <c r="V209" s="7">
        <f t="shared" si="61"/>
        <v>0</v>
      </c>
      <c r="W209" s="2"/>
      <c r="X209" s="6">
        <f t="shared" si="62"/>
        <v>11602.22</v>
      </c>
      <c r="Y209" s="2"/>
      <c r="Z209" s="7">
        <f t="shared" si="63"/>
        <v>0</v>
      </c>
    </row>
    <row r="210" spans="1:26" s="27" customFormat="1" outlineLevel="1" collapsed="1" x14ac:dyDescent="0.25">
      <c r="A210" s="26"/>
      <c r="B210" s="13" t="str">
        <f>CONCATENATE("     ","Employees' Appreciation                           ")</f>
        <v xml:space="preserve">     Employees' Appreciation                           </v>
      </c>
      <c r="C210" s="13"/>
      <c r="D210" s="1">
        <f>SUM(OSRRefD22_8x_0)</f>
        <v>90.54</v>
      </c>
      <c r="E210" s="1"/>
      <c r="F210" s="5">
        <f t="shared" ref="F210:F216" si="64">IF(D$12=0,0,D210/D$12)</f>
        <v>8.4481970256150739E-5</v>
      </c>
      <c r="G210" s="1"/>
      <c r="H210" s="1">
        <f>SUM(OSRRefH22_8x_0)</f>
        <v>725</v>
      </c>
      <c r="I210" s="1"/>
      <c r="J210" s="5">
        <f t="shared" ref="J210:J216" si="65">IF(H$12=0,0,H210/H$12)</f>
        <v>6.6065562213652341E-4</v>
      </c>
      <c r="K210" s="1"/>
      <c r="L210" s="1">
        <f t="shared" ref="L210:L216" si="66">+D210-H210</f>
        <v>-634.46</v>
      </c>
      <c r="M210" s="1"/>
      <c r="N210" s="5">
        <f t="shared" ref="N210:N216" si="67">IF(H210=0,0,L210/H210)</f>
        <v>-0.87511724137931035</v>
      </c>
      <c r="O210" s="13"/>
      <c r="P210" s="1">
        <f>SUM(OSRRefP22_8x_0)</f>
        <v>1421.41</v>
      </c>
      <c r="Q210" s="1"/>
      <c r="R210" s="5">
        <f t="shared" ref="R210:R216" si="68">IF(P$12=0,0,P210/P$12)</f>
        <v>1.3449742639035981E-4</v>
      </c>
      <c r="S210" s="1"/>
      <c r="T210" s="1">
        <f>SUM(OSRRefT22_8x_0)</f>
        <v>5975</v>
      </c>
      <c r="U210" s="1"/>
      <c r="V210" s="5">
        <f t="shared" ref="V210:V216" si="69">IF(T$12=0,0,T210/T$12)</f>
        <v>5.3487140891753712E-4</v>
      </c>
      <c r="W210" s="1"/>
      <c r="X210" s="1">
        <f t="shared" ref="X210:X216" si="70">+P210-T210</f>
        <v>-4553.59</v>
      </c>
      <c r="Y210" s="1"/>
      <c r="Z210" s="5">
        <f t="shared" ref="Z210:Z216" si="71">IF(T210=0,0,X210/T210)</f>
        <v>-0.76210711297071132</v>
      </c>
    </row>
    <row r="211" spans="1:26" s="24" customFormat="1" hidden="1" outlineLevel="2" x14ac:dyDescent="0.25">
      <c r="A211" s="25"/>
      <c r="B211" s="11" t="str">
        <f>CONCATENATE("          ", "6277", " - ", "EMPLOYEE APPRECIATION")</f>
        <v xml:space="preserve">          6277 - EMPLOYEE APPRECIATION</v>
      </c>
      <c r="C211" s="11"/>
      <c r="D211" s="6">
        <v>90.54</v>
      </c>
      <c r="E211" s="2"/>
      <c r="F211" s="7">
        <f t="shared" si="64"/>
        <v>8.4481970256150739E-5</v>
      </c>
      <c r="G211" s="2"/>
      <c r="H211" s="6">
        <v>725</v>
      </c>
      <c r="I211" s="2"/>
      <c r="J211" s="7">
        <f t="shared" si="65"/>
        <v>6.6065562213652341E-4</v>
      </c>
      <c r="K211" s="2"/>
      <c r="L211" s="6">
        <f t="shared" si="66"/>
        <v>-634.46</v>
      </c>
      <c r="M211" s="2"/>
      <c r="N211" s="7">
        <f t="shared" si="67"/>
        <v>-0.87511724137931035</v>
      </c>
      <c r="O211" s="11"/>
      <c r="P211" s="6">
        <v>1421.41</v>
      </c>
      <c r="Q211" s="2"/>
      <c r="R211" s="7">
        <f t="shared" si="68"/>
        <v>1.3449742639035981E-4</v>
      </c>
      <c r="S211" s="2"/>
      <c r="T211" s="6">
        <v>5975</v>
      </c>
      <c r="U211" s="2"/>
      <c r="V211" s="7">
        <f t="shared" si="69"/>
        <v>5.3487140891753712E-4</v>
      </c>
      <c r="W211" s="2"/>
      <c r="X211" s="6">
        <f t="shared" si="70"/>
        <v>-4553.59</v>
      </c>
      <c r="Y211" s="2"/>
      <c r="Z211" s="7">
        <f t="shared" si="71"/>
        <v>-0.76210711297071132</v>
      </c>
    </row>
    <row r="212" spans="1:26" s="27" customFormat="1" outlineLevel="1" collapsed="1" x14ac:dyDescent="0.25">
      <c r="A212" s="26"/>
      <c r="B212" s="13" t="str">
        <f>CONCATENATE("     ","Equipment Rental                                  ")</f>
        <v xml:space="preserve">     Equipment Rental                                  </v>
      </c>
      <c r="C212" s="13"/>
      <c r="D212" s="1">
        <f>SUM(OSRRefD22_9x_0)</f>
        <v>1491.5</v>
      </c>
      <c r="E212" s="1"/>
      <c r="F212" s="5">
        <f t="shared" si="64"/>
        <v>1.3917037622824036E-3</v>
      </c>
      <c r="G212" s="1"/>
      <c r="H212" s="1">
        <f>SUM(OSRRefH22_9x_0)</f>
        <v>3305</v>
      </c>
      <c r="I212" s="1"/>
      <c r="J212" s="5">
        <f t="shared" si="65"/>
        <v>3.0116783878085655E-3</v>
      </c>
      <c r="K212" s="1"/>
      <c r="L212" s="1">
        <f t="shared" si="66"/>
        <v>-1813.5</v>
      </c>
      <c r="M212" s="1"/>
      <c r="N212" s="5">
        <f t="shared" si="67"/>
        <v>-0.54871406959152802</v>
      </c>
      <c r="O212" s="13"/>
      <c r="P212" s="1">
        <f>SUM(OSRRefP22_9x_0)</f>
        <v>14743.77</v>
      </c>
      <c r="Q212" s="1"/>
      <c r="R212" s="5">
        <f t="shared" si="68"/>
        <v>1.3950929853394833E-3</v>
      </c>
      <c r="S212" s="1"/>
      <c r="T212" s="1">
        <f>SUM(OSRRefT22_9x_0)</f>
        <v>26440</v>
      </c>
      <c r="U212" s="1"/>
      <c r="V212" s="5">
        <f t="shared" si="69"/>
        <v>2.366861933352248E-3</v>
      </c>
      <c r="W212" s="1"/>
      <c r="X212" s="1">
        <f t="shared" si="70"/>
        <v>-11696.23</v>
      </c>
      <c r="Y212" s="1"/>
      <c r="Z212" s="5">
        <f t="shared" si="71"/>
        <v>-0.44236875945537063</v>
      </c>
    </row>
    <row r="213" spans="1:26" s="24" customFormat="1" hidden="1" outlineLevel="2" x14ac:dyDescent="0.25">
      <c r="A213" s="25"/>
      <c r="B213" s="11" t="str">
        <f>CONCATENATE("          ", "6351", " - ", "EQUIPMENT RENTAL")</f>
        <v xml:space="preserve">          6351 - EQUIPMENT RENTAL</v>
      </c>
      <c r="C213" s="11"/>
      <c r="D213" s="6">
        <v>1491.5</v>
      </c>
      <c r="E213" s="2"/>
      <c r="F213" s="7">
        <f t="shared" si="64"/>
        <v>1.3917037622824036E-3</v>
      </c>
      <c r="G213" s="2"/>
      <c r="H213" s="6">
        <v>3305</v>
      </c>
      <c r="I213" s="2"/>
      <c r="J213" s="7">
        <f t="shared" si="65"/>
        <v>3.0116783878085655E-3</v>
      </c>
      <c r="K213" s="2"/>
      <c r="L213" s="6">
        <f t="shared" si="66"/>
        <v>-1813.5</v>
      </c>
      <c r="M213" s="2"/>
      <c r="N213" s="7">
        <f t="shared" si="67"/>
        <v>-0.54871406959152802</v>
      </c>
      <c r="O213" s="11"/>
      <c r="P213" s="6">
        <v>14743.77</v>
      </c>
      <c r="Q213" s="2"/>
      <c r="R213" s="7">
        <f t="shared" si="68"/>
        <v>1.3950929853394833E-3</v>
      </c>
      <c r="S213" s="2"/>
      <c r="T213" s="6">
        <v>26440</v>
      </c>
      <c r="U213" s="2"/>
      <c r="V213" s="7">
        <f t="shared" si="69"/>
        <v>2.366861933352248E-3</v>
      </c>
      <c r="W213" s="2"/>
      <c r="X213" s="6">
        <f t="shared" si="70"/>
        <v>-11696.23</v>
      </c>
      <c r="Y213" s="2"/>
      <c r="Z213" s="7">
        <f t="shared" si="71"/>
        <v>-0.44236875945537063</v>
      </c>
    </row>
    <row r="214" spans="1:26" s="27" customFormat="1" outlineLevel="1" collapsed="1" x14ac:dyDescent="0.25">
      <c r="A214" s="26"/>
      <c r="B214" s="13" t="str">
        <f>CONCATENATE("     ","Freight out/Postage                               ")</f>
        <v xml:space="preserve">     Freight out/Postage                               </v>
      </c>
      <c r="C214" s="13"/>
      <c r="D214" s="1">
        <f>SUM(OSRRefD22_10x_0)</f>
        <v>5440.7000000000007</v>
      </c>
      <c r="E214" s="1"/>
      <c r="F214" s="5">
        <f t="shared" si="64"/>
        <v>5.0766628625208681E-3</v>
      </c>
      <c r="G214" s="1"/>
      <c r="H214" s="1">
        <f>SUM(OSRRefH22_10x_0)</f>
        <v>-1210</v>
      </c>
      <c r="I214" s="1"/>
      <c r="J214" s="5">
        <f t="shared" si="65"/>
        <v>-1.102611452117508E-3</v>
      </c>
      <c r="K214" s="1"/>
      <c r="L214" s="1">
        <f t="shared" si="66"/>
        <v>6650.7000000000007</v>
      </c>
      <c r="M214" s="1"/>
      <c r="N214" s="5">
        <f t="shared" si="67"/>
        <v>-5.4964462809917363</v>
      </c>
      <c r="O214" s="13"/>
      <c r="P214" s="1">
        <f>SUM(OSRRefP22_10x_0)</f>
        <v>-983.37000000000262</v>
      </c>
      <c r="Q214" s="1"/>
      <c r="R214" s="5">
        <f t="shared" si="68"/>
        <v>-9.3048968411287705E-5</v>
      </c>
      <c r="S214" s="1"/>
      <c r="T214" s="1">
        <f>SUM(OSRRefT22_10x_0)</f>
        <v>-54380</v>
      </c>
      <c r="U214" s="1"/>
      <c r="V214" s="5">
        <f t="shared" si="69"/>
        <v>-4.8680012078553417E-3</v>
      </c>
      <c r="W214" s="1"/>
      <c r="X214" s="1">
        <f t="shared" si="70"/>
        <v>53396.63</v>
      </c>
      <c r="Y214" s="1"/>
      <c r="Z214" s="5">
        <f t="shared" si="71"/>
        <v>-0.98191669731518938</v>
      </c>
    </row>
    <row r="215" spans="1:26" s="24" customFormat="1" hidden="1" outlineLevel="2" x14ac:dyDescent="0.25">
      <c r="A215" s="25"/>
      <c r="B215" s="11" t="str">
        <f>CONCATENATE("          ", "6305", " - ", "FREIGHT OUT")</f>
        <v xml:space="preserve">          6305 - FREIGHT OUT</v>
      </c>
      <c r="C215" s="11"/>
      <c r="D215" s="6">
        <v>8985.52</v>
      </c>
      <c r="E215" s="2"/>
      <c r="F215" s="7">
        <f t="shared" si="64"/>
        <v>8.3842990211624429E-3</v>
      </c>
      <c r="G215" s="2"/>
      <c r="H215" s="6">
        <v>-1250</v>
      </c>
      <c r="I215" s="2"/>
      <c r="J215" s="7">
        <f t="shared" si="65"/>
        <v>-1.1390614174767646E-3</v>
      </c>
      <c r="K215" s="2"/>
      <c r="L215" s="6">
        <f t="shared" si="66"/>
        <v>10235.52</v>
      </c>
      <c r="M215" s="2"/>
      <c r="N215" s="7">
        <f t="shared" si="67"/>
        <v>-8.1884160000000001</v>
      </c>
      <c r="O215" s="11"/>
      <c r="P215" s="6">
        <v>46239.26</v>
      </c>
      <c r="Q215" s="2"/>
      <c r="R215" s="7">
        <f t="shared" si="68"/>
        <v>4.3752762877668711E-3</v>
      </c>
      <c r="S215" s="2"/>
      <c r="T215" s="6">
        <v>-54700</v>
      </c>
      <c r="U215" s="2"/>
      <c r="V215" s="7">
        <f t="shared" si="69"/>
        <v>-4.8966470406341892E-3</v>
      </c>
      <c r="W215" s="2"/>
      <c r="X215" s="6">
        <f t="shared" si="70"/>
        <v>100939.26000000001</v>
      </c>
      <c r="Y215" s="2"/>
      <c r="Z215" s="7">
        <f t="shared" si="71"/>
        <v>-1.8453246800731262</v>
      </c>
    </row>
    <row r="216" spans="1:26" s="24" customFormat="1" hidden="1" outlineLevel="2" x14ac:dyDescent="0.25">
      <c r="A216" s="25"/>
      <c r="B216" s="11" t="str">
        <f>CONCATENATE("          ", "6307", " - ", "POSTAGE")</f>
        <v xml:space="preserve">          6307 - POSTAGE</v>
      </c>
      <c r="C216" s="11"/>
      <c r="D216" s="6">
        <v>-3544.82</v>
      </c>
      <c r="E216" s="2"/>
      <c r="F216" s="7">
        <f t="shared" si="64"/>
        <v>-3.3076361586415757E-3</v>
      </c>
      <c r="G216" s="2"/>
      <c r="H216" s="6">
        <v>40</v>
      </c>
      <c r="I216" s="2"/>
      <c r="J216" s="7">
        <f t="shared" si="65"/>
        <v>3.6449965359256464E-5</v>
      </c>
      <c r="K216" s="2"/>
      <c r="L216" s="6">
        <f t="shared" si="66"/>
        <v>-3584.82</v>
      </c>
      <c r="M216" s="2"/>
      <c r="N216" s="7">
        <f t="shared" si="67"/>
        <v>-89.620500000000007</v>
      </c>
      <c r="O216" s="11"/>
      <c r="P216" s="6">
        <v>-47222.630000000005</v>
      </c>
      <c r="Q216" s="2"/>
      <c r="R216" s="7">
        <f t="shared" si="68"/>
        <v>-4.468325256178159E-3</v>
      </c>
      <c r="S216" s="2"/>
      <c r="T216" s="6">
        <v>320</v>
      </c>
      <c r="U216" s="2"/>
      <c r="V216" s="7">
        <f t="shared" si="69"/>
        <v>2.8645832778847175E-5</v>
      </c>
      <c r="W216" s="2"/>
      <c r="X216" s="6">
        <f t="shared" si="70"/>
        <v>-47542.630000000005</v>
      </c>
      <c r="Y216" s="2"/>
      <c r="Z216" s="7">
        <f t="shared" si="71"/>
        <v>-148.57071875000003</v>
      </c>
    </row>
    <row r="217" spans="1:26" s="27" customFormat="1" outlineLevel="1" collapsed="1" x14ac:dyDescent="0.25">
      <c r="A217" s="26"/>
      <c r="B217" s="13" t="str">
        <f>CONCATENATE("     ","General                                           ")</f>
        <v xml:space="preserve">     General                                           </v>
      </c>
      <c r="C217" s="13"/>
      <c r="D217" s="1">
        <f>SUM(OSRRefD22_11x_0)</f>
        <v>257.8</v>
      </c>
      <c r="E217" s="1"/>
      <c r="F217" s="5">
        <f t="shared" ref="F217:F235" si="72">IF(D$12=0,0,D217/D$12)</f>
        <v>2.4055060671565785E-4</v>
      </c>
      <c r="G217" s="1"/>
      <c r="H217" s="1">
        <f>SUM(OSRRefH22_11x_0)</f>
        <v>1801</v>
      </c>
      <c r="I217" s="1"/>
      <c r="J217" s="5">
        <f t="shared" ref="J217:J235" si="73">IF(H$12=0,0,H217/H$12)</f>
        <v>1.6411596903005224E-3</v>
      </c>
      <c r="K217" s="1"/>
      <c r="L217" s="1">
        <f t="shared" ref="L217:L235" si="74">+D217-H217</f>
        <v>-1543.2</v>
      </c>
      <c r="M217" s="1"/>
      <c r="N217" s="5">
        <f t="shared" ref="N217:N235" si="75">IF(H217=0,0,L217/H217)</f>
        <v>-0.85685730149916717</v>
      </c>
      <c r="O217" s="13"/>
      <c r="P217" s="1">
        <f>SUM(OSRRefP22_11x_0)</f>
        <v>9699.0499999999993</v>
      </c>
      <c r="Q217" s="1"/>
      <c r="R217" s="5">
        <f t="shared" ref="R217:R235" si="76">IF(P$12=0,0,P217/P$12)</f>
        <v>9.1774875893051199E-4</v>
      </c>
      <c r="S217" s="1"/>
      <c r="T217" s="1">
        <f>SUM(OSRRefT22_11x_0)</f>
        <v>27267</v>
      </c>
      <c r="U217" s="1"/>
      <c r="V217" s="5">
        <f t="shared" ref="V217:V235" si="77">IF(T$12=0,0,T217/T$12)</f>
        <v>2.4408935074400808E-3</v>
      </c>
      <c r="W217" s="1"/>
      <c r="X217" s="1">
        <f t="shared" ref="X217:X235" si="78">+P217-T217</f>
        <v>-17567.95</v>
      </c>
      <c r="Y217" s="1"/>
      <c r="Z217" s="5">
        <f t="shared" ref="Z217:Z235" si="79">IF(T217=0,0,X217/T217)</f>
        <v>-0.64429346829500866</v>
      </c>
    </row>
    <row r="218" spans="1:26" s="24" customFormat="1" hidden="1" outlineLevel="2" x14ac:dyDescent="0.25">
      <c r="A218" s="25"/>
      <c r="B218" s="11" t="str">
        <f>CONCATENATE("          ", "6279", " - ", "GENERAL EXPENSE")</f>
        <v xml:space="preserve">          6279 - GENERAL EXPENSE</v>
      </c>
      <c r="C218" s="11"/>
      <c r="D218" s="6">
        <v>257.8</v>
      </c>
      <c r="E218" s="2"/>
      <c r="F218" s="7">
        <f t="shared" si="72"/>
        <v>2.4055060671565785E-4</v>
      </c>
      <c r="G218" s="2"/>
      <c r="H218" s="6">
        <v>1801</v>
      </c>
      <c r="I218" s="2"/>
      <c r="J218" s="7">
        <f t="shared" si="73"/>
        <v>1.6411596903005224E-3</v>
      </c>
      <c r="K218" s="2"/>
      <c r="L218" s="6">
        <f t="shared" si="74"/>
        <v>-1543.2</v>
      </c>
      <c r="M218" s="2"/>
      <c r="N218" s="7">
        <f t="shared" si="75"/>
        <v>-0.85685730149916717</v>
      </c>
      <c r="O218" s="11"/>
      <c r="P218" s="6">
        <v>9699.0499999999993</v>
      </c>
      <c r="Q218" s="2"/>
      <c r="R218" s="7">
        <f t="shared" si="76"/>
        <v>9.1774875893051199E-4</v>
      </c>
      <c r="S218" s="2"/>
      <c r="T218" s="6">
        <v>27267</v>
      </c>
      <c r="U218" s="2"/>
      <c r="V218" s="7">
        <f t="shared" si="77"/>
        <v>2.4408935074400808E-3</v>
      </c>
      <c r="W218" s="2"/>
      <c r="X218" s="6">
        <f t="shared" si="78"/>
        <v>-17567.95</v>
      </c>
      <c r="Y218" s="2"/>
      <c r="Z218" s="7">
        <f t="shared" si="79"/>
        <v>-0.64429346829500866</v>
      </c>
    </row>
    <row r="219" spans="1:26" s="27" customFormat="1" outlineLevel="1" collapsed="1" x14ac:dyDescent="0.25">
      <c r="A219" s="26"/>
      <c r="B219" s="13" t="str">
        <f>CONCATENATE("     ","Insurance                                         ")</f>
        <v xml:space="preserve">     Insurance                                         </v>
      </c>
      <c r="C219" s="13"/>
      <c r="D219" s="1">
        <f>SUM(OSRRefD22_12x_0)</f>
        <v>4288.28</v>
      </c>
      <c r="E219" s="1"/>
      <c r="F219" s="5">
        <f t="shared" si="72"/>
        <v>4.0013512636408888E-3</v>
      </c>
      <c r="G219" s="1"/>
      <c r="H219" s="1">
        <f>SUM(OSRRefH22_12x_0)</f>
        <v>4045</v>
      </c>
      <c r="I219" s="1"/>
      <c r="J219" s="5">
        <f t="shared" si="73"/>
        <v>3.6860027469548099E-3</v>
      </c>
      <c r="K219" s="1"/>
      <c r="L219" s="1">
        <f t="shared" si="74"/>
        <v>243.27999999999975</v>
      </c>
      <c r="M219" s="1"/>
      <c r="N219" s="5">
        <f t="shared" si="75"/>
        <v>6.0143386897404137E-2</v>
      </c>
      <c r="O219" s="13"/>
      <c r="P219" s="1">
        <f>SUM(OSRRefP22_12x_0)</f>
        <v>34306.239999999998</v>
      </c>
      <c r="Q219" s="1"/>
      <c r="R219" s="5">
        <f t="shared" si="76"/>
        <v>3.246143610309493E-3</v>
      </c>
      <c r="S219" s="1"/>
      <c r="T219" s="1">
        <f>SUM(OSRRefT22_12x_0)</f>
        <v>32360</v>
      </c>
      <c r="U219" s="1"/>
      <c r="V219" s="5">
        <f t="shared" si="77"/>
        <v>2.8968098397609207E-3</v>
      </c>
      <c r="W219" s="1"/>
      <c r="X219" s="1">
        <f t="shared" si="78"/>
        <v>1946.239999999998</v>
      </c>
      <c r="Y219" s="1"/>
      <c r="Z219" s="5">
        <f t="shared" si="79"/>
        <v>6.0143386897404137E-2</v>
      </c>
    </row>
    <row r="220" spans="1:26" s="24" customFormat="1" hidden="1" outlineLevel="2" x14ac:dyDescent="0.25">
      <c r="A220" s="25"/>
      <c r="B220" s="11" t="str">
        <f>CONCATENATE("          ", "6314", " - ", "LIABILITY INSURANCE")</f>
        <v xml:space="preserve">          6314 - LIABILITY INSURANCE</v>
      </c>
      <c r="C220" s="11"/>
      <c r="D220" s="6">
        <v>4288.28</v>
      </c>
      <c r="E220" s="2"/>
      <c r="F220" s="7">
        <f t="shared" si="72"/>
        <v>4.0013512636408888E-3</v>
      </c>
      <c r="G220" s="2"/>
      <c r="H220" s="6">
        <v>4045</v>
      </c>
      <c r="I220" s="2"/>
      <c r="J220" s="7">
        <f t="shared" si="73"/>
        <v>3.6860027469548099E-3</v>
      </c>
      <c r="K220" s="2"/>
      <c r="L220" s="6">
        <f t="shared" si="74"/>
        <v>243.27999999999975</v>
      </c>
      <c r="M220" s="2"/>
      <c r="N220" s="7">
        <f t="shared" si="75"/>
        <v>6.0143386897404137E-2</v>
      </c>
      <c r="O220" s="11"/>
      <c r="P220" s="6">
        <v>34306.239999999998</v>
      </c>
      <c r="Q220" s="2"/>
      <c r="R220" s="7">
        <f t="shared" si="76"/>
        <v>3.246143610309493E-3</v>
      </c>
      <c r="S220" s="2"/>
      <c r="T220" s="6">
        <v>32360</v>
      </c>
      <c r="U220" s="2"/>
      <c r="V220" s="7">
        <f t="shared" si="77"/>
        <v>2.8968098397609207E-3</v>
      </c>
      <c r="W220" s="2"/>
      <c r="X220" s="6">
        <f t="shared" si="78"/>
        <v>1946.239999999998</v>
      </c>
      <c r="Y220" s="2"/>
      <c r="Z220" s="7">
        <f t="shared" si="79"/>
        <v>6.0143386897404137E-2</v>
      </c>
    </row>
    <row r="221" spans="1:26" s="27" customFormat="1" outlineLevel="1" collapsed="1" x14ac:dyDescent="0.25">
      <c r="A221" s="26"/>
      <c r="B221" s="13" t="str">
        <f>CONCATENATE("     ","Interest                                          ")</f>
        <v xml:space="preserve">     Interest                                          </v>
      </c>
      <c r="C221" s="13"/>
      <c r="D221" s="1">
        <f>SUM(OSRRefD22_13x_0)</f>
        <v>4175</v>
      </c>
      <c r="E221" s="1"/>
      <c r="F221" s="5">
        <f t="shared" si="72"/>
        <v>3.8956508263687799E-3</v>
      </c>
      <c r="G221" s="1"/>
      <c r="H221" s="1">
        <f>SUM(OSRRefH22_13x_0)</f>
        <v>4175</v>
      </c>
      <c r="I221" s="1"/>
      <c r="J221" s="5">
        <f t="shared" si="73"/>
        <v>3.8044651343723934E-3</v>
      </c>
      <c r="K221" s="1"/>
      <c r="L221" s="1">
        <f t="shared" si="74"/>
        <v>0</v>
      </c>
      <c r="M221" s="1"/>
      <c r="N221" s="5">
        <f t="shared" si="75"/>
        <v>0</v>
      </c>
      <c r="O221" s="13"/>
      <c r="P221" s="1">
        <f>SUM(OSRRefP22_13x_0)</f>
        <v>33193.950000000004</v>
      </c>
      <c r="Q221" s="1"/>
      <c r="R221" s="5">
        <f t="shared" si="76"/>
        <v>3.1408959038773357E-3</v>
      </c>
      <c r="S221" s="1"/>
      <c r="T221" s="1">
        <f>SUM(OSRRefT22_13x_0)</f>
        <v>33400</v>
      </c>
      <c r="U221" s="1"/>
      <c r="V221" s="5">
        <f t="shared" si="77"/>
        <v>2.989908796292174E-3</v>
      </c>
      <c r="W221" s="1"/>
      <c r="X221" s="1">
        <f t="shared" si="78"/>
        <v>-206.04999999999563</v>
      </c>
      <c r="Y221" s="1"/>
      <c r="Z221" s="5">
        <f t="shared" si="79"/>
        <v>-6.1691616766465758E-3</v>
      </c>
    </row>
    <row r="222" spans="1:26" s="24" customFormat="1" hidden="1" outlineLevel="2" x14ac:dyDescent="0.25">
      <c r="A222" s="25"/>
      <c r="B222" s="11" t="str">
        <f>CONCATENATE("          ", "6401", " - ", "INTEREST EXPENSE")</f>
        <v xml:space="preserve">          6401 - INTEREST EXPENSE</v>
      </c>
      <c r="C222" s="11"/>
      <c r="D222" s="6">
        <v>4175</v>
      </c>
      <c r="E222" s="2"/>
      <c r="F222" s="7">
        <f t="shared" si="72"/>
        <v>3.8956508263687799E-3</v>
      </c>
      <c r="G222" s="2"/>
      <c r="H222" s="6">
        <v>4175</v>
      </c>
      <c r="I222" s="2"/>
      <c r="J222" s="7">
        <f t="shared" si="73"/>
        <v>3.8044651343723934E-3</v>
      </c>
      <c r="K222" s="2"/>
      <c r="L222" s="6">
        <f t="shared" si="74"/>
        <v>0</v>
      </c>
      <c r="M222" s="2"/>
      <c r="N222" s="7">
        <f t="shared" si="75"/>
        <v>0</v>
      </c>
      <c r="O222" s="11"/>
      <c r="P222" s="6">
        <v>33193.950000000004</v>
      </c>
      <c r="Q222" s="2"/>
      <c r="R222" s="7">
        <f t="shared" si="76"/>
        <v>3.1408959038773357E-3</v>
      </c>
      <c r="S222" s="2"/>
      <c r="T222" s="6">
        <v>33400</v>
      </c>
      <c r="U222" s="2"/>
      <c r="V222" s="7">
        <f t="shared" si="77"/>
        <v>2.989908796292174E-3</v>
      </c>
      <c r="W222" s="2"/>
      <c r="X222" s="6">
        <f t="shared" si="78"/>
        <v>-206.04999999999563</v>
      </c>
      <c r="Y222" s="2"/>
      <c r="Z222" s="7">
        <f t="shared" si="79"/>
        <v>-6.1691616766465758E-3</v>
      </c>
    </row>
    <row r="223" spans="1:26" s="27" customFormat="1" outlineLevel="1" collapsed="1" x14ac:dyDescent="0.25">
      <c r="A223" s="26"/>
      <c r="B223" s="13" t="str">
        <f>CONCATENATE("     ","Inventory Adjustment                              ")</f>
        <v xml:space="preserve">     Inventory Adjustment                              </v>
      </c>
      <c r="C223" s="13"/>
      <c r="D223" s="1">
        <f>SUM(OSRRefD22_14x_0)</f>
        <v>4250</v>
      </c>
      <c r="E223" s="1"/>
      <c r="F223" s="5">
        <f t="shared" si="72"/>
        <v>3.9656325777406741E-3</v>
      </c>
      <c r="G223" s="1"/>
      <c r="H223" s="1">
        <f>SUM(OSRRefH22_14x_0)</f>
        <v>4250</v>
      </c>
      <c r="I223" s="1"/>
      <c r="J223" s="5">
        <f t="shared" si="73"/>
        <v>3.8728088194209991E-3</v>
      </c>
      <c r="K223" s="1"/>
      <c r="L223" s="1">
        <f t="shared" si="74"/>
        <v>0</v>
      </c>
      <c r="M223" s="1"/>
      <c r="N223" s="5">
        <f t="shared" si="75"/>
        <v>0</v>
      </c>
      <c r="O223" s="13"/>
      <c r="P223" s="1">
        <f>SUM(OSRRefP22_14x_0)</f>
        <v>39700</v>
      </c>
      <c r="Q223" s="1"/>
      <c r="R223" s="5">
        <f t="shared" si="76"/>
        <v>3.7565148885242709E-3</v>
      </c>
      <c r="S223" s="1"/>
      <c r="T223" s="1">
        <f>SUM(OSRRefT22_14x_0)</f>
        <v>39700</v>
      </c>
      <c r="U223" s="1"/>
      <c r="V223" s="5">
        <f t="shared" si="77"/>
        <v>3.5538736291257276E-3</v>
      </c>
      <c r="W223" s="1"/>
      <c r="X223" s="1">
        <f t="shared" si="78"/>
        <v>0</v>
      </c>
      <c r="Y223" s="1"/>
      <c r="Z223" s="5">
        <f t="shared" si="79"/>
        <v>0</v>
      </c>
    </row>
    <row r="224" spans="1:26" s="24" customFormat="1" hidden="1" outlineLevel="2" x14ac:dyDescent="0.25">
      <c r="A224" s="25"/>
      <c r="B224" s="11" t="str">
        <f>CONCATENATE("          ", "6408", " - ", "INVENTORY ADJUSTMENT")</f>
        <v xml:space="preserve">          6408 - INVENTORY ADJUSTMENT</v>
      </c>
      <c r="C224" s="11"/>
      <c r="D224" s="6">
        <v>4250</v>
      </c>
      <c r="E224" s="2"/>
      <c r="F224" s="7">
        <f t="shared" si="72"/>
        <v>3.9656325777406741E-3</v>
      </c>
      <c r="G224" s="2"/>
      <c r="H224" s="6">
        <v>4250</v>
      </c>
      <c r="I224" s="2"/>
      <c r="J224" s="7">
        <f t="shared" si="73"/>
        <v>3.8728088194209991E-3</v>
      </c>
      <c r="K224" s="2"/>
      <c r="L224" s="6">
        <f t="shared" si="74"/>
        <v>0</v>
      </c>
      <c r="M224" s="2"/>
      <c r="N224" s="7">
        <f t="shared" si="75"/>
        <v>0</v>
      </c>
      <c r="O224" s="11"/>
      <c r="P224" s="6">
        <v>39700</v>
      </c>
      <c r="Q224" s="2"/>
      <c r="R224" s="7">
        <f t="shared" si="76"/>
        <v>3.7565148885242709E-3</v>
      </c>
      <c r="S224" s="2"/>
      <c r="T224" s="6">
        <v>39700</v>
      </c>
      <c r="U224" s="2"/>
      <c r="V224" s="7">
        <f t="shared" si="77"/>
        <v>3.5538736291257276E-3</v>
      </c>
      <c r="W224" s="2"/>
      <c r="X224" s="6">
        <f t="shared" si="78"/>
        <v>0</v>
      </c>
      <c r="Y224" s="2"/>
      <c r="Z224" s="7">
        <f t="shared" si="79"/>
        <v>0</v>
      </c>
    </row>
    <row r="225" spans="1:26" s="27" customFormat="1" outlineLevel="1" collapsed="1" x14ac:dyDescent="0.25">
      <c r="A225" s="26"/>
      <c r="B225" s="13" t="str">
        <f>CONCATENATE("     ","Professional Services                             ")</f>
        <v xml:space="preserve">     Professional Services                             </v>
      </c>
      <c r="C225" s="13"/>
      <c r="D225" s="1">
        <f>SUM(OSRRefD22_15x_0)</f>
        <v>0</v>
      </c>
      <c r="E225" s="1"/>
      <c r="F225" s="5">
        <f t="shared" si="72"/>
        <v>0</v>
      </c>
      <c r="G225" s="1"/>
      <c r="H225" s="1">
        <f>SUM(OSRRefH22_15x_0)</f>
        <v>1015</v>
      </c>
      <c r="I225" s="1"/>
      <c r="J225" s="5">
        <f t="shared" si="73"/>
        <v>9.2491787099113277E-4</v>
      </c>
      <c r="K225" s="1"/>
      <c r="L225" s="1">
        <f t="shared" si="74"/>
        <v>-1015</v>
      </c>
      <c r="M225" s="1"/>
      <c r="N225" s="5">
        <f t="shared" si="75"/>
        <v>-1</v>
      </c>
      <c r="O225" s="13"/>
      <c r="P225" s="1">
        <f>SUM(OSRRefP22_15x_0)</f>
        <v>6199.56</v>
      </c>
      <c r="Q225" s="1"/>
      <c r="R225" s="5">
        <f t="shared" si="76"/>
        <v>5.8661812197228038E-4</v>
      </c>
      <c r="S225" s="1"/>
      <c r="T225" s="1">
        <f>SUM(OSRRefT22_15x_0)</f>
        <v>11020</v>
      </c>
      <c r="U225" s="1"/>
      <c r="V225" s="5">
        <f t="shared" si="77"/>
        <v>9.8649086632154968E-4</v>
      </c>
      <c r="W225" s="1"/>
      <c r="X225" s="1">
        <f t="shared" si="78"/>
        <v>-4820.4399999999996</v>
      </c>
      <c r="Y225" s="1"/>
      <c r="Z225" s="5">
        <f t="shared" si="79"/>
        <v>-0.43742649727767691</v>
      </c>
    </row>
    <row r="226" spans="1:26" s="24" customFormat="1" hidden="1" outlineLevel="2" x14ac:dyDescent="0.25">
      <c r="A226" s="25"/>
      <c r="B226" s="11" t="str">
        <f>CONCATENATE("          ", "6336", " - ", "PROFESSIONAL SERVICES")</f>
        <v xml:space="preserve">          6336 - PROFESSIONAL SERVICES</v>
      </c>
      <c r="C226" s="11"/>
      <c r="D226" s="6"/>
      <c r="E226" s="2"/>
      <c r="F226" s="7">
        <f t="shared" si="72"/>
        <v>0</v>
      </c>
      <c r="G226" s="2"/>
      <c r="H226" s="6">
        <v>1015</v>
      </c>
      <c r="I226" s="2"/>
      <c r="J226" s="7">
        <f t="shared" si="73"/>
        <v>9.2491787099113277E-4</v>
      </c>
      <c r="K226" s="2"/>
      <c r="L226" s="6">
        <f t="shared" si="74"/>
        <v>-1015</v>
      </c>
      <c r="M226" s="2"/>
      <c r="N226" s="7">
        <f t="shared" si="75"/>
        <v>-1</v>
      </c>
      <c r="O226" s="11"/>
      <c r="P226" s="6">
        <v>6199.56</v>
      </c>
      <c r="Q226" s="2"/>
      <c r="R226" s="7">
        <f t="shared" si="76"/>
        <v>5.8661812197228038E-4</v>
      </c>
      <c r="S226" s="2"/>
      <c r="T226" s="6">
        <v>11020</v>
      </c>
      <c r="U226" s="2"/>
      <c r="V226" s="7">
        <f t="shared" si="77"/>
        <v>9.8649086632154968E-4</v>
      </c>
      <c r="W226" s="2"/>
      <c r="X226" s="6">
        <f t="shared" si="78"/>
        <v>-4820.4399999999996</v>
      </c>
      <c r="Y226" s="2"/>
      <c r="Z226" s="7">
        <f t="shared" si="79"/>
        <v>-0.43742649727767691</v>
      </c>
    </row>
    <row r="227" spans="1:26" s="27" customFormat="1" outlineLevel="1" collapsed="1" x14ac:dyDescent="0.25">
      <c r="A227" s="26"/>
      <c r="B227" s="13" t="str">
        <f>CONCATENATE("     ","R/H Commissions                                   ")</f>
        <v xml:space="preserve">     R/H Commissions                                   </v>
      </c>
      <c r="C227" s="13"/>
      <c r="D227" s="1">
        <f>SUM(OSRRefD22_16x_0)</f>
        <v>0</v>
      </c>
      <c r="E227" s="1"/>
      <c r="F227" s="5">
        <f t="shared" si="72"/>
        <v>0</v>
      </c>
      <c r="G227" s="1"/>
      <c r="H227" s="1">
        <f>SUM(OSRRefH22_16x_0)</f>
        <v>0</v>
      </c>
      <c r="I227" s="1"/>
      <c r="J227" s="5">
        <f t="shared" si="73"/>
        <v>0</v>
      </c>
      <c r="K227" s="1"/>
      <c r="L227" s="1">
        <f t="shared" si="74"/>
        <v>0</v>
      </c>
      <c r="M227" s="1"/>
      <c r="N227" s="5">
        <f t="shared" si="75"/>
        <v>0</v>
      </c>
      <c r="O227" s="13"/>
      <c r="P227" s="1">
        <f>SUM(OSRRefP22_16x_0)</f>
        <v>0</v>
      </c>
      <c r="Q227" s="1"/>
      <c r="R227" s="5">
        <f t="shared" si="76"/>
        <v>0</v>
      </c>
      <c r="S227" s="1"/>
      <c r="T227" s="1">
        <f>SUM(OSRRefT22_16x_0)</f>
        <v>0</v>
      </c>
      <c r="U227" s="1"/>
      <c r="V227" s="5">
        <f t="shared" si="77"/>
        <v>0</v>
      </c>
      <c r="W227" s="1"/>
      <c r="X227" s="1">
        <f t="shared" si="78"/>
        <v>0</v>
      </c>
      <c r="Y227" s="1"/>
      <c r="Z227" s="5">
        <f t="shared" si="79"/>
        <v>0</v>
      </c>
    </row>
    <row r="228" spans="1:26" s="24" customFormat="1" hidden="1" outlineLevel="2" x14ac:dyDescent="0.25">
      <c r="A228" s="25"/>
      <c r="B228" s="11" t="str">
        <f>CONCATENATE("          ", "6387", " - ", "COMMISSION DUE HOUSING")</f>
        <v xml:space="preserve">          6387 - COMMISSION DUE HOUSING</v>
      </c>
      <c r="C228" s="11"/>
      <c r="D228" s="6"/>
      <c r="E228" s="2"/>
      <c r="F228" s="7">
        <f t="shared" si="72"/>
        <v>0</v>
      </c>
      <c r="G228" s="2"/>
      <c r="H228" s="6"/>
      <c r="I228" s="2"/>
      <c r="J228" s="7">
        <f t="shared" si="73"/>
        <v>0</v>
      </c>
      <c r="K228" s="2"/>
      <c r="L228" s="6">
        <f t="shared" si="74"/>
        <v>0</v>
      </c>
      <c r="M228" s="2"/>
      <c r="N228" s="7">
        <f t="shared" si="75"/>
        <v>0</v>
      </c>
      <c r="O228" s="11"/>
      <c r="P228" s="6"/>
      <c r="Q228" s="2"/>
      <c r="R228" s="7">
        <f t="shared" si="76"/>
        <v>0</v>
      </c>
      <c r="S228" s="2"/>
      <c r="T228" s="6">
        <v>0</v>
      </c>
      <c r="U228" s="2"/>
      <c r="V228" s="7">
        <f t="shared" si="77"/>
        <v>0</v>
      </c>
      <c r="W228" s="2"/>
      <c r="X228" s="6">
        <f t="shared" si="78"/>
        <v>0</v>
      </c>
      <c r="Y228" s="2"/>
      <c r="Z228" s="7">
        <f t="shared" si="79"/>
        <v>0</v>
      </c>
    </row>
    <row r="229" spans="1:26" s="27" customFormat="1" outlineLevel="1" collapsed="1" x14ac:dyDescent="0.25">
      <c r="A229" s="26"/>
      <c r="B229" s="13" t="str">
        <f>CONCATENATE("     ","Rent                                              ")</f>
        <v xml:space="preserve">     Rent                                              </v>
      </c>
      <c r="C229" s="13"/>
      <c r="D229" s="1">
        <f>SUM(OSRRefD22_17x_0)</f>
        <v>7250</v>
      </c>
      <c r="E229" s="1"/>
      <c r="F229" s="5">
        <f t="shared" si="72"/>
        <v>6.7649026326164442E-3</v>
      </c>
      <c r="G229" s="1"/>
      <c r="H229" s="1">
        <f>SUM(OSRRefH22_17x_0)</f>
        <v>7550</v>
      </c>
      <c r="I229" s="1"/>
      <c r="J229" s="5">
        <f t="shared" si="73"/>
        <v>6.8799309615596577E-3</v>
      </c>
      <c r="K229" s="1"/>
      <c r="L229" s="1">
        <f t="shared" si="74"/>
        <v>-300</v>
      </c>
      <c r="M229" s="1"/>
      <c r="N229" s="5">
        <f t="shared" si="75"/>
        <v>-3.9735099337748346E-2</v>
      </c>
      <c r="O229" s="13"/>
      <c r="P229" s="1">
        <f>SUM(OSRRefP22_17x_0)</f>
        <v>59600</v>
      </c>
      <c r="Q229" s="1"/>
      <c r="R229" s="5">
        <f t="shared" si="76"/>
        <v>5.6395034598500388E-3</v>
      </c>
      <c r="S229" s="1"/>
      <c r="T229" s="1">
        <f>SUM(OSRRefT22_17x_0)</f>
        <v>60400</v>
      </c>
      <c r="U229" s="1"/>
      <c r="V229" s="5">
        <f t="shared" si="77"/>
        <v>5.406900937007404E-3</v>
      </c>
      <c r="W229" s="1"/>
      <c r="X229" s="1">
        <f t="shared" si="78"/>
        <v>-800</v>
      </c>
      <c r="Y229" s="1"/>
      <c r="Z229" s="5">
        <f t="shared" si="79"/>
        <v>-1.3245033112582781E-2</v>
      </c>
    </row>
    <row r="230" spans="1:26" s="24" customFormat="1" hidden="1" outlineLevel="2" x14ac:dyDescent="0.25">
      <c r="A230" s="25"/>
      <c r="B230" s="11" t="str">
        <f>CONCATENATE("          ", "6273", " - ", "RENT")</f>
        <v xml:space="preserve">          6273 - RENT</v>
      </c>
      <c r="C230" s="11"/>
      <c r="D230" s="6">
        <v>7250</v>
      </c>
      <c r="E230" s="2"/>
      <c r="F230" s="7">
        <f t="shared" si="72"/>
        <v>6.7649026326164442E-3</v>
      </c>
      <c r="G230" s="2"/>
      <c r="H230" s="6">
        <v>7550</v>
      </c>
      <c r="I230" s="2"/>
      <c r="J230" s="7">
        <f t="shared" si="73"/>
        <v>6.8799309615596577E-3</v>
      </c>
      <c r="K230" s="2"/>
      <c r="L230" s="6">
        <f t="shared" si="74"/>
        <v>-300</v>
      </c>
      <c r="M230" s="2"/>
      <c r="N230" s="7">
        <f t="shared" si="75"/>
        <v>-3.9735099337748346E-2</v>
      </c>
      <c r="O230" s="11"/>
      <c r="P230" s="6">
        <v>59600</v>
      </c>
      <c r="Q230" s="2"/>
      <c r="R230" s="7">
        <f t="shared" si="76"/>
        <v>5.6395034598500388E-3</v>
      </c>
      <c r="S230" s="2"/>
      <c r="T230" s="6">
        <v>60400</v>
      </c>
      <c r="U230" s="2"/>
      <c r="V230" s="7">
        <f t="shared" si="77"/>
        <v>5.406900937007404E-3</v>
      </c>
      <c r="W230" s="2"/>
      <c r="X230" s="6">
        <f t="shared" si="78"/>
        <v>-800</v>
      </c>
      <c r="Y230" s="2"/>
      <c r="Z230" s="7">
        <f t="shared" si="79"/>
        <v>-1.3245033112582781E-2</v>
      </c>
    </row>
    <row r="231" spans="1:26" s="27" customFormat="1" outlineLevel="1" collapsed="1" x14ac:dyDescent="0.25">
      <c r="A231" s="26"/>
      <c r="B231" s="13" t="str">
        <f>CONCATENATE("     ","Repair and Maintenance                            ")</f>
        <v xml:space="preserve">     Repair and Maintenance                            </v>
      </c>
      <c r="C231" s="13"/>
      <c r="D231" s="1">
        <f>SUM(OSRRefD22_18x_0)</f>
        <v>7464.75</v>
      </c>
      <c r="E231" s="1"/>
      <c r="F231" s="5">
        <f t="shared" si="72"/>
        <v>6.9652837140446342E-3</v>
      </c>
      <c r="G231" s="1"/>
      <c r="H231" s="1">
        <f>SUM(OSRRefH22_18x_0)</f>
        <v>15850</v>
      </c>
      <c r="I231" s="1"/>
      <c r="J231" s="5">
        <f t="shared" si="73"/>
        <v>1.4443298773605374E-2</v>
      </c>
      <c r="K231" s="1"/>
      <c r="L231" s="1">
        <f t="shared" si="74"/>
        <v>-8385.25</v>
      </c>
      <c r="M231" s="1"/>
      <c r="N231" s="5">
        <f t="shared" si="75"/>
        <v>-0.52903785488958988</v>
      </c>
      <c r="O231" s="13"/>
      <c r="P231" s="1">
        <f>SUM(OSRRefP22_18x_0)</f>
        <v>123893.56</v>
      </c>
      <c r="Q231" s="1"/>
      <c r="R231" s="5">
        <f t="shared" si="76"/>
        <v>1.1723123494515745E-2</v>
      </c>
      <c r="S231" s="1"/>
      <c r="T231" s="1">
        <f>SUM(OSRRefT22_18x_0)</f>
        <v>172004</v>
      </c>
      <c r="U231" s="1"/>
      <c r="V231" s="5">
        <f t="shared" si="77"/>
        <v>1.5397493191540093E-2</v>
      </c>
      <c r="W231" s="1"/>
      <c r="X231" s="1">
        <f t="shared" si="78"/>
        <v>-48110.44</v>
      </c>
      <c r="Y231" s="1"/>
      <c r="Z231" s="5">
        <f t="shared" si="79"/>
        <v>-0.27970535568940258</v>
      </c>
    </row>
    <row r="232" spans="1:26" s="24" customFormat="1" hidden="1" outlineLevel="2" x14ac:dyDescent="0.25">
      <c r="A232" s="25"/>
      <c r="B232" s="11" t="str">
        <f>CONCATENATE("          ", "6371", " - ", "COMPUTER SOFTWARE MAINTENANCE")</f>
        <v xml:space="preserve">          6371 - COMPUTER SOFTWARE MAINTENANCE</v>
      </c>
      <c r="C232" s="11"/>
      <c r="D232" s="6">
        <v>601</v>
      </c>
      <c r="E232" s="2"/>
      <c r="F232" s="7">
        <f t="shared" si="72"/>
        <v>5.607871009934459E-4</v>
      </c>
      <c r="G232" s="2"/>
      <c r="H232" s="6"/>
      <c r="I232" s="2"/>
      <c r="J232" s="7">
        <f t="shared" si="73"/>
        <v>0</v>
      </c>
      <c r="K232" s="2"/>
      <c r="L232" s="6">
        <f t="shared" si="74"/>
        <v>601</v>
      </c>
      <c r="M232" s="2"/>
      <c r="N232" s="7">
        <f t="shared" si="75"/>
        <v>0</v>
      </c>
      <c r="O232" s="11"/>
      <c r="P232" s="6">
        <v>16467.329999999998</v>
      </c>
      <c r="Q232" s="2"/>
      <c r="R232" s="7">
        <f t="shared" si="76"/>
        <v>1.5581806125753747E-3</v>
      </c>
      <c r="S232" s="2"/>
      <c r="T232" s="6">
        <v>48535</v>
      </c>
      <c r="U232" s="2"/>
      <c r="V232" s="7">
        <f t="shared" si="77"/>
        <v>4.3447671685042117E-3</v>
      </c>
      <c r="W232" s="2"/>
      <c r="X232" s="6">
        <f t="shared" si="78"/>
        <v>-32067.670000000002</v>
      </c>
      <c r="Y232" s="2"/>
      <c r="Z232" s="7">
        <f t="shared" si="79"/>
        <v>-0.66071226949623985</v>
      </c>
    </row>
    <row r="233" spans="1:26" s="24" customFormat="1" hidden="1" outlineLevel="2" x14ac:dyDescent="0.25">
      <c r="A233" s="25"/>
      <c r="B233" s="11" t="str">
        <f>CONCATENATE("          ", "6372", " - ", "COMPUTER HARDWARE MAINTENANCE")</f>
        <v xml:space="preserve">          6372 - COMPUTER HARDWARE MAINTENANCE</v>
      </c>
      <c r="C233" s="11"/>
      <c r="D233" s="6"/>
      <c r="E233" s="2"/>
      <c r="F233" s="7">
        <f t="shared" si="72"/>
        <v>0</v>
      </c>
      <c r="G233" s="2"/>
      <c r="H233" s="6"/>
      <c r="I233" s="2"/>
      <c r="J233" s="7">
        <f t="shared" si="73"/>
        <v>0</v>
      </c>
      <c r="K233" s="2"/>
      <c r="L233" s="6">
        <f t="shared" si="74"/>
        <v>0</v>
      </c>
      <c r="M233" s="2"/>
      <c r="N233" s="7">
        <f t="shared" si="75"/>
        <v>0</v>
      </c>
      <c r="O233" s="11"/>
      <c r="P233" s="6">
        <v>52.32</v>
      </c>
      <c r="Q233" s="2"/>
      <c r="R233" s="7">
        <f t="shared" si="76"/>
        <v>4.950651359385135E-6</v>
      </c>
      <c r="S233" s="2"/>
      <c r="T233" s="6">
        <v>2000</v>
      </c>
      <c r="U233" s="2"/>
      <c r="V233" s="7">
        <f t="shared" si="77"/>
        <v>1.7903645486779484E-4</v>
      </c>
      <c r="W233" s="2"/>
      <c r="X233" s="6">
        <f t="shared" si="78"/>
        <v>-1947.68</v>
      </c>
      <c r="Y233" s="2"/>
      <c r="Z233" s="7">
        <f t="shared" si="79"/>
        <v>-0.97384000000000004</v>
      </c>
    </row>
    <row r="234" spans="1:26" s="24" customFormat="1" hidden="1" outlineLevel="2" x14ac:dyDescent="0.25">
      <c r="A234" s="25"/>
      <c r="B234" s="11" t="str">
        <f>CONCATENATE("          ", "6373", " - ", "MAINTENANCE CONTRACTS")</f>
        <v xml:space="preserve">          6373 - MAINTENANCE CONTRACTS</v>
      </c>
      <c r="C234" s="11"/>
      <c r="D234" s="6">
        <v>4914.58</v>
      </c>
      <c r="E234" s="2"/>
      <c r="F234" s="7">
        <f t="shared" si="72"/>
        <v>4.5857455420971202E-3</v>
      </c>
      <c r="G234" s="2"/>
      <c r="H234" s="6">
        <v>7040</v>
      </c>
      <c r="I234" s="2"/>
      <c r="J234" s="7">
        <f t="shared" si="73"/>
        <v>6.4151939032291378E-3</v>
      </c>
      <c r="K234" s="2"/>
      <c r="L234" s="6">
        <f t="shared" si="74"/>
        <v>-2125.42</v>
      </c>
      <c r="M234" s="2"/>
      <c r="N234" s="7">
        <f t="shared" si="75"/>
        <v>-0.30190624999999999</v>
      </c>
      <c r="O234" s="11"/>
      <c r="P234" s="6">
        <v>58036.700000000004</v>
      </c>
      <c r="Q234" s="2"/>
      <c r="R234" s="7">
        <f t="shared" si="76"/>
        <v>5.4915800410785028E-3</v>
      </c>
      <c r="S234" s="2"/>
      <c r="T234" s="6">
        <v>56395</v>
      </c>
      <c r="U234" s="2"/>
      <c r="V234" s="7">
        <f t="shared" si="77"/>
        <v>5.0483804361346448E-3</v>
      </c>
      <c r="W234" s="2"/>
      <c r="X234" s="6">
        <f t="shared" si="78"/>
        <v>1641.7000000000044</v>
      </c>
      <c r="Y234" s="2"/>
      <c r="Z234" s="7">
        <f t="shared" si="79"/>
        <v>2.9110736767443999E-2</v>
      </c>
    </row>
    <row r="235" spans="1:26" s="24" customFormat="1" hidden="1" outlineLevel="2" x14ac:dyDescent="0.25">
      <c r="A235" s="25"/>
      <c r="B235" s="11" t="str">
        <f>CONCATENATE("          ", "6375", " - ", "OUTSIDE REPAIRS &amp; MAINTENANCE")</f>
        <v xml:space="preserve">          6375 - OUTSIDE REPAIRS &amp; MAINTENANCE</v>
      </c>
      <c r="C235" s="11"/>
      <c r="D235" s="6">
        <v>1949.17</v>
      </c>
      <c r="E235" s="2"/>
      <c r="F235" s="7">
        <f t="shared" si="72"/>
        <v>1.8187510709540683E-3</v>
      </c>
      <c r="G235" s="2"/>
      <c r="H235" s="6">
        <v>8810</v>
      </c>
      <c r="I235" s="2"/>
      <c r="J235" s="7">
        <f t="shared" si="73"/>
        <v>8.0281048703762358E-3</v>
      </c>
      <c r="K235" s="2"/>
      <c r="L235" s="6">
        <f t="shared" si="74"/>
        <v>-6860.83</v>
      </c>
      <c r="M235" s="2"/>
      <c r="N235" s="7">
        <f t="shared" si="75"/>
        <v>-0.77875482406356411</v>
      </c>
      <c r="O235" s="11"/>
      <c r="P235" s="6">
        <v>49337.21</v>
      </c>
      <c r="Q235" s="2"/>
      <c r="R235" s="7">
        <f t="shared" si="76"/>
        <v>4.6684121895024817E-3</v>
      </c>
      <c r="S235" s="2"/>
      <c r="T235" s="6">
        <v>65074</v>
      </c>
      <c r="U235" s="2"/>
      <c r="V235" s="7">
        <f t="shared" si="77"/>
        <v>5.8253091320334405E-3</v>
      </c>
      <c r="W235" s="2"/>
      <c r="X235" s="6">
        <f t="shared" si="78"/>
        <v>-15736.79</v>
      </c>
      <c r="Y235" s="2"/>
      <c r="Z235" s="7">
        <f t="shared" si="79"/>
        <v>-0.2418291483541814</v>
      </c>
    </row>
    <row r="236" spans="1:26" s="27" customFormat="1" outlineLevel="1" collapsed="1" x14ac:dyDescent="0.25">
      <c r="A236" s="26"/>
      <c r="B236" s="13" t="str">
        <f>CONCATENATE("     ","Royalty &amp; Commissions                             ")</f>
        <v xml:space="preserve">     Royalty &amp; Commissions                             </v>
      </c>
      <c r="C236" s="13"/>
      <c r="D236" s="1">
        <f>SUM(OSRRefD22_19x_0)</f>
        <v>24310.91</v>
      </c>
      <c r="E236" s="1"/>
      <c r="F236" s="5">
        <f t="shared" ref="F236:F240" si="80">IF(D$12=0,0,D236/D$12)</f>
        <v>2.2684267456593302E-2</v>
      </c>
      <c r="G236" s="1"/>
      <c r="H236" s="1">
        <f>SUM(OSRRefH22_19x_0)</f>
        <v>20059</v>
      </c>
      <c r="I236" s="1"/>
      <c r="J236" s="5">
        <f t="shared" ref="J236:J240" si="81">IF(H$12=0,0,H236/H$12)</f>
        <v>1.8278746378533134E-2</v>
      </c>
      <c r="K236" s="1"/>
      <c r="L236" s="1">
        <f t="shared" ref="L236:L240" si="82">+D236-H236</f>
        <v>4251.91</v>
      </c>
      <c r="M236" s="1"/>
      <c r="N236" s="5">
        <f t="shared" ref="N236:N240" si="83">IF(H236=0,0,L236/H236)</f>
        <v>0.21197018794556058</v>
      </c>
      <c r="O236" s="13"/>
      <c r="P236" s="1">
        <f>SUM(OSRRefP22_19x_0)</f>
        <v>111737.86</v>
      </c>
      <c r="Q236" s="1"/>
      <c r="R236" s="5">
        <f t="shared" ref="R236:R240" si="84">IF(P$12=0,0,P236/P$12)</f>
        <v>1.0572920269567772E-2</v>
      </c>
      <c r="S236" s="1"/>
      <c r="T236" s="1">
        <f>SUM(OSRRefT22_19x_0)</f>
        <v>152363</v>
      </c>
      <c r="U236" s="1"/>
      <c r="V236" s="5">
        <f t="shared" ref="V236:V240" si="85">IF(T$12=0,0,T236/T$12)</f>
        <v>1.3639265686510913E-2</v>
      </c>
      <c r="W236" s="1"/>
      <c r="X236" s="1">
        <f t="shared" ref="X236:X240" si="86">+P236-T236</f>
        <v>-40625.14</v>
      </c>
      <c r="Y236" s="1"/>
      <c r="Z236" s="5">
        <f t="shared" ref="Z236:Z240" si="87">IF(T236=0,0,X236/T236)</f>
        <v>-0.26663389405564342</v>
      </c>
    </row>
    <row r="237" spans="1:26" s="24" customFormat="1" hidden="1" outlineLevel="2" x14ac:dyDescent="0.25">
      <c r="A237" s="25"/>
      <c r="B237" s="11" t="str">
        <f>CONCATENATE("          ", "6252", " - ", "ROYALTY DUE CSTV")</f>
        <v xml:space="preserve">          6252 - ROYALTY DUE CSTV</v>
      </c>
      <c r="C237" s="11"/>
      <c r="D237" s="6"/>
      <c r="E237" s="2"/>
      <c r="F237" s="7">
        <f t="shared" si="80"/>
        <v>0</v>
      </c>
      <c r="G237" s="2"/>
      <c r="H237" s="6">
        <v>1085</v>
      </c>
      <c r="I237" s="2"/>
      <c r="J237" s="7">
        <f t="shared" si="81"/>
        <v>9.8870531036983149E-4</v>
      </c>
      <c r="K237" s="2"/>
      <c r="L237" s="6">
        <f t="shared" si="82"/>
        <v>-1085</v>
      </c>
      <c r="M237" s="2"/>
      <c r="N237" s="7">
        <f t="shared" si="83"/>
        <v>-1</v>
      </c>
      <c r="O237" s="11"/>
      <c r="P237" s="6"/>
      <c r="Q237" s="2"/>
      <c r="R237" s="7">
        <f t="shared" si="84"/>
        <v>0</v>
      </c>
      <c r="S237" s="2"/>
      <c r="T237" s="6">
        <v>8680</v>
      </c>
      <c r="U237" s="2"/>
      <c r="V237" s="7">
        <f t="shared" si="85"/>
        <v>7.7701821412622964E-4</v>
      </c>
      <c r="W237" s="2"/>
      <c r="X237" s="6">
        <f t="shared" si="86"/>
        <v>-8680</v>
      </c>
      <c r="Y237" s="2"/>
      <c r="Z237" s="7">
        <f t="shared" si="87"/>
        <v>-1</v>
      </c>
    </row>
    <row r="238" spans="1:26" s="24" customFormat="1" hidden="1" outlineLevel="2" x14ac:dyDescent="0.25">
      <c r="A238" s="25"/>
      <c r="B238" s="11" t="str">
        <f>CONCATENATE("          ", "6253", " - ", "ROYALTY DUE ATHLETICS-LRG")</f>
        <v xml:space="preserve">          6253 - ROYALTY DUE ATHLETICS-LRG</v>
      </c>
      <c r="C238" s="11"/>
      <c r="D238" s="6">
        <v>12278.49</v>
      </c>
      <c r="E238" s="2"/>
      <c r="F238" s="7">
        <f t="shared" si="80"/>
        <v>1.1456936458697197E-2</v>
      </c>
      <c r="G238" s="2"/>
      <c r="H238" s="6">
        <v>3700</v>
      </c>
      <c r="I238" s="2"/>
      <c r="J238" s="7">
        <f t="shared" si="81"/>
        <v>3.3716217957312231E-3</v>
      </c>
      <c r="K238" s="2"/>
      <c r="L238" s="6">
        <f t="shared" si="82"/>
        <v>8578.49</v>
      </c>
      <c r="M238" s="2"/>
      <c r="N238" s="7">
        <f t="shared" si="83"/>
        <v>2.3185108108108108</v>
      </c>
      <c r="O238" s="11"/>
      <c r="P238" s="6">
        <v>16645.439999999999</v>
      </c>
      <c r="Q238" s="2"/>
      <c r="R238" s="7">
        <f t="shared" si="84"/>
        <v>1.5750338334014468E-3</v>
      </c>
      <c r="S238" s="2"/>
      <c r="T238" s="6">
        <v>29600</v>
      </c>
      <c r="U238" s="2"/>
      <c r="V238" s="7">
        <f t="shared" si="85"/>
        <v>2.6497395320433637E-3</v>
      </c>
      <c r="W238" s="2"/>
      <c r="X238" s="6">
        <f t="shared" si="86"/>
        <v>-12954.560000000001</v>
      </c>
      <c r="Y238" s="2"/>
      <c r="Z238" s="7">
        <f t="shared" si="87"/>
        <v>-0.43765405405405411</v>
      </c>
    </row>
    <row r="239" spans="1:26" s="24" customFormat="1" hidden="1" outlineLevel="2" x14ac:dyDescent="0.25">
      <c r="A239" s="25"/>
      <c r="B239" s="11" t="str">
        <f>CONCATENATE("          ", "6254", " - ", "ROYALTY &amp; COMMISSIONS")</f>
        <v xml:space="preserve">          6254 - ROYALTY &amp; COMMISSIONS</v>
      </c>
      <c r="C239" s="11"/>
      <c r="D239" s="6">
        <v>3471.1</v>
      </c>
      <c r="E239" s="2"/>
      <c r="F239" s="7">
        <f t="shared" si="80"/>
        <v>3.238848762493095E-3</v>
      </c>
      <c r="G239" s="2"/>
      <c r="H239" s="6">
        <v>11700</v>
      </c>
      <c r="I239" s="2"/>
      <c r="J239" s="7">
        <f t="shared" si="81"/>
        <v>1.0661614867582516E-2</v>
      </c>
      <c r="K239" s="2"/>
      <c r="L239" s="6">
        <f t="shared" si="82"/>
        <v>-8228.9</v>
      </c>
      <c r="M239" s="2"/>
      <c r="N239" s="7">
        <f t="shared" si="83"/>
        <v>-0.70332478632478634</v>
      </c>
      <c r="O239" s="11"/>
      <c r="P239" s="6">
        <v>22130.54</v>
      </c>
      <c r="Q239" s="2"/>
      <c r="R239" s="7">
        <f t="shared" si="84"/>
        <v>2.0940479345360687E-3</v>
      </c>
      <c r="S239" s="2"/>
      <c r="T239" s="6">
        <v>93600</v>
      </c>
      <c r="U239" s="2"/>
      <c r="V239" s="7">
        <f t="shared" si="85"/>
        <v>8.3789060878127989E-3</v>
      </c>
      <c r="W239" s="2"/>
      <c r="X239" s="6">
        <f t="shared" si="86"/>
        <v>-71469.459999999992</v>
      </c>
      <c r="Y239" s="2"/>
      <c r="Z239" s="7">
        <f t="shared" si="87"/>
        <v>-0.76356260683760679</v>
      </c>
    </row>
    <row r="240" spans="1:26" s="24" customFormat="1" hidden="1" outlineLevel="2" x14ac:dyDescent="0.25">
      <c r="A240" s="25"/>
      <c r="B240" s="11" t="str">
        <f>CONCATENATE("          ", "6259", " - ", "ROYALTY &amp; COMMISSIONS")</f>
        <v xml:space="preserve">          6259 - ROYALTY &amp; COMMISSIONS</v>
      </c>
      <c r="C240" s="11"/>
      <c r="D240" s="6">
        <v>8561.32</v>
      </c>
      <c r="E240" s="2"/>
      <c r="F240" s="7">
        <f t="shared" si="80"/>
        <v>7.9884822354030095E-3</v>
      </c>
      <c r="G240" s="2"/>
      <c r="H240" s="6">
        <v>3574</v>
      </c>
      <c r="I240" s="2"/>
      <c r="J240" s="7">
        <f t="shared" si="81"/>
        <v>3.2568044048495652E-3</v>
      </c>
      <c r="K240" s="2"/>
      <c r="L240" s="6">
        <f t="shared" si="82"/>
        <v>4987.32</v>
      </c>
      <c r="M240" s="2"/>
      <c r="N240" s="7">
        <f t="shared" si="83"/>
        <v>1.3954448796866255</v>
      </c>
      <c r="O240" s="11"/>
      <c r="P240" s="6">
        <v>72961.88</v>
      </c>
      <c r="Q240" s="2"/>
      <c r="R240" s="7">
        <f t="shared" si="84"/>
        <v>6.903838501630258E-3</v>
      </c>
      <c r="S240" s="2"/>
      <c r="T240" s="6">
        <v>20483</v>
      </c>
      <c r="U240" s="2"/>
      <c r="V240" s="7">
        <f t="shared" si="85"/>
        <v>1.8336018525285209E-3</v>
      </c>
      <c r="W240" s="2"/>
      <c r="X240" s="6">
        <f t="shared" si="86"/>
        <v>52478.880000000005</v>
      </c>
      <c r="Y240" s="2"/>
      <c r="Z240" s="7">
        <f t="shared" si="87"/>
        <v>2.5620700092759852</v>
      </c>
    </row>
    <row r="241" spans="1:26" s="27" customFormat="1" outlineLevel="1" collapsed="1" x14ac:dyDescent="0.25">
      <c r="A241" s="26"/>
      <c r="B241" s="13" t="str">
        <f>CONCATENATE("     ","Services                                          ")</f>
        <v xml:space="preserve">     Services                                          </v>
      </c>
      <c r="C241" s="13"/>
      <c r="D241" s="1">
        <f>SUM(OSRRefD22_20x_0)</f>
        <v>6719.49</v>
      </c>
      <c r="E241" s="1"/>
      <c r="F241" s="5">
        <f t="shared" ref="F241:F247" si="88">IF(D$12=0,0,D241/D$12)</f>
        <v>6.2698890470123956E-3</v>
      </c>
      <c r="G241" s="1"/>
      <c r="H241" s="1">
        <f>SUM(OSRRefH22_20x_0)</f>
        <v>5488.5</v>
      </c>
      <c r="I241" s="1"/>
      <c r="J241" s="5">
        <f t="shared" ref="J241:J247" si="89">IF(H$12=0,0,H241/H$12)</f>
        <v>5.0013908718569778E-3</v>
      </c>
      <c r="K241" s="1"/>
      <c r="L241" s="1">
        <f t="shared" ref="L241:L247" si="90">+D241-H241</f>
        <v>1230.9899999999998</v>
      </c>
      <c r="M241" s="1"/>
      <c r="N241" s="5">
        <f t="shared" ref="N241:N247" si="91">IF(H241=0,0,L241/H241)</f>
        <v>0.22428532385897781</v>
      </c>
      <c r="O241" s="13"/>
      <c r="P241" s="1">
        <f>SUM(OSRRefP22_20x_0)</f>
        <v>51558.53</v>
      </c>
      <c r="Q241" s="1"/>
      <c r="R241" s="5">
        <f t="shared" ref="R241:R247" si="92">IF(P$12=0,0,P241/P$12)</f>
        <v>4.8785991328822486E-3</v>
      </c>
      <c r="S241" s="1"/>
      <c r="T241" s="1">
        <f>SUM(OSRRefT22_20x_0)</f>
        <v>42702</v>
      </c>
      <c r="U241" s="1"/>
      <c r="V241" s="5">
        <f t="shared" ref="V241:V247" si="93">IF(T$12=0,0,T241/T$12)</f>
        <v>3.8226073478822876E-3</v>
      </c>
      <c r="W241" s="1"/>
      <c r="X241" s="1">
        <f t="shared" ref="X241:X247" si="94">+P241-T241</f>
        <v>8856.5299999999988</v>
      </c>
      <c r="Y241" s="1"/>
      <c r="Z241" s="5">
        <f t="shared" ref="Z241:Z247" si="95">IF(T241=0,0,X241/T241)</f>
        <v>0.20740316612805018</v>
      </c>
    </row>
    <row r="242" spans="1:26" s="24" customFormat="1" hidden="1" outlineLevel="2" x14ac:dyDescent="0.25">
      <c r="A242" s="25"/>
      <c r="B242" s="11" t="str">
        <f>CONCATENATE("          ", "6281", " - ", "STORAGE FEE")</f>
        <v xml:space="preserve">          6281 - STORAGE FEE</v>
      </c>
      <c r="C242" s="11"/>
      <c r="D242" s="6"/>
      <c r="E242" s="2"/>
      <c r="F242" s="7">
        <f t="shared" si="88"/>
        <v>0</v>
      </c>
      <c r="G242" s="2"/>
      <c r="H242" s="6"/>
      <c r="I242" s="2"/>
      <c r="J242" s="7">
        <f t="shared" si="89"/>
        <v>0</v>
      </c>
      <c r="K242" s="2"/>
      <c r="L242" s="6">
        <f t="shared" si="90"/>
        <v>0</v>
      </c>
      <c r="M242" s="2"/>
      <c r="N242" s="7">
        <f t="shared" si="91"/>
        <v>0</v>
      </c>
      <c r="O242" s="11"/>
      <c r="P242" s="6"/>
      <c r="Q242" s="2"/>
      <c r="R242" s="7">
        <f t="shared" si="92"/>
        <v>0</v>
      </c>
      <c r="S242" s="2"/>
      <c r="T242" s="6">
        <v>0</v>
      </c>
      <c r="U242" s="2"/>
      <c r="V242" s="7">
        <f t="shared" si="93"/>
        <v>0</v>
      </c>
      <c r="W242" s="2"/>
      <c r="X242" s="6">
        <f t="shared" si="94"/>
        <v>0</v>
      </c>
      <c r="Y242" s="2"/>
      <c r="Z242" s="7">
        <f t="shared" si="95"/>
        <v>0</v>
      </c>
    </row>
    <row r="243" spans="1:26" s="24" customFormat="1" hidden="1" outlineLevel="2" x14ac:dyDescent="0.25">
      <c r="A243" s="25"/>
      <c r="B243" s="11" t="str">
        <f>CONCATENATE("          ", "6282", " - ", "JANITORIAL/EXTERMINATOR EXPENS")</f>
        <v xml:space="preserve">          6282 - JANITORIAL/EXTERMINATOR EXPENS</v>
      </c>
      <c r="C243" s="11"/>
      <c r="D243" s="6">
        <v>1066.94</v>
      </c>
      <c r="E243" s="2"/>
      <c r="F243" s="7">
        <f t="shared" si="88"/>
        <v>9.9555106411638463E-4</v>
      </c>
      <c r="G243" s="2"/>
      <c r="H243" s="6">
        <v>618</v>
      </c>
      <c r="I243" s="2"/>
      <c r="J243" s="7">
        <f t="shared" si="89"/>
        <v>5.6315196480051239E-4</v>
      </c>
      <c r="K243" s="2"/>
      <c r="L243" s="6">
        <f t="shared" si="90"/>
        <v>448.94000000000005</v>
      </c>
      <c r="M243" s="2"/>
      <c r="N243" s="7">
        <f t="shared" si="91"/>
        <v>0.72644012944983827</v>
      </c>
      <c r="O243" s="11"/>
      <c r="P243" s="6">
        <v>7590.83</v>
      </c>
      <c r="Q243" s="2"/>
      <c r="R243" s="7">
        <f t="shared" si="92"/>
        <v>7.182636249686824E-4</v>
      </c>
      <c r="S243" s="2"/>
      <c r="T243" s="6">
        <v>4146</v>
      </c>
      <c r="U243" s="2"/>
      <c r="V243" s="7">
        <f t="shared" si="93"/>
        <v>3.7114257094093871E-4</v>
      </c>
      <c r="W243" s="2"/>
      <c r="X243" s="6">
        <f t="shared" si="94"/>
        <v>3444.83</v>
      </c>
      <c r="Y243" s="2"/>
      <c r="Z243" s="7">
        <f t="shared" si="95"/>
        <v>0.83088036661842735</v>
      </c>
    </row>
    <row r="244" spans="1:26" s="24" customFormat="1" hidden="1" outlineLevel="2" x14ac:dyDescent="0.25">
      <c r="A244" s="25"/>
      <c r="B244" s="11" t="str">
        <f>CONCATENATE("          ", "6283", " - ", "PLANT SERVICE")</f>
        <v xml:space="preserve">          6283 - PLANT SERVICE</v>
      </c>
      <c r="C244" s="11"/>
      <c r="D244" s="6"/>
      <c r="E244" s="2"/>
      <c r="F244" s="7">
        <f t="shared" si="88"/>
        <v>0</v>
      </c>
      <c r="G244" s="2"/>
      <c r="H244" s="6">
        <v>60</v>
      </c>
      <c r="I244" s="2"/>
      <c r="J244" s="7">
        <f t="shared" si="89"/>
        <v>5.4674948038884693E-5</v>
      </c>
      <c r="K244" s="2"/>
      <c r="L244" s="6">
        <f t="shared" si="90"/>
        <v>-60</v>
      </c>
      <c r="M244" s="2"/>
      <c r="N244" s="7">
        <f t="shared" si="91"/>
        <v>-1</v>
      </c>
      <c r="O244" s="11"/>
      <c r="P244" s="6">
        <v>541.98</v>
      </c>
      <c r="Q244" s="2"/>
      <c r="R244" s="7">
        <f t="shared" si="92"/>
        <v>5.1283524918951747E-5</v>
      </c>
      <c r="S244" s="2"/>
      <c r="T244" s="6">
        <v>480</v>
      </c>
      <c r="U244" s="2"/>
      <c r="V244" s="7">
        <f t="shared" si="93"/>
        <v>4.296874916827076E-5</v>
      </c>
      <c r="W244" s="2"/>
      <c r="X244" s="6">
        <f t="shared" si="94"/>
        <v>61.980000000000018</v>
      </c>
      <c r="Y244" s="2"/>
      <c r="Z244" s="7">
        <f t="shared" si="95"/>
        <v>0.12912500000000005</v>
      </c>
    </row>
    <row r="245" spans="1:26" s="24" customFormat="1" hidden="1" outlineLevel="2" x14ac:dyDescent="0.25">
      <c r="A245" s="25"/>
      <c r="B245" s="11" t="str">
        <f>CONCATENATE("          ", "6284", " - ", "TRASH REMOVAL EXPENSE")</f>
        <v xml:space="preserve">          6284 - TRASH REMOVAL EXPENSE</v>
      </c>
      <c r="C245" s="11"/>
      <c r="D245" s="6">
        <v>423.82</v>
      </c>
      <c r="E245" s="2"/>
      <c r="F245" s="7">
        <f t="shared" si="88"/>
        <v>3.9546221155248296E-4</v>
      </c>
      <c r="G245" s="2"/>
      <c r="H245" s="6">
        <v>212.5</v>
      </c>
      <c r="I245" s="2"/>
      <c r="J245" s="7">
        <f t="shared" si="89"/>
        <v>1.9364044097104995E-4</v>
      </c>
      <c r="K245" s="2"/>
      <c r="L245" s="6">
        <f t="shared" si="90"/>
        <v>211.32</v>
      </c>
      <c r="M245" s="2"/>
      <c r="N245" s="7">
        <f t="shared" si="91"/>
        <v>0.99444705882352935</v>
      </c>
      <c r="O245" s="11"/>
      <c r="P245" s="6">
        <v>3389.56</v>
      </c>
      <c r="Q245" s="2"/>
      <c r="R245" s="7">
        <f t="shared" si="92"/>
        <v>3.2072878099612915E-4</v>
      </c>
      <c r="S245" s="2"/>
      <c r="T245" s="6">
        <v>1700</v>
      </c>
      <c r="U245" s="2"/>
      <c r="V245" s="7">
        <f t="shared" si="93"/>
        <v>1.5218098663762563E-4</v>
      </c>
      <c r="W245" s="2"/>
      <c r="X245" s="6">
        <f t="shared" si="94"/>
        <v>1689.56</v>
      </c>
      <c r="Y245" s="2"/>
      <c r="Z245" s="7">
        <f t="shared" si="95"/>
        <v>0.99385882352941168</v>
      </c>
    </row>
    <row r="246" spans="1:26" s="24" customFormat="1" hidden="1" outlineLevel="2" x14ac:dyDescent="0.25">
      <c r="A246" s="25"/>
      <c r="B246" s="11" t="str">
        <f>CONCATENATE("          ", "6285", " - ", "JANITORIAL SERVICES")</f>
        <v xml:space="preserve">          6285 - JANITORIAL SERVICES</v>
      </c>
      <c r="C246" s="11"/>
      <c r="D246" s="6">
        <v>4502.66</v>
      </c>
      <c r="E246" s="2"/>
      <c r="F246" s="7">
        <f t="shared" si="88"/>
        <v>4.2013871017623113E-3</v>
      </c>
      <c r="G246" s="2"/>
      <c r="H246" s="6">
        <v>4508</v>
      </c>
      <c r="I246" s="2"/>
      <c r="J246" s="7">
        <f t="shared" si="89"/>
        <v>4.1079110959882032E-3</v>
      </c>
      <c r="K246" s="2"/>
      <c r="L246" s="6">
        <f t="shared" si="90"/>
        <v>-5.3400000000001455</v>
      </c>
      <c r="M246" s="2"/>
      <c r="N246" s="7">
        <f t="shared" si="91"/>
        <v>-1.1845607808341051E-3</v>
      </c>
      <c r="O246" s="11"/>
      <c r="P246" s="6">
        <v>34166.080000000002</v>
      </c>
      <c r="Q246" s="2"/>
      <c r="R246" s="7">
        <f t="shared" si="92"/>
        <v>3.2328813149247186E-3</v>
      </c>
      <c r="S246" s="2"/>
      <c r="T246" s="6">
        <v>35791</v>
      </c>
      <c r="U246" s="2"/>
      <c r="V246" s="7">
        <f t="shared" si="93"/>
        <v>3.2039468780866226E-3</v>
      </c>
      <c r="W246" s="2"/>
      <c r="X246" s="6">
        <f t="shared" si="94"/>
        <v>-1624.9199999999983</v>
      </c>
      <c r="Y246" s="2"/>
      <c r="Z246" s="7">
        <f t="shared" si="95"/>
        <v>-4.54002402838702E-2</v>
      </c>
    </row>
    <row r="247" spans="1:26" s="24" customFormat="1" hidden="1" outlineLevel="2" x14ac:dyDescent="0.25">
      <c r="A247" s="25"/>
      <c r="B247" s="11" t="str">
        <f>CONCATENATE("          ", "6286", " - ", "LAUNDRY EXPENSE")</f>
        <v xml:space="preserve">          6286 - LAUNDRY EXPENSE</v>
      </c>
      <c r="C247" s="11"/>
      <c r="D247" s="6">
        <v>726.07</v>
      </c>
      <c r="E247" s="2"/>
      <c r="F247" s="7">
        <f t="shared" si="88"/>
        <v>6.7748866958121682E-4</v>
      </c>
      <c r="G247" s="2"/>
      <c r="H247" s="6">
        <v>90</v>
      </c>
      <c r="I247" s="2"/>
      <c r="J247" s="7">
        <f t="shared" si="89"/>
        <v>8.2012422058327049E-5</v>
      </c>
      <c r="K247" s="2"/>
      <c r="L247" s="6">
        <f t="shared" si="90"/>
        <v>636.07000000000005</v>
      </c>
      <c r="M247" s="2"/>
      <c r="N247" s="7">
        <f t="shared" si="91"/>
        <v>7.0674444444444449</v>
      </c>
      <c r="O247" s="11"/>
      <c r="P247" s="6">
        <v>5870.08</v>
      </c>
      <c r="Q247" s="2"/>
      <c r="R247" s="7">
        <f t="shared" si="92"/>
        <v>5.5544188707376703E-4</v>
      </c>
      <c r="S247" s="2"/>
      <c r="T247" s="6">
        <v>585</v>
      </c>
      <c r="U247" s="2"/>
      <c r="V247" s="7">
        <f t="shared" si="93"/>
        <v>5.2368163048829989E-5</v>
      </c>
      <c r="W247" s="2"/>
      <c r="X247" s="6">
        <f t="shared" si="94"/>
        <v>5285.08</v>
      </c>
      <c r="Y247" s="2"/>
      <c r="Z247" s="7">
        <f t="shared" si="95"/>
        <v>9.0343247863247864</v>
      </c>
    </row>
    <row r="248" spans="1:26" s="27" customFormat="1" outlineLevel="1" collapsed="1" x14ac:dyDescent="0.25">
      <c r="A248" s="26"/>
      <c r="B248" s="13" t="str">
        <f>CONCATENATE("     ","Subscriptions &amp; Dues                              ")</f>
        <v xml:space="preserve">     Subscriptions &amp; Dues                              </v>
      </c>
      <c r="C248" s="13"/>
      <c r="D248" s="1">
        <f>SUM(OSRRefD22_21x_0)</f>
        <v>1680.77</v>
      </c>
      <c r="E248" s="1"/>
      <c r="F248" s="5">
        <f t="shared" ref="F248:F250" si="96">IF(D$12=0,0,D248/D$12)</f>
        <v>1.568309710044516E-3</v>
      </c>
      <c r="G248" s="1"/>
      <c r="H248" s="1">
        <f>SUM(OSRRefH22_21x_0)</f>
        <v>1195</v>
      </c>
      <c r="I248" s="1"/>
      <c r="J248" s="5">
        <f t="shared" ref="J248:J250" si="97">IF(H$12=0,0,H248/H$12)</f>
        <v>1.0889427151077869E-3</v>
      </c>
      <c r="K248" s="1"/>
      <c r="L248" s="1">
        <f t="shared" ref="L248:L250" si="98">+D248-H248</f>
        <v>485.77</v>
      </c>
      <c r="M248" s="1"/>
      <c r="N248" s="5">
        <f t="shared" ref="N248:N250" si="99">IF(H248=0,0,L248/H248)</f>
        <v>0.40650209205020921</v>
      </c>
      <c r="O248" s="13"/>
      <c r="P248" s="1">
        <f>SUM(OSRRefP22_21x_0)</f>
        <v>5716.43</v>
      </c>
      <c r="Q248" s="1"/>
      <c r="R248" s="5">
        <f t="shared" ref="R248:R250" si="100">IF(P$12=0,0,P248/P$12)</f>
        <v>5.4090313360722416E-4</v>
      </c>
      <c r="S248" s="1"/>
      <c r="T248" s="1">
        <f>SUM(OSRRefT22_21x_0)</f>
        <v>19175</v>
      </c>
      <c r="U248" s="1"/>
      <c r="V248" s="5">
        <f t="shared" ref="V248:V250" si="101">IF(T$12=0,0,T248/T$12)</f>
        <v>1.716512011044983E-3</v>
      </c>
      <c r="W248" s="1"/>
      <c r="X248" s="1">
        <f t="shared" ref="X248:X250" si="102">+P248-T248</f>
        <v>-13458.57</v>
      </c>
      <c r="Y248" s="1"/>
      <c r="Z248" s="5">
        <f t="shared" ref="Z248:Z250" si="103">IF(T248=0,0,X248/T248)</f>
        <v>-0.70188109517601038</v>
      </c>
    </row>
    <row r="249" spans="1:26" s="24" customFormat="1" hidden="1" outlineLevel="2" x14ac:dyDescent="0.25">
      <c r="A249" s="25"/>
      <c r="B249" s="11" t="str">
        <f>CONCATENATE("          ", "6258", " - ", "MEMBERSHIP DUES")</f>
        <v xml:space="preserve">          6258 - MEMBERSHIP DUES</v>
      </c>
      <c r="C249" s="11"/>
      <c r="D249" s="6">
        <v>1504.37</v>
      </c>
      <c r="E249" s="2"/>
      <c r="F249" s="7">
        <f t="shared" si="96"/>
        <v>1.4037126308178206E-3</v>
      </c>
      <c r="G249" s="2"/>
      <c r="H249" s="6">
        <v>400</v>
      </c>
      <c r="I249" s="2"/>
      <c r="J249" s="7">
        <f t="shared" si="97"/>
        <v>3.6449965359256463E-4</v>
      </c>
      <c r="K249" s="2"/>
      <c r="L249" s="6">
        <f t="shared" si="98"/>
        <v>1104.3699999999999</v>
      </c>
      <c r="M249" s="2"/>
      <c r="N249" s="7">
        <f t="shared" si="99"/>
        <v>2.7609249999999999</v>
      </c>
      <c r="O249" s="11"/>
      <c r="P249" s="6">
        <v>3439.87</v>
      </c>
      <c r="Q249" s="2"/>
      <c r="R249" s="7">
        <f t="shared" si="100"/>
        <v>3.2548924104755625E-4</v>
      </c>
      <c r="S249" s="2"/>
      <c r="T249" s="6">
        <v>14240</v>
      </c>
      <c r="U249" s="2"/>
      <c r="V249" s="7">
        <f t="shared" si="101"/>
        <v>1.2747395586586994E-3</v>
      </c>
      <c r="W249" s="2"/>
      <c r="X249" s="6">
        <f t="shared" si="102"/>
        <v>-10800.130000000001</v>
      </c>
      <c r="Y249" s="2"/>
      <c r="Z249" s="7">
        <f t="shared" si="103"/>
        <v>-0.75843609550561808</v>
      </c>
    </row>
    <row r="250" spans="1:26" s="24" customFormat="1" hidden="1" outlineLevel="2" x14ac:dyDescent="0.25">
      <c r="A250" s="25"/>
      <c r="B250" s="11" t="str">
        <f>CONCATENATE("          ", "6275", " - ", "SUBSCRIPTIONS")</f>
        <v xml:space="preserve">          6275 - SUBSCRIPTIONS</v>
      </c>
      <c r="C250" s="11"/>
      <c r="D250" s="6">
        <v>176.4</v>
      </c>
      <c r="E250" s="2"/>
      <c r="F250" s="7">
        <f t="shared" si="96"/>
        <v>1.6459707922669527E-4</v>
      </c>
      <c r="G250" s="2"/>
      <c r="H250" s="6">
        <v>795</v>
      </c>
      <c r="I250" s="2"/>
      <c r="J250" s="7">
        <f t="shared" si="97"/>
        <v>7.2444306151522224E-4</v>
      </c>
      <c r="K250" s="2"/>
      <c r="L250" s="6">
        <f t="shared" si="98"/>
        <v>-618.6</v>
      </c>
      <c r="M250" s="2"/>
      <c r="N250" s="7">
        <f t="shared" si="99"/>
        <v>-0.77811320754716984</v>
      </c>
      <c r="O250" s="11"/>
      <c r="P250" s="6">
        <v>2276.56</v>
      </c>
      <c r="Q250" s="2"/>
      <c r="R250" s="7">
        <f t="shared" si="100"/>
        <v>2.1541389255966785E-4</v>
      </c>
      <c r="S250" s="2"/>
      <c r="T250" s="6">
        <v>4935</v>
      </c>
      <c r="U250" s="2"/>
      <c r="V250" s="7">
        <f t="shared" si="101"/>
        <v>4.4177245238628376E-4</v>
      </c>
      <c r="W250" s="2"/>
      <c r="X250" s="6">
        <f t="shared" si="102"/>
        <v>-2658.44</v>
      </c>
      <c r="Y250" s="2"/>
      <c r="Z250" s="7">
        <f t="shared" si="103"/>
        <v>-0.53869098277608918</v>
      </c>
    </row>
    <row r="251" spans="1:26" s="27" customFormat="1" outlineLevel="1" collapsed="1" x14ac:dyDescent="0.25">
      <c r="A251" s="26"/>
      <c r="B251" s="13" t="str">
        <f>CONCATENATE("     ","Supplies                                          ")</f>
        <v xml:space="preserve">     Supplies                                          </v>
      </c>
      <c r="C251" s="13"/>
      <c r="D251" s="1">
        <f>SUM(OSRRefD22_22x_0)</f>
        <v>17192.04</v>
      </c>
      <c r="E251" s="1"/>
      <c r="F251" s="5">
        <f t="shared" ref="F251:F260" si="104">IF(D$12=0,0,D251/D$12)</f>
        <v>1.6041720918075479E-2</v>
      </c>
      <c r="G251" s="1"/>
      <c r="H251" s="1">
        <f>SUM(OSRRefH22_22x_0)</f>
        <v>21517</v>
      </c>
      <c r="I251" s="1"/>
      <c r="J251" s="5">
        <f t="shared" ref="J251:J260" si="105">IF(H$12=0,0,H251/H$12)</f>
        <v>1.9607347615878033E-2</v>
      </c>
      <c r="K251" s="1"/>
      <c r="L251" s="1">
        <f t="shared" ref="L251:L260" si="106">+D251-H251</f>
        <v>-4324.9599999999991</v>
      </c>
      <c r="M251" s="1"/>
      <c r="N251" s="5">
        <f t="shared" ref="N251:N260" si="107">IF(H251=0,0,L251/H251)</f>
        <v>-0.20100199841985403</v>
      </c>
      <c r="O251" s="13"/>
      <c r="P251" s="1">
        <f>SUM(OSRRefP22_22x_0)</f>
        <v>120323.62</v>
      </c>
      <c r="Q251" s="1"/>
      <c r="R251" s="5">
        <f t="shared" ref="R251:R260" si="108">IF(P$12=0,0,P251/P$12)</f>
        <v>1.1385326699524854E-2</v>
      </c>
      <c r="S251" s="1"/>
      <c r="T251" s="1">
        <f>SUM(OSRRefT22_22x_0)</f>
        <v>165025</v>
      </c>
      <c r="U251" s="1"/>
      <c r="V251" s="5">
        <f t="shared" ref="V251:V260" si="109">IF(T$12=0,0,T251/T$12)</f>
        <v>1.4772745482278922E-2</v>
      </c>
      <c r="W251" s="1"/>
      <c r="X251" s="1">
        <f t="shared" ref="X251:X260" si="110">+P251-T251</f>
        <v>-44701.380000000005</v>
      </c>
      <c r="Y251" s="1"/>
      <c r="Z251" s="5">
        <f t="shared" ref="Z251:Z260" si="111">IF(T251=0,0,X251/T251)</f>
        <v>-0.27087641266474777</v>
      </c>
    </row>
    <row r="252" spans="1:26" s="24" customFormat="1" hidden="1" outlineLevel="2" x14ac:dyDescent="0.25">
      <c r="A252" s="25"/>
      <c r="B252" s="11" t="str">
        <f>CONCATENATE("          ", "6234", " - ", "EXPENDABLE SUPPLIES &amp; EQUIPMEN")</f>
        <v xml:space="preserve">          6234 - EXPENDABLE SUPPLIES &amp; EQUIPMEN</v>
      </c>
      <c r="C252" s="11"/>
      <c r="D252" s="6"/>
      <c r="E252" s="2"/>
      <c r="F252" s="7">
        <f t="shared" si="104"/>
        <v>0</v>
      </c>
      <c r="G252" s="2"/>
      <c r="H252" s="6">
        <v>400</v>
      </c>
      <c r="I252" s="2"/>
      <c r="J252" s="7">
        <f t="shared" si="105"/>
        <v>3.6449965359256463E-4</v>
      </c>
      <c r="K252" s="2"/>
      <c r="L252" s="6">
        <f t="shared" si="106"/>
        <v>-400</v>
      </c>
      <c r="M252" s="2"/>
      <c r="N252" s="7">
        <f t="shared" si="107"/>
        <v>-1</v>
      </c>
      <c r="O252" s="11"/>
      <c r="P252" s="6">
        <v>4253.41</v>
      </c>
      <c r="Q252" s="2"/>
      <c r="R252" s="7">
        <f t="shared" si="108"/>
        <v>4.0246846327450926E-4</v>
      </c>
      <c r="S252" s="2"/>
      <c r="T252" s="6">
        <v>9250</v>
      </c>
      <c r="U252" s="2"/>
      <c r="V252" s="7">
        <f t="shared" si="109"/>
        <v>8.2804360376355119E-4</v>
      </c>
      <c r="W252" s="2"/>
      <c r="X252" s="6">
        <f t="shared" si="110"/>
        <v>-4996.59</v>
      </c>
      <c r="Y252" s="2"/>
      <c r="Z252" s="7">
        <f t="shared" si="111"/>
        <v>-0.54017189189189185</v>
      </c>
    </row>
    <row r="253" spans="1:26" s="24" customFormat="1" hidden="1" outlineLevel="2" x14ac:dyDescent="0.25">
      <c r="A253" s="25"/>
      <c r="B253" s="11" t="str">
        <f>CONCATENATE("          ", "6237", " - ", "JANITORIAL SUPPLIES")</f>
        <v xml:space="preserve">          6237 - JANITORIAL SUPPLIES</v>
      </c>
      <c r="C253" s="11"/>
      <c r="D253" s="6">
        <v>1623.23</v>
      </c>
      <c r="E253" s="2"/>
      <c r="F253" s="7">
        <f t="shared" si="104"/>
        <v>1.5146197103919987E-3</v>
      </c>
      <c r="G253" s="2"/>
      <c r="H253" s="6">
        <v>150</v>
      </c>
      <c r="I253" s="2"/>
      <c r="J253" s="7">
        <f t="shared" si="105"/>
        <v>1.3668737009721175E-4</v>
      </c>
      <c r="K253" s="2"/>
      <c r="L253" s="6">
        <f t="shared" si="106"/>
        <v>1473.23</v>
      </c>
      <c r="M253" s="2"/>
      <c r="N253" s="7">
        <f t="shared" si="107"/>
        <v>9.821533333333333</v>
      </c>
      <c r="O253" s="11"/>
      <c r="P253" s="6">
        <v>8771.1</v>
      </c>
      <c r="Q253" s="2"/>
      <c r="R253" s="7">
        <f t="shared" si="108"/>
        <v>8.2994377175655502E-4</v>
      </c>
      <c r="S253" s="2"/>
      <c r="T253" s="6">
        <v>1555</v>
      </c>
      <c r="U253" s="2"/>
      <c r="V253" s="7">
        <f t="shared" si="109"/>
        <v>1.392008436597105E-4</v>
      </c>
      <c r="W253" s="2"/>
      <c r="X253" s="6">
        <f t="shared" si="110"/>
        <v>7216.1</v>
      </c>
      <c r="Y253" s="2"/>
      <c r="Z253" s="7">
        <f t="shared" si="111"/>
        <v>4.6405787781350485</v>
      </c>
    </row>
    <row r="254" spans="1:26" s="24" customFormat="1" hidden="1" outlineLevel="2" x14ac:dyDescent="0.25">
      <c r="A254" s="25"/>
      <c r="B254" s="11" t="str">
        <f>CONCATENATE("          ", "6239", " - ", "KITCHEN SUPPLIES")</f>
        <v xml:space="preserve">          6239 - KITCHEN SUPPLIES</v>
      </c>
      <c r="C254" s="11"/>
      <c r="D254" s="6">
        <v>377.28</v>
      </c>
      <c r="E254" s="2"/>
      <c r="F254" s="7">
        <f t="shared" si="104"/>
        <v>3.5203620210117679E-4</v>
      </c>
      <c r="G254" s="2"/>
      <c r="H254" s="6"/>
      <c r="I254" s="2"/>
      <c r="J254" s="7">
        <f t="shared" si="105"/>
        <v>0</v>
      </c>
      <c r="K254" s="2"/>
      <c r="L254" s="6">
        <f t="shared" si="106"/>
        <v>377.28</v>
      </c>
      <c r="M254" s="2"/>
      <c r="N254" s="7">
        <f t="shared" si="107"/>
        <v>0</v>
      </c>
      <c r="O254" s="11"/>
      <c r="P254" s="6">
        <v>441.2</v>
      </c>
      <c r="Q254" s="2"/>
      <c r="R254" s="7">
        <f t="shared" si="108"/>
        <v>4.1747465209493912E-5</v>
      </c>
      <c r="S254" s="2"/>
      <c r="T254" s="6"/>
      <c r="U254" s="2"/>
      <c r="V254" s="7">
        <f t="shared" si="109"/>
        <v>0</v>
      </c>
      <c r="W254" s="2"/>
      <c r="X254" s="6">
        <f t="shared" si="110"/>
        <v>441.2</v>
      </c>
      <c r="Y254" s="2"/>
      <c r="Z254" s="7">
        <f t="shared" si="111"/>
        <v>0</v>
      </c>
    </row>
    <row r="255" spans="1:26" s="24" customFormat="1" hidden="1" outlineLevel="2" x14ac:dyDescent="0.25">
      <c r="A255" s="25"/>
      <c r="B255" s="11" t="str">
        <f>CONCATENATE("          ", "6241", " - ", "OFFICE EXPENSE")</f>
        <v xml:space="preserve">          6241 - OFFICE EXPENSE</v>
      </c>
      <c r="C255" s="11"/>
      <c r="D255" s="6">
        <v>404.3</v>
      </c>
      <c r="E255" s="2"/>
      <c r="F255" s="7">
        <f t="shared" si="104"/>
        <v>3.772482943954246E-4</v>
      </c>
      <c r="G255" s="2"/>
      <c r="H255" s="6">
        <v>2895</v>
      </c>
      <c r="I255" s="2"/>
      <c r="J255" s="7">
        <f t="shared" si="105"/>
        <v>2.6380662428761867E-3</v>
      </c>
      <c r="K255" s="2"/>
      <c r="L255" s="6">
        <f t="shared" si="106"/>
        <v>-2490.6999999999998</v>
      </c>
      <c r="M255" s="2"/>
      <c r="N255" s="7">
        <f t="shared" si="107"/>
        <v>-0.8603454231433505</v>
      </c>
      <c r="O255" s="11"/>
      <c r="P255" s="6">
        <v>24078</v>
      </c>
      <c r="Q255" s="2"/>
      <c r="R255" s="7">
        <f t="shared" si="108"/>
        <v>2.2783215487629065E-3</v>
      </c>
      <c r="S255" s="2"/>
      <c r="T255" s="6">
        <v>14230</v>
      </c>
      <c r="U255" s="2"/>
      <c r="V255" s="7">
        <f t="shared" si="109"/>
        <v>1.2738443763843604E-3</v>
      </c>
      <c r="W255" s="2"/>
      <c r="X255" s="6">
        <f t="shared" si="110"/>
        <v>9848</v>
      </c>
      <c r="Y255" s="2"/>
      <c r="Z255" s="7">
        <f t="shared" si="111"/>
        <v>0.69205903021784965</v>
      </c>
    </row>
    <row r="256" spans="1:26" s="24" customFormat="1" hidden="1" outlineLevel="2" x14ac:dyDescent="0.25">
      <c r="A256" s="25"/>
      <c r="B256" s="11" t="str">
        <f>CONCATENATE("          ", "6243", " - ", "PAPER SUPPLIES")</f>
        <v xml:space="preserve">          6243 - PAPER SUPPLIES</v>
      </c>
      <c r="C256" s="11"/>
      <c r="D256" s="6">
        <v>621.05999999999995</v>
      </c>
      <c r="E256" s="2"/>
      <c r="F256" s="7">
        <f t="shared" si="104"/>
        <v>5.7950488676038181E-4</v>
      </c>
      <c r="G256" s="2"/>
      <c r="H256" s="6">
        <v>250</v>
      </c>
      <c r="I256" s="2"/>
      <c r="J256" s="7">
        <f t="shared" si="105"/>
        <v>2.2781228349535291E-4</v>
      </c>
      <c r="K256" s="2"/>
      <c r="L256" s="6">
        <f t="shared" si="106"/>
        <v>371.05999999999995</v>
      </c>
      <c r="M256" s="2"/>
      <c r="N256" s="7">
        <f t="shared" si="107"/>
        <v>1.4842399999999998</v>
      </c>
      <c r="O256" s="11"/>
      <c r="P256" s="6">
        <v>16405.030000000002</v>
      </c>
      <c r="Q256" s="2"/>
      <c r="R256" s="7">
        <f t="shared" si="108"/>
        <v>1.5522856282540888E-3</v>
      </c>
      <c r="S256" s="2"/>
      <c r="T256" s="6">
        <v>3000</v>
      </c>
      <c r="U256" s="2"/>
      <c r="V256" s="7">
        <f t="shared" si="109"/>
        <v>2.6855468230169225E-4</v>
      </c>
      <c r="W256" s="2"/>
      <c r="X256" s="6">
        <f t="shared" si="110"/>
        <v>13405.030000000002</v>
      </c>
      <c r="Y256" s="2"/>
      <c r="Z256" s="7">
        <f t="shared" si="111"/>
        <v>4.4683433333333342</v>
      </c>
    </row>
    <row r="257" spans="1:26" s="24" customFormat="1" hidden="1" outlineLevel="2" x14ac:dyDescent="0.25">
      <c r="A257" s="25"/>
      <c r="B257" s="11" t="str">
        <f>CONCATENATE("          ", "6244", " - ", "SAFETY SUPPLY EXPENSE")</f>
        <v xml:space="preserve">          6244 - SAFETY SUPPLY EXPENSE</v>
      </c>
      <c r="C257" s="11"/>
      <c r="D257" s="6"/>
      <c r="E257" s="2"/>
      <c r="F257" s="7">
        <f t="shared" si="104"/>
        <v>0</v>
      </c>
      <c r="G257" s="2"/>
      <c r="H257" s="6"/>
      <c r="I257" s="2"/>
      <c r="J257" s="7">
        <f t="shared" si="105"/>
        <v>0</v>
      </c>
      <c r="K257" s="2"/>
      <c r="L257" s="6">
        <f t="shared" si="106"/>
        <v>0</v>
      </c>
      <c r="M257" s="2"/>
      <c r="N257" s="7">
        <f t="shared" si="107"/>
        <v>0</v>
      </c>
      <c r="O257" s="11"/>
      <c r="P257" s="6"/>
      <c r="Q257" s="2"/>
      <c r="R257" s="7">
        <f t="shared" si="108"/>
        <v>0</v>
      </c>
      <c r="S257" s="2"/>
      <c r="T257" s="6">
        <v>30</v>
      </c>
      <c r="U257" s="2"/>
      <c r="V257" s="7">
        <f t="shared" si="109"/>
        <v>2.6855468230169225E-6</v>
      </c>
      <c r="W257" s="2"/>
      <c r="X257" s="6">
        <f t="shared" si="110"/>
        <v>-30</v>
      </c>
      <c r="Y257" s="2"/>
      <c r="Z257" s="7">
        <f t="shared" si="111"/>
        <v>-1</v>
      </c>
    </row>
    <row r="258" spans="1:26" s="24" customFormat="1" hidden="1" outlineLevel="2" x14ac:dyDescent="0.25">
      <c r="A258" s="25"/>
      <c r="B258" s="11" t="str">
        <f>CONCATENATE("          ", "6245", " - ", "PRINTING")</f>
        <v xml:space="preserve">          6245 - PRINTING</v>
      </c>
      <c r="C258" s="11"/>
      <c r="D258" s="6">
        <v>3266.4</v>
      </c>
      <c r="E258" s="2"/>
      <c r="F258" s="7">
        <f t="shared" si="104"/>
        <v>3.0478452357487382E-3</v>
      </c>
      <c r="G258" s="2"/>
      <c r="H258" s="6">
        <v>100</v>
      </c>
      <c r="I258" s="2"/>
      <c r="J258" s="7">
        <f t="shared" si="105"/>
        <v>9.1124913398141157E-5</v>
      </c>
      <c r="K258" s="2"/>
      <c r="L258" s="6">
        <f t="shared" si="106"/>
        <v>3166.4</v>
      </c>
      <c r="M258" s="2"/>
      <c r="N258" s="7">
        <f t="shared" si="107"/>
        <v>31.664000000000001</v>
      </c>
      <c r="O258" s="11"/>
      <c r="P258" s="6">
        <v>9868.34</v>
      </c>
      <c r="Q258" s="2"/>
      <c r="R258" s="7">
        <f t="shared" si="108"/>
        <v>9.3376740894255924E-4</v>
      </c>
      <c r="S258" s="2"/>
      <c r="T258" s="6">
        <v>2000</v>
      </c>
      <c r="U258" s="2"/>
      <c r="V258" s="7">
        <f t="shared" si="109"/>
        <v>1.7903645486779484E-4</v>
      </c>
      <c r="W258" s="2"/>
      <c r="X258" s="6">
        <f t="shared" si="110"/>
        <v>7868.34</v>
      </c>
      <c r="Y258" s="2"/>
      <c r="Z258" s="7">
        <f t="shared" si="111"/>
        <v>3.9341699999999999</v>
      </c>
    </row>
    <row r="259" spans="1:26" s="24" customFormat="1" hidden="1" outlineLevel="2" x14ac:dyDescent="0.25">
      <c r="A259" s="25"/>
      <c r="B259" s="11" t="str">
        <f>CONCATENATE("          ", "6247", " - ", "STORE SUPPLIES")</f>
        <v xml:space="preserve">          6247 - STORE SUPPLIES</v>
      </c>
      <c r="C259" s="11"/>
      <c r="D259" s="6">
        <v>10899.77</v>
      </c>
      <c r="E259" s="2"/>
      <c r="F259" s="7">
        <f t="shared" si="104"/>
        <v>1.0170466588677757E-2</v>
      </c>
      <c r="G259" s="2"/>
      <c r="H259" s="6">
        <v>16722</v>
      </c>
      <c r="I259" s="2"/>
      <c r="J259" s="7">
        <f t="shared" si="105"/>
        <v>1.5237908018437165E-2</v>
      </c>
      <c r="K259" s="2"/>
      <c r="L259" s="6">
        <f t="shared" si="106"/>
        <v>-5822.23</v>
      </c>
      <c r="M259" s="2"/>
      <c r="N259" s="7">
        <f t="shared" si="107"/>
        <v>-0.34817784953952874</v>
      </c>
      <c r="O259" s="11"/>
      <c r="P259" s="6">
        <v>56506.54</v>
      </c>
      <c r="Q259" s="2"/>
      <c r="R259" s="7">
        <f t="shared" si="108"/>
        <v>5.346792413324742E-3</v>
      </c>
      <c r="S259" s="2"/>
      <c r="T259" s="6">
        <v>125860</v>
      </c>
      <c r="U259" s="2"/>
      <c r="V259" s="7">
        <f t="shared" si="109"/>
        <v>1.1266764104830329E-2</v>
      </c>
      <c r="W259" s="2"/>
      <c r="X259" s="6">
        <f t="shared" si="110"/>
        <v>-69353.459999999992</v>
      </c>
      <c r="Y259" s="2"/>
      <c r="Z259" s="7">
        <f t="shared" si="111"/>
        <v>-0.55103654854600348</v>
      </c>
    </row>
    <row r="260" spans="1:26" s="24" customFormat="1" hidden="1" outlineLevel="2" x14ac:dyDescent="0.25">
      <c r="A260" s="25"/>
      <c r="B260" s="11" t="str">
        <f>CONCATENATE("          ", "6248", " - ", "UNIFORMS")</f>
        <v xml:space="preserve">          6248 - UNIFORMS</v>
      </c>
      <c r="C260" s="11"/>
      <c r="D260" s="6"/>
      <c r="E260" s="2"/>
      <c r="F260" s="7">
        <f t="shared" si="104"/>
        <v>0</v>
      </c>
      <c r="G260" s="2"/>
      <c r="H260" s="6">
        <v>1000</v>
      </c>
      <c r="I260" s="2"/>
      <c r="J260" s="7">
        <f t="shared" si="105"/>
        <v>9.1124913398141162E-4</v>
      </c>
      <c r="K260" s="2"/>
      <c r="L260" s="6">
        <f t="shared" si="106"/>
        <v>-1000</v>
      </c>
      <c r="M260" s="2"/>
      <c r="N260" s="7">
        <f t="shared" si="107"/>
        <v>-1</v>
      </c>
      <c r="O260" s="11"/>
      <c r="P260" s="6"/>
      <c r="Q260" s="2"/>
      <c r="R260" s="7">
        <f t="shared" si="108"/>
        <v>0</v>
      </c>
      <c r="S260" s="2"/>
      <c r="T260" s="6">
        <v>9100</v>
      </c>
      <c r="U260" s="2"/>
      <c r="V260" s="7">
        <f t="shared" si="109"/>
        <v>8.146158696484665E-4</v>
      </c>
      <c r="W260" s="2"/>
      <c r="X260" s="6">
        <f t="shared" si="110"/>
        <v>-9100</v>
      </c>
      <c r="Y260" s="2"/>
      <c r="Z260" s="7">
        <f t="shared" si="111"/>
        <v>-1</v>
      </c>
    </row>
    <row r="261" spans="1:26" s="27" customFormat="1" outlineLevel="1" collapsed="1" x14ac:dyDescent="0.25">
      <c r="A261" s="26"/>
      <c r="B261" s="13" t="str">
        <f>CONCATENATE("     ","Telephone/Data Lines                              ")</f>
        <v xml:space="preserve">     Telephone/Data Lines                              </v>
      </c>
      <c r="C261" s="13"/>
      <c r="D261" s="1">
        <f>SUM(OSRRefD22_23x_0)</f>
        <v>3258.67</v>
      </c>
      <c r="E261" s="1"/>
      <c r="F261" s="5">
        <f t="shared" ref="F261:F263" si="112">IF(D$12=0,0,D261/D$12)</f>
        <v>3.040632449907342E-3</v>
      </c>
      <c r="G261" s="1"/>
      <c r="H261" s="1">
        <f>SUM(OSRRefH22_23x_0)</f>
        <v>3480</v>
      </c>
      <c r="I261" s="1"/>
      <c r="J261" s="5">
        <f t="shared" ref="J261:J263" si="113">IF(H$12=0,0,H261/H$12)</f>
        <v>3.1711469862553123E-3</v>
      </c>
      <c r="K261" s="1"/>
      <c r="L261" s="1">
        <f t="shared" ref="L261:L263" si="114">+D261-H261</f>
        <v>-221.32999999999993</v>
      </c>
      <c r="M261" s="1"/>
      <c r="N261" s="5">
        <f t="shared" ref="N261:N263" si="115">IF(H261=0,0,L261/H261)</f>
        <v>-6.3600574712643659E-2</v>
      </c>
      <c r="O261" s="13"/>
      <c r="P261" s="1">
        <f>SUM(OSRRefP22_23x_0)</f>
        <v>24396.129999999997</v>
      </c>
      <c r="Q261" s="1"/>
      <c r="R261" s="5">
        <f t="shared" ref="R261:R263" si="116">IF(P$12=0,0,P261/P$12)</f>
        <v>2.3084238178179752E-3</v>
      </c>
      <c r="S261" s="1"/>
      <c r="T261" s="1">
        <f>SUM(OSRRefT22_23x_0)</f>
        <v>26715</v>
      </c>
      <c r="U261" s="1"/>
      <c r="V261" s="5">
        <f t="shared" ref="V261:V263" si="117">IF(T$12=0,0,T261/T$12)</f>
        <v>2.3914794458965694E-3</v>
      </c>
      <c r="W261" s="1"/>
      <c r="X261" s="1">
        <f t="shared" ref="X261:X263" si="118">+P261-T261</f>
        <v>-2318.8700000000026</v>
      </c>
      <c r="Y261" s="1"/>
      <c r="Z261" s="5">
        <f t="shared" ref="Z261:Z263" si="119">IF(T261=0,0,X261/T261)</f>
        <v>-8.6800299457233859E-2</v>
      </c>
    </row>
    <row r="262" spans="1:26" s="24" customFormat="1" hidden="1" outlineLevel="2" x14ac:dyDescent="0.25">
      <c r="A262" s="25"/>
      <c r="B262" s="11" t="str">
        <f>CONCATENATE("          ", "6303", " - ", "DATA PHONE LINES")</f>
        <v xml:space="preserve">          6303 - DATA PHONE LINES</v>
      </c>
      <c r="C262" s="11"/>
      <c r="D262" s="6">
        <v>295</v>
      </c>
      <c r="E262" s="2"/>
      <c r="F262" s="7">
        <f t="shared" si="112"/>
        <v>2.7526155539611739E-4</v>
      </c>
      <c r="G262" s="2"/>
      <c r="H262" s="6">
        <v>1350</v>
      </c>
      <c r="I262" s="2"/>
      <c r="J262" s="7">
        <f t="shared" si="113"/>
        <v>1.2301863308749057E-3</v>
      </c>
      <c r="K262" s="2"/>
      <c r="L262" s="6">
        <f t="shared" si="114"/>
        <v>-1055</v>
      </c>
      <c r="M262" s="2"/>
      <c r="N262" s="7">
        <f t="shared" si="115"/>
        <v>-0.78148148148148144</v>
      </c>
      <c r="O262" s="11"/>
      <c r="P262" s="6">
        <v>2360</v>
      </c>
      <c r="Q262" s="2"/>
      <c r="R262" s="7">
        <f t="shared" si="116"/>
        <v>2.233091974034579E-4</v>
      </c>
      <c r="S262" s="2"/>
      <c r="T262" s="6">
        <v>8725</v>
      </c>
      <c r="U262" s="2"/>
      <c r="V262" s="7">
        <f t="shared" si="117"/>
        <v>7.8104653436075506E-4</v>
      </c>
      <c r="W262" s="2"/>
      <c r="X262" s="6">
        <f t="shared" si="118"/>
        <v>-6365</v>
      </c>
      <c r="Y262" s="2"/>
      <c r="Z262" s="7">
        <f t="shared" si="119"/>
        <v>-0.72951289398280805</v>
      </c>
    </row>
    <row r="263" spans="1:26" s="24" customFormat="1" hidden="1" outlineLevel="2" x14ac:dyDescent="0.25">
      <c r="A263" s="25"/>
      <c r="B263" s="11" t="str">
        <f>CONCATENATE("          ", "6309", " - ", "TELEPHONE")</f>
        <v xml:space="preserve">          6309 - TELEPHONE</v>
      </c>
      <c r="C263" s="11"/>
      <c r="D263" s="6">
        <v>2963.67</v>
      </c>
      <c r="E263" s="2"/>
      <c r="F263" s="7">
        <f t="shared" si="112"/>
        <v>2.7653708945112243E-3</v>
      </c>
      <c r="G263" s="2"/>
      <c r="H263" s="6">
        <v>2130</v>
      </c>
      <c r="I263" s="2"/>
      <c r="J263" s="7">
        <f t="shared" si="113"/>
        <v>1.9409606553804067E-3</v>
      </c>
      <c r="K263" s="2"/>
      <c r="L263" s="6">
        <f t="shared" si="114"/>
        <v>833.67000000000007</v>
      </c>
      <c r="M263" s="2"/>
      <c r="N263" s="7">
        <f t="shared" si="115"/>
        <v>0.39139436619718315</v>
      </c>
      <c r="O263" s="11"/>
      <c r="P263" s="6">
        <v>22036.129999999997</v>
      </c>
      <c r="Q263" s="2"/>
      <c r="R263" s="7">
        <f t="shared" si="116"/>
        <v>2.085114620414517E-3</v>
      </c>
      <c r="S263" s="2"/>
      <c r="T263" s="6">
        <v>17990</v>
      </c>
      <c r="U263" s="2"/>
      <c r="V263" s="7">
        <f t="shared" si="117"/>
        <v>1.6104329115358147E-3</v>
      </c>
      <c r="W263" s="2"/>
      <c r="X263" s="6">
        <f t="shared" si="118"/>
        <v>4046.1299999999974</v>
      </c>
      <c r="Y263" s="2"/>
      <c r="Z263" s="7">
        <f t="shared" si="119"/>
        <v>0.22490994997220665</v>
      </c>
    </row>
    <row r="264" spans="1:26" s="27" customFormat="1" outlineLevel="1" collapsed="1" x14ac:dyDescent="0.25">
      <c r="A264" s="26"/>
      <c r="B264" s="13" t="str">
        <f>CONCATENATE("     ","Training                                          ")</f>
        <v xml:space="preserve">     Training                                          </v>
      </c>
      <c r="C264" s="13"/>
      <c r="D264" s="1">
        <f>SUM(OSRRefD22_24x_0)</f>
        <v>6287.84</v>
      </c>
      <c r="E264" s="1"/>
      <c r="F264" s="5">
        <f t="shared" ref="F264:F269" si="120">IF(D$12=0,0,D264/D$12)</f>
        <v>5.8671207406166869E-3</v>
      </c>
      <c r="G264" s="1"/>
      <c r="H264" s="1">
        <f>SUM(OSRRefH22_24x_0)</f>
        <v>3600</v>
      </c>
      <c r="I264" s="1"/>
      <c r="J264" s="5">
        <f t="shared" ref="J264:J269" si="121">IF(H$12=0,0,H264/H$12)</f>
        <v>3.2804968823330815E-3</v>
      </c>
      <c r="K264" s="1"/>
      <c r="L264" s="1">
        <f t="shared" ref="L264:L269" si="122">+D264-H264</f>
        <v>2687.84</v>
      </c>
      <c r="M264" s="1"/>
      <c r="N264" s="5">
        <f t="shared" ref="N264:N269" si="123">IF(H264=0,0,L264/H264)</f>
        <v>0.7466222222222223</v>
      </c>
      <c r="O264" s="13"/>
      <c r="P264" s="1">
        <f>SUM(OSRRefP22_24x_0)</f>
        <v>16003.729999999998</v>
      </c>
      <c r="Q264" s="1"/>
      <c r="R264" s="5">
        <f t="shared" ref="R264:R269" si="124">IF(P$12=0,0,P264/P$12)</f>
        <v>1.5143136024413733E-3</v>
      </c>
      <c r="S264" s="1"/>
      <c r="T264" s="1">
        <f>SUM(OSRRefT22_24x_0)</f>
        <v>21850</v>
      </c>
      <c r="U264" s="1"/>
      <c r="V264" s="5">
        <f t="shared" ref="V264:V269" si="125">IF(T$12=0,0,T264/T$12)</f>
        <v>1.9559732694306585E-3</v>
      </c>
      <c r="W264" s="1"/>
      <c r="X264" s="1">
        <f t="shared" ref="X264:X269" si="126">+P264-T264</f>
        <v>-5846.2700000000023</v>
      </c>
      <c r="Y264" s="1"/>
      <c r="Z264" s="5">
        <f t="shared" ref="Z264:Z269" si="127">IF(T264=0,0,X264/T264)</f>
        <v>-0.26756384439359276</v>
      </c>
    </row>
    <row r="265" spans="1:26" s="24" customFormat="1" hidden="1" outlineLevel="2" x14ac:dyDescent="0.25">
      <c r="A265" s="25"/>
      <c r="B265" s="11" t="str">
        <f>CONCATENATE("          ", "6376", " - ", "TRAINING")</f>
        <v xml:space="preserve">          6376 - TRAINING</v>
      </c>
      <c r="C265" s="11"/>
      <c r="D265" s="6">
        <v>6287.84</v>
      </c>
      <c r="E265" s="2"/>
      <c r="F265" s="7">
        <f t="shared" si="120"/>
        <v>5.8671207406166869E-3</v>
      </c>
      <c r="G265" s="2"/>
      <c r="H265" s="6">
        <v>3600</v>
      </c>
      <c r="I265" s="2"/>
      <c r="J265" s="7">
        <f t="shared" si="121"/>
        <v>3.2804968823330815E-3</v>
      </c>
      <c r="K265" s="2"/>
      <c r="L265" s="6">
        <f t="shared" si="122"/>
        <v>2687.84</v>
      </c>
      <c r="M265" s="2"/>
      <c r="N265" s="7">
        <f t="shared" si="123"/>
        <v>0.7466222222222223</v>
      </c>
      <c r="O265" s="11"/>
      <c r="P265" s="6">
        <v>16003.729999999998</v>
      </c>
      <c r="Q265" s="2"/>
      <c r="R265" s="7">
        <f t="shared" si="124"/>
        <v>1.5143136024413733E-3</v>
      </c>
      <c r="S265" s="2"/>
      <c r="T265" s="6">
        <v>21850</v>
      </c>
      <c r="U265" s="2"/>
      <c r="V265" s="7">
        <f t="shared" si="125"/>
        <v>1.9559732694306585E-3</v>
      </c>
      <c r="W265" s="2"/>
      <c r="X265" s="6">
        <f t="shared" si="126"/>
        <v>-5846.2700000000023</v>
      </c>
      <c r="Y265" s="2"/>
      <c r="Z265" s="7">
        <f t="shared" si="127"/>
        <v>-0.26756384439359276</v>
      </c>
    </row>
    <row r="266" spans="1:26" s="27" customFormat="1" outlineLevel="1" collapsed="1" x14ac:dyDescent="0.25">
      <c r="A266" s="26"/>
      <c r="B266" s="13" t="str">
        <f>CONCATENATE("     ","Travel                                            ")</f>
        <v xml:space="preserve">     Travel                                            </v>
      </c>
      <c r="C266" s="13"/>
      <c r="D266" s="1">
        <f>SUM(OSRRefD22_25x_0)</f>
        <v>102.13</v>
      </c>
      <c r="E266" s="1"/>
      <c r="F266" s="5">
        <f t="shared" si="120"/>
        <v>9.5296483568154124E-5</v>
      </c>
      <c r="G266" s="1"/>
      <c r="H266" s="1">
        <f>SUM(OSRRefH22_25x_0)</f>
        <v>175</v>
      </c>
      <c r="I266" s="1"/>
      <c r="J266" s="5">
        <f t="shared" si="121"/>
        <v>1.5946859844674703E-4</v>
      </c>
      <c r="K266" s="1"/>
      <c r="L266" s="1">
        <f t="shared" si="122"/>
        <v>-72.87</v>
      </c>
      <c r="M266" s="1"/>
      <c r="N266" s="5">
        <f t="shared" si="123"/>
        <v>-0.41640000000000005</v>
      </c>
      <c r="O266" s="13"/>
      <c r="P266" s="1">
        <f>SUM(OSRRefP22_25x_0)</f>
        <v>1072.17</v>
      </c>
      <c r="Q266" s="1"/>
      <c r="R266" s="5">
        <f t="shared" si="124"/>
        <v>1.0145145007629893E-4</v>
      </c>
      <c r="S266" s="1"/>
      <c r="T266" s="1">
        <f>SUM(OSRRefT22_25x_0)</f>
        <v>2335</v>
      </c>
      <c r="U266" s="1"/>
      <c r="V266" s="5">
        <f t="shared" si="125"/>
        <v>2.0902506105815048E-4</v>
      </c>
      <c r="W266" s="1"/>
      <c r="X266" s="1">
        <f t="shared" si="126"/>
        <v>-1262.83</v>
      </c>
      <c r="Y266" s="1"/>
      <c r="Z266" s="5">
        <f t="shared" si="127"/>
        <v>-0.54082655246252676</v>
      </c>
    </row>
    <row r="267" spans="1:26" s="24" customFormat="1" hidden="1" outlineLevel="2" x14ac:dyDescent="0.25">
      <c r="A267" s="25"/>
      <c r="B267" s="11" t="str">
        <f>CONCATENATE("          ", "6292", " - ", "TRAVEL/CONFERENCE")</f>
        <v xml:space="preserve">          6292 - TRAVEL/CONFERENCE</v>
      </c>
      <c r="C267" s="11"/>
      <c r="D267" s="6">
        <v>47.96</v>
      </c>
      <c r="E267" s="2"/>
      <c r="F267" s="7">
        <f t="shared" si="120"/>
        <v>4.4750997277280644E-5</v>
      </c>
      <c r="G267" s="2"/>
      <c r="H267" s="6"/>
      <c r="I267" s="2"/>
      <c r="J267" s="7">
        <f t="shared" si="121"/>
        <v>0</v>
      </c>
      <c r="K267" s="2"/>
      <c r="L267" s="6">
        <f t="shared" si="122"/>
        <v>47.96</v>
      </c>
      <c r="M267" s="2"/>
      <c r="N267" s="7">
        <f t="shared" si="123"/>
        <v>0</v>
      </c>
      <c r="O267" s="11"/>
      <c r="P267" s="6">
        <v>413.56</v>
      </c>
      <c r="Q267" s="2"/>
      <c r="R267" s="7">
        <f t="shared" si="124"/>
        <v>3.9132098168717822E-5</v>
      </c>
      <c r="S267" s="2"/>
      <c r="T267" s="6">
        <v>1000</v>
      </c>
      <c r="U267" s="2"/>
      <c r="V267" s="7">
        <f t="shared" si="125"/>
        <v>8.9518227433897418E-5</v>
      </c>
      <c r="W267" s="2"/>
      <c r="X267" s="6">
        <f t="shared" si="126"/>
        <v>-586.44000000000005</v>
      </c>
      <c r="Y267" s="2"/>
      <c r="Z267" s="7">
        <f t="shared" si="127"/>
        <v>-0.58644000000000007</v>
      </c>
    </row>
    <row r="268" spans="1:26" s="24" customFormat="1" hidden="1" outlineLevel="2" x14ac:dyDescent="0.25">
      <c r="A268" s="25"/>
      <c r="B268" s="11" t="str">
        <f>CONCATENATE("          ", "6294", " - ", "TRAVEL OPERATIONAL")</f>
        <v xml:space="preserve">          6294 - TRAVEL OPERATIONAL</v>
      </c>
      <c r="C268" s="11"/>
      <c r="D268" s="6">
        <v>35.29</v>
      </c>
      <c r="E268" s="2"/>
      <c r="F268" s="7">
        <f t="shared" si="120"/>
        <v>3.2928746745521972E-5</v>
      </c>
      <c r="G268" s="2"/>
      <c r="H268" s="6">
        <v>75</v>
      </c>
      <c r="I268" s="2"/>
      <c r="J268" s="7">
        <f t="shared" si="121"/>
        <v>6.8343685048605874E-5</v>
      </c>
      <c r="K268" s="2"/>
      <c r="L268" s="6">
        <f t="shared" si="122"/>
        <v>-39.71</v>
      </c>
      <c r="M268" s="2"/>
      <c r="N268" s="7">
        <f t="shared" si="123"/>
        <v>-0.52946666666666664</v>
      </c>
      <c r="O268" s="11"/>
      <c r="P268" s="6">
        <v>347.48</v>
      </c>
      <c r="Q268" s="2"/>
      <c r="R268" s="7">
        <f t="shared" si="124"/>
        <v>3.2879440641420997E-5</v>
      </c>
      <c r="S268" s="2"/>
      <c r="T268" s="6">
        <v>785</v>
      </c>
      <c r="U268" s="2"/>
      <c r="V268" s="7">
        <f t="shared" si="125"/>
        <v>7.0271808535609482E-5</v>
      </c>
      <c r="W268" s="2"/>
      <c r="X268" s="6">
        <f t="shared" si="126"/>
        <v>-437.52</v>
      </c>
      <c r="Y268" s="2"/>
      <c r="Z268" s="7">
        <f t="shared" si="127"/>
        <v>-0.55735031847133754</v>
      </c>
    </row>
    <row r="269" spans="1:26" s="24" customFormat="1" hidden="1" outlineLevel="2" x14ac:dyDescent="0.25">
      <c r="A269" s="25"/>
      <c r="B269" s="11" t="str">
        <f>CONCATENATE("          ", "6298", " - ", "VEHICLE MILEAGE")</f>
        <v xml:space="preserve">          6298 - VEHICLE MILEAGE</v>
      </c>
      <c r="C269" s="11"/>
      <c r="D269" s="6">
        <v>18.88</v>
      </c>
      <c r="E269" s="2"/>
      <c r="F269" s="7">
        <f t="shared" si="120"/>
        <v>1.7616739545351511E-5</v>
      </c>
      <c r="G269" s="2"/>
      <c r="H269" s="6">
        <v>100</v>
      </c>
      <c r="I269" s="2"/>
      <c r="J269" s="7">
        <f t="shared" si="121"/>
        <v>9.1124913398141157E-5</v>
      </c>
      <c r="K269" s="2"/>
      <c r="L269" s="6">
        <f t="shared" si="122"/>
        <v>-81.12</v>
      </c>
      <c r="M269" s="2"/>
      <c r="N269" s="7">
        <f t="shared" si="123"/>
        <v>-0.81120000000000003</v>
      </c>
      <c r="O269" s="11"/>
      <c r="P269" s="6">
        <v>311.13</v>
      </c>
      <c r="Q269" s="2"/>
      <c r="R269" s="7">
        <f t="shared" si="124"/>
        <v>2.943991126616011E-5</v>
      </c>
      <c r="S269" s="2"/>
      <c r="T269" s="6">
        <v>550</v>
      </c>
      <c r="U269" s="2"/>
      <c r="V269" s="7">
        <f t="shared" si="125"/>
        <v>4.9235025088643584E-5</v>
      </c>
      <c r="W269" s="2"/>
      <c r="X269" s="6">
        <f t="shared" si="126"/>
        <v>-238.87</v>
      </c>
      <c r="Y269" s="2"/>
      <c r="Z269" s="7">
        <f t="shared" si="127"/>
        <v>-0.43430909090909092</v>
      </c>
    </row>
    <row r="270" spans="1:26" s="27" customFormat="1" outlineLevel="1" collapsed="1" x14ac:dyDescent="0.25">
      <c r="A270" s="26"/>
      <c r="B270" s="13" t="str">
        <f>CONCATENATE("     ","Utilities                                         ")</f>
        <v xml:space="preserve">     Utilities                                         </v>
      </c>
      <c r="C270" s="13"/>
      <c r="D270" s="1">
        <f>SUM(OSRRefD22_26x_0)</f>
        <v>9651.9699999999993</v>
      </c>
      <c r="E270" s="1"/>
      <c r="F270" s="5">
        <f t="shared" ref="F270:F271" si="128">IF(D$12=0,0,D270/D$12)</f>
        <v>9.0061568638530945E-3</v>
      </c>
      <c r="G270" s="1"/>
      <c r="H270" s="1">
        <f>SUM(OSRRefH22_26x_0)</f>
        <v>9140</v>
      </c>
      <c r="I270" s="1"/>
      <c r="J270" s="5">
        <f t="shared" ref="J270:J271" si="129">IF(H$12=0,0,H270/H$12)</f>
        <v>8.3288170845901028E-3</v>
      </c>
      <c r="K270" s="1"/>
      <c r="L270" s="1">
        <f t="shared" ref="L270:L271" si="130">+D270-H270</f>
        <v>511.96999999999935</v>
      </c>
      <c r="M270" s="1"/>
      <c r="N270" s="5">
        <f t="shared" ref="N270:N271" si="131">IF(H270=0,0,L270/H270)</f>
        <v>5.6014223194748289E-2</v>
      </c>
      <c r="O270" s="13"/>
      <c r="P270" s="1">
        <f>SUM(OSRRefP22_26x_0)</f>
        <v>54539.91</v>
      </c>
      <c r="Q270" s="1"/>
      <c r="R270" s="5">
        <f t="shared" ref="R270:R271" si="132">IF(P$12=0,0,P270/P$12)</f>
        <v>5.1607048849817072E-3</v>
      </c>
      <c r="S270" s="1"/>
      <c r="T270" s="1">
        <f>SUM(OSRRefT22_26x_0)</f>
        <v>52703</v>
      </c>
      <c r="U270" s="1"/>
      <c r="V270" s="5">
        <f t="shared" ref="V270:V271" si="133">IF(T$12=0,0,T270/T$12)</f>
        <v>4.7178791404486956E-3</v>
      </c>
      <c r="W270" s="1"/>
      <c r="X270" s="1">
        <f t="shared" ref="X270:X271" si="134">+P270-T270</f>
        <v>1836.9100000000035</v>
      </c>
      <c r="Y270" s="1"/>
      <c r="Z270" s="5">
        <f t="shared" ref="Z270:Z271" si="135">IF(T270=0,0,X270/T270)</f>
        <v>3.4853993131320864E-2</v>
      </c>
    </row>
    <row r="271" spans="1:26" s="24" customFormat="1" hidden="1" outlineLevel="2" x14ac:dyDescent="0.25">
      <c r="A271" s="25"/>
      <c r="B271" s="11" t="str">
        <f>CONCATENATE("          ", "6274", " - ", "UTILITIES")</f>
        <v xml:space="preserve">          6274 - UTILITIES</v>
      </c>
      <c r="C271" s="11"/>
      <c r="D271" s="6">
        <v>9651.9699999999993</v>
      </c>
      <c r="E271" s="2"/>
      <c r="F271" s="7">
        <f t="shared" si="128"/>
        <v>9.0061568638530945E-3</v>
      </c>
      <c r="G271" s="2"/>
      <c r="H271" s="6">
        <v>9140</v>
      </c>
      <c r="I271" s="2"/>
      <c r="J271" s="7">
        <f t="shared" si="129"/>
        <v>8.3288170845901028E-3</v>
      </c>
      <c r="K271" s="2"/>
      <c r="L271" s="6">
        <f t="shared" si="130"/>
        <v>511.96999999999935</v>
      </c>
      <c r="M271" s="2"/>
      <c r="N271" s="7">
        <f t="shared" si="131"/>
        <v>5.6014223194748289E-2</v>
      </c>
      <c r="O271" s="11"/>
      <c r="P271" s="6">
        <v>54539.91</v>
      </c>
      <c r="Q271" s="2"/>
      <c r="R271" s="7">
        <f t="shared" si="132"/>
        <v>5.1607048849817072E-3</v>
      </c>
      <c r="S271" s="2"/>
      <c r="T271" s="6">
        <v>52703</v>
      </c>
      <c r="U271" s="2"/>
      <c r="V271" s="7">
        <f t="shared" si="133"/>
        <v>4.7178791404486956E-3</v>
      </c>
      <c r="W271" s="2"/>
      <c r="X271" s="6">
        <f t="shared" si="134"/>
        <v>1836.9100000000035</v>
      </c>
      <c r="Y271" s="2"/>
      <c r="Z271" s="7">
        <f t="shared" si="135"/>
        <v>3.4853993131320864E-2</v>
      </c>
    </row>
    <row r="272" spans="1:26" s="53" customFormat="1" x14ac:dyDescent="0.25">
      <c r="A272" s="36"/>
      <c r="B272" s="36"/>
      <c r="C272" s="36"/>
      <c r="D272" s="1"/>
      <c r="E272" s="1"/>
      <c r="F272" s="5"/>
      <c r="G272" s="1"/>
      <c r="H272" s="1"/>
      <c r="I272" s="1"/>
      <c r="J272" s="5"/>
      <c r="K272" s="1"/>
      <c r="L272" s="1"/>
      <c r="M272" s="1"/>
      <c r="N272" s="5"/>
      <c r="O272" s="36"/>
      <c r="P272" s="1"/>
      <c r="Q272" s="1"/>
      <c r="R272" s="5"/>
      <c r="S272" s="1"/>
      <c r="T272" s="1"/>
      <c r="U272" s="1"/>
      <c r="V272" s="5"/>
      <c r="W272" s="1"/>
      <c r="X272" s="1"/>
      <c r="Y272" s="1"/>
      <c r="Z272" s="5"/>
    </row>
    <row r="273" spans="1:26" s="23" customFormat="1" collapsed="1" x14ac:dyDescent="0.25">
      <c r="A273" s="10"/>
      <c r="B273" s="29" t="s">
        <v>0</v>
      </c>
      <c r="C273" s="10"/>
      <c r="D273" s="4">
        <f>SUM(OSRRefD25x_0)</f>
        <v>170622.77000000002</v>
      </c>
      <c r="E273" s="4"/>
      <c r="F273" s="12">
        <f t="shared" ref="F273:F282" si="136">IF(D$12=0,0,D273/D$12)</f>
        <v>0.15920640358031865</v>
      </c>
      <c r="G273" s="4"/>
      <c r="H273" s="4">
        <f>SUM(OSRRefH25x_0)</f>
        <v>133875</v>
      </c>
      <c r="I273" s="4"/>
      <c r="J273" s="12">
        <f t="shared" ref="J273:J282" si="137">IF(H$12=0,0,H273/H$12)</f>
        <v>0.12199347781176148</v>
      </c>
      <c r="K273" s="4"/>
      <c r="L273" s="4">
        <f t="shared" ref="L273:L282" si="138">+D273-H273</f>
        <v>36747.770000000019</v>
      </c>
      <c r="M273" s="4"/>
      <c r="N273" s="12">
        <f t="shared" ref="N273:N282" si="139">IF(H273=0,0,L273/H273)</f>
        <v>0.27449314659197027</v>
      </c>
      <c r="O273" s="10"/>
      <c r="P273" s="4">
        <f>SUM(OSRRefP25x_0)</f>
        <v>637369.49</v>
      </c>
      <c r="Q273" s="4"/>
      <c r="R273" s="12">
        <f t="shared" ref="R273:R282" si="140">IF(P$12=0,0,P273/P$12)</f>
        <v>6.030952087345394E-2</v>
      </c>
      <c r="S273" s="4"/>
      <c r="T273" s="4">
        <f>SUM(OSRRefT25x_0)</f>
        <v>642150</v>
      </c>
      <c r="U273" s="4"/>
      <c r="V273" s="12">
        <f t="shared" ref="V273:V282" si="141">IF(T$12=0,0,T273/T$12)</f>
        <v>5.7484129746677229E-2</v>
      </c>
      <c r="W273" s="4"/>
      <c r="X273" s="4">
        <f t="shared" ref="X273:X282" si="142">+P273-T273</f>
        <v>-4780.5100000000093</v>
      </c>
      <c r="Y273" s="4"/>
      <c r="Z273" s="12">
        <f t="shared" ref="Z273:Z282" si="143">IF(T273=0,0,X273/T273)</f>
        <v>-7.4445378805575169E-3</v>
      </c>
    </row>
    <row r="274" spans="1:26" s="24" customFormat="1" hidden="1" outlineLevel="1" x14ac:dyDescent="0.25">
      <c r="A274" s="44"/>
      <c r="B274" s="11" t="str">
        <f>CONCATENATE("          ", "4098", " - ", "TAXABLE SALES-GRAD RENTALS")</f>
        <v xml:space="preserve">          4098 - TAXABLE SALES-GRAD RENTALS</v>
      </c>
      <c r="C274" s="11"/>
      <c r="D274" s="2">
        <f>--110</f>
        <v>110</v>
      </c>
      <c r="E274" s="2"/>
      <c r="F274" s="19">
        <f t="shared" si="136"/>
        <v>1.0263990201211156E-4</v>
      </c>
      <c r="G274" s="2"/>
      <c r="H274" s="2"/>
      <c r="I274" s="2"/>
      <c r="J274" s="19">
        <f t="shared" si="137"/>
        <v>0</v>
      </c>
      <c r="K274" s="2"/>
      <c r="L274" s="2">
        <f t="shared" si="138"/>
        <v>110</v>
      </c>
      <c r="M274" s="2"/>
      <c r="N274" s="19">
        <f t="shared" si="139"/>
        <v>0</v>
      </c>
      <c r="O274" s="11"/>
      <c r="P274" s="2">
        <f>--2056.85</f>
        <v>2056.85</v>
      </c>
      <c r="Q274" s="2"/>
      <c r="R274" s="19">
        <f t="shared" si="140"/>
        <v>1.9462437401665354E-4</v>
      </c>
      <c r="S274" s="2"/>
      <c r="T274" s="2"/>
      <c r="U274" s="2"/>
      <c r="V274" s="19">
        <f t="shared" si="141"/>
        <v>0</v>
      </c>
      <c r="W274" s="2"/>
      <c r="X274" s="2">
        <f t="shared" si="142"/>
        <v>2056.85</v>
      </c>
      <c r="Y274" s="2"/>
      <c r="Z274" s="19">
        <f t="shared" si="143"/>
        <v>0</v>
      </c>
    </row>
    <row r="275" spans="1:26" s="24" customFormat="1" hidden="1" outlineLevel="1" x14ac:dyDescent="0.25">
      <c r="A275" s="44"/>
      <c r="B275" s="11" t="str">
        <f>CONCATENATE("          ", "4197", " - ", "NON-TAXABLE SALES-RETURNED CHE")</f>
        <v xml:space="preserve">          4197 - NON-TAXABLE SALES-RETURNED CHE</v>
      </c>
      <c r="C275" s="11"/>
      <c r="D275" s="2">
        <f t="shared" ref="D275:D276" si="144">0</f>
        <v>0</v>
      </c>
      <c r="E275" s="2"/>
      <c r="F275" s="19">
        <f t="shared" si="136"/>
        <v>0</v>
      </c>
      <c r="G275" s="2"/>
      <c r="H275" s="2"/>
      <c r="I275" s="2"/>
      <c r="J275" s="19">
        <f t="shared" si="137"/>
        <v>0</v>
      </c>
      <c r="K275" s="2"/>
      <c r="L275" s="2">
        <f t="shared" si="138"/>
        <v>0</v>
      </c>
      <c r="M275" s="2"/>
      <c r="N275" s="19">
        <f t="shared" si="139"/>
        <v>0</v>
      </c>
      <c r="O275" s="11"/>
      <c r="P275" s="2">
        <f>--30</f>
        <v>30</v>
      </c>
      <c r="Q275" s="2"/>
      <c r="R275" s="19">
        <f t="shared" si="140"/>
        <v>2.8386762381795498E-6</v>
      </c>
      <c r="S275" s="2"/>
      <c r="T275" s="2"/>
      <c r="U275" s="2"/>
      <c r="V275" s="19">
        <f t="shared" si="141"/>
        <v>0</v>
      </c>
      <c r="W275" s="2"/>
      <c r="X275" s="2">
        <f t="shared" si="142"/>
        <v>30</v>
      </c>
      <c r="Y275" s="2"/>
      <c r="Z275" s="19">
        <f t="shared" si="143"/>
        <v>0</v>
      </c>
    </row>
    <row r="276" spans="1:26" s="24" customFormat="1" hidden="1" outlineLevel="1" x14ac:dyDescent="0.25">
      <c r="A276" s="44"/>
      <c r="B276" s="11" t="str">
        <f>CONCATENATE("          ", "4198", " - ", "NON-TAXABLE SALES-GRAD RENTALS")</f>
        <v xml:space="preserve">          4198 - NON-TAXABLE SALES-GRAD RENTALS</v>
      </c>
      <c r="C276" s="11"/>
      <c r="D276" s="2">
        <f t="shared" si="144"/>
        <v>0</v>
      </c>
      <c r="E276" s="2"/>
      <c r="F276" s="19">
        <f t="shared" si="136"/>
        <v>0</v>
      </c>
      <c r="G276" s="2"/>
      <c r="H276" s="2"/>
      <c r="I276" s="2"/>
      <c r="J276" s="19">
        <f t="shared" si="137"/>
        <v>0</v>
      </c>
      <c r="K276" s="2"/>
      <c r="L276" s="2">
        <f t="shared" si="138"/>
        <v>0</v>
      </c>
      <c r="M276" s="2"/>
      <c r="N276" s="19">
        <f t="shared" si="139"/>
        <v>0</v>
      </c>
      <c r="O276" s="11"/>
      <c r="P276" s="2">
        <f>--3732.1</f>
        <v>3732.1</v>
      </c>
      <c r="Q276" s="2"/>
      <c r="R276" s="19">
        <f t="shared" si="140"/>
        <v>3.5314078628366323E-4</v>
      </c>
      <c r="S276" s="2"/>
      <c r="T276" s="2"/>
      <c r="U276" s="2"/>
      <c r="V276" s="19">
        <f t="shared" si="141"/>
        <v>0</v>
      </c>
      <c r="W276" s="2"/>
      <c r="X276" s="2">
        <f t="shared" si="142"/>
        <v>3732.1</v>
      </c>
      <c r="Y276" s="2"/>
      <c r="Z276" s="19">
        <f t="shared" si="143"/>
        <v>0</v>
      </c>
    </row>
    <row r="277" spans="1:26" s="24" customFormat="1" hidden="1" outlineLevel="1" x14ac:dyDescent="0.25">
      <c r="A277" s="44"/>
      <c r="B277" s="11" t="str">
        <f>CONCATENATE("          ", "9150", " - ", "MISC. INCOME")</f>
        <v xml:space="preserve">          9150 - MISC. INCOME</v>
      </c>
      <c r="C277" s="11"/>
      <c r="D277" s="2">
        <f>--77055.16</f>
        <v>77055.16</v>
      </c>
      <c r="E277" s="2"/>
      <c r="F277" s="19">
        <f t="shared" si="136"/>
        <v>7.1899400653887086E-2</v>
      </c>
      <c r="G277" s="2"/>
      <c r="H277" s="2">
        <v>29225</v>
      </c>
      <c r="I277" s="2"/>
      <c r="J277" s="19">
        <f t="shared" si="137"/>
        <v>2.6631255940606755E-2</v>
      </c>
      <c r="K277" s="2"/>
      <c r="L277" s="2">
        <f t="shared" si="138"/>
        <v>47830.16</v>
      </c>
      <c r="M277" s="2"/>
      <c r="N277" s="19">
        <f t="shared" si="139"/>
        <v>1.6366179640718563</v>
      </c>
      <c r="O277" s="11"/>
      <c r="P277" s="2">
        <f>--363408.14</f>
        <v>363408.14</v>
      </c>
      <c r="Q277" s="2"/>
      <c r="R277" s="19">
        <f t="shared" si="140"/>
        <v>3.4386601725967574E-2</v>
      </c>
      <c r="S277" s="2"/>
      <c r="T277" s="2">
        <v>246050</v>
      </c>
      <c r="U277" s="2"/>
      <c r="V277" s="19">
        <f t="shared" si="141"/>
        <v>2.202595986011046E-2</v>
      </c>
      <c r="W277" s="2"/>
      <c r="X277" s="2">
        <f t="shared" si="142"/>
        <v>117358.14000000001</v>
      </c>
      <c r="Y277" s="2"/>
      <c r="Z277" s="19">
        <f t="shared" si="143"/>
        <v>0.47696866490550704</v>
      </c>
    </row>
    <row r="278" spans="1:26" s="24" customFormat="1" hidden="1" outlineLevel="1" x14ac:dyDescent="0.25">
      <c r="A278" s="44"/>
      <c r="B278" s="11" t="str">
        <f>CONCATENATE("          ", "9151", " - ", "MISC. INCOME")</f>
        <v xml:space="preserve">          9151 - MISC. INCOME</v>
      </c>
      <c r="C278" s="11"/>
      <c r="D278" s="2">
        <f>--70124.28</f>
        <v>70124.28</v>
      </c>
      <c r="E278" s="2"/>
      <c r="F278" s="19">
        <f t="shared" si="136"/>
        <v>6.5432265707907958E-2</v>
      </c>
      <c r="G278" s="2"/>
      <c r="H278" s="2">
        <v>12850</v>
      </c>
      <c r="I278" s="2"/>
      <c r="J278" s="19">
        <f t="shared" si="137"/>
        <v>1.170955137166114E-2</v>
      </c>
      <c r="K278" s="2"/>
      <c r="L278" s="2">
        <f t="shared" si="138"/>
        <v>57274.28</v>
      </c>
      <c r="M278" s="2"/>
      <c r="N278" s="19">
        <f t="shared" si="139"/>
        <v>4.4571424124513621</v>
      </c>
      <c r="O278" s="11"/>
      <c r="P278" s="2">
        <f>--156077.66</f>
        <v>156077.66</v>
      </c>
      <c r="Q278" s="2"/>
      <c r="R278" s="19">
        <f t="shared" si="140"/>
        <v>1.4768464825088893E-2</v>
      </c>
      <c r="S278" s="2"/>
      <c r="T278" s="2">
        <v>90550</v>
      </c>
      <c r="U278" s="2"/>
      <c r="V278" s="19">
        <f t="shared" si="141"/>
        <v>8.1058754941394119E-3</v>
      </c>
      <c r="W278" s="2"/>
      <c r="X278" s="2">
        <f t="shared" si="142"/>
        <v>65527.66</v>
      </c>
      <c r="Y278" s="2"/>
      <c r="Z278" s="19">
        <f t="shared" si="143"/>
        <v>0.72366272777471019</v>
      </c>
    </row>
    <row r="279" spans="1:26" s="24" customFormat="1" hidden="1" outlineLevel="1" x14ac:dyDescent="0.25">
      <c r="A279" s="44"/>
      <c r="B279" s="11" t="str">
        <f>CONCATENATE("          ", "9152", " - ", "MISC. INCOME")</f>
        <v xml:space="preserve">          9152 - MISC. INCOME</v>
      </c>
      <c r="C279" s="11"/>
      <c r="D279" s="2">
        <f t="shared" ref="D279:D281" si="145">0</f>
        <v>0</v>
      </c>
      <c r="E279" s="2"/>
      <c r="F279" s="19">
        <f t="shared" si="136"/>
        <v>0</v>
      </c>
      <c r="G279" s="2"/>
      <c r="H279" s="2"/>
      <c r="I279" s="2"/>
      <c r="J279" s="19">
        <f t="shared" si="137"/>
        <v>0</v>
      </c>
      <c r="K279" s="2"/>
      <c r="L279" s="2">
        <f t="shared" si="138"/>
        <v>0</v>
      </c>
      <c r="M279" s="2"/>
      <c r="N279" s="19">
        <f t="shared" si="139"/>
        <v>0</v>
      </c>
      <c r="O279" s="11"/>
      <c r="P279" s="2">
        <f>--4699.86</f>
        <v>4699.8599999999997</v>
      </c>
      <c r="Q279" s="2"/>
      <c r="R279" s="19">
        <f t="shared" si="140"/>
        <v>4.447126968256846E-4</v>
      </c>
      <c r="S279" s="2"/>
      <c r="T279" s="2"/>
      <c r="U279" s="2"/>
      <c r="V279" s="19">
        <f t="shared" si="141"/>
        <v>0</v>
      </c>
      <c r="W279" s="2"/>
      <c r="X279" s="2">
        <f t="shared" si="142"/>
        <v>4699.8599999999997</v>
      </c>
      <c r="Y279" s="2"/>
      <c r="Z279" s="19">
        <f t="shared" si="143"/>
        <v>0</v>
      </c>
    </row>
    <row r="280" spans="1:26" s="24" customFormat="1" hidden="1" outlineLevel="1" x14ac:dyDescent="0.25">
      <c r="A280" s="44"/>
      <c r="B280" s="11" t="str">
        <f>CONCATENATE("          ", "9153", " - ", "MISC. INCOME")</f>
        <v xml:space="preserve">          9153 - MISC. INCOME</v>
      </c>
      <c r="C280" s="11"/>
      <c r="D280" s="2">
        <f t="shared" si="145"/>
        <v>0</v>
      </c>
      <c r="E280" s="2"/>
      <c r="F280" s="19">
        <f t="shared" si="136"/>
        <v>0</v>
      </c>
      <c r="G280" s="2"/>
      <c r="H280" s="2"/>
      <c r="I280" s="2"/>
      <c r="J280" s="19">
        <f t="shared" si="137"/>
        <v>0</v>
      </c>
      <c r="K280" s="2"/>
      <c r="L280" s="2">
        <f t="shared" si="138"/>
        <v>0</v>
      </c>
      <c r="M280" s="2"/>
      <c r="N280" s="19">
        <f t="shared" si="139"/>
        <v>0</v>
      </c>
      <c r="O280" s="11"/>
      <c r="P280" s="2">
        <f>--450</f>
        <v>450</v>
      </c>
      <c r="Q280" s="2"/>
      <c r="R280" s="19">
        <f t="shared" si="140"/>
        <v>4.2580143572693247E-5</v>
      </c>
      <c r="S280" s="2"/>
      <c r="T280" s="2"/>
      <c r="U280" s="2"/>
      <c r="V280" s="19">
        <f t="shared" si="141"/>
        <v>0</v>
      </c>
      <c r="W280" s="2"/>
      <c r="X280" s="2">
        <f t="shared" si="142"/>
        <v>450</v>
      </c>
      <c r="Y280" s="2"/>
      <c r="Z280" s="19">
        <f t="shared" si="143"/>
        <v>0</v>
      </c>
    </row>
    <row r="281" spans="1:26" s="24" customFormat="1" hidden="1" outlineLevel="1" x14ac:dyDescent="0.25">
      <c r="A281" s="44"/>
      <c r="B281" s="11" t="str">
        <f>CONCATENATE("          ", "9160", " - ", "MISC. INCOME")</f>
        <v xml:space="preserve">          9160 - MISC. INCOME</v>
      </c>
      <c r="C281" s="11"/>
      <c r="D281" s="2">
        <f t="shared" si="145"/>
        <v>0</v>
      </c>
      <c r="E281" s="2"/>
      <c r="F281" s="19">
        <f t="shared" si="136"/>
        <v>0</v>
      </c>
      <c r="G281" s="2"/>
      <c r="H281" s="2">
        <v>91800</v>
      </c>
      <c r="I281" s="2"/>
      <c r="J281" s="19">
        <f t="shared" si="137"/>
        <v>8.3652670499493584E-2</v>
      </c>
      <c r="K281" s="2"/>
      <c r="L281" s="2">
        <f t="shared" si="138"/>
        <v>-91800</v>
      </c>
      <c r="M281" s="2"/>
      <c r="N281" s="19">
        <f t="shared" si="139"/>
        <v>-1</v>
      </c>
      <c r="O281" s="11"/>
      <c r="P281" s="2">
        <f>--22475</f>
        <v>22475</v>
      </c>
      <c r="Q281" s="2"/>
      <c r="R281" s="19">
        <f t="shared" si="140"/>
        <v>2.1266416151028461E-3</v>
      </c>
      <c r="S281" s="2"/>
      <c r="T281" s="2">
        <v>305550</v>
      </c>
      <c r="U281" s="2"/>
      <c r="V281" s="19">
        <f t="shared" si="141"/>
        <v>2.7352294392427357E-2</v>
      </c>
      <c r="W281" s="2"/>
      <c r="X281" s="2">
        <f t="shared" si="142"/>
        <v>-283075</v>
      </c>
      <c r="Y281" s="2"/>
      <c r="Z281" s="19">
        <f t="shared" si="143"/>
        <v>-0.92644411716576669</v>
      </c>
    </row>
    <row r="282" spans="1:26" s="24" customFormat="1" hidden="1" outlineLevel="1" x14ac:dyDescent="0.25">
      <c r="A282" s="44"/>
      <c r="B282" s="11" t="str">
        <f>CONCATENATE("          ", "9163", " - ", "MISC. INCOME")</f>
        <v xml:space="preserve">          9163 - MISC. INCOME</v>
      </c>
      <c r="C282" s="11"/>
      <c r="D282" s="2">
        <f>--23333.33</f>
        <v>23333.33</v>
      </c>
      <c r="E282" s="2"/>
      <c r="F282" s="19">
        <f t="shared" si="136"/>
        <v>2.1772097316511484E-2</v>
      </c>
      <c r="G282" s="2"/>
      <c r="H282" s="2"/>
      <c r="I282" s="2"/>
      <c r="J282" s="19">
        <f t="shared" si="137"/>
        <v>0</v>
      </c>
      <c r="K282" s="2"/>
      <c r="L282" s="2">
        <f t="shared" si="138"/>
        <v>23333.33</v>
      </c>
      <c r="M282" s="2"/>
      <c r="N282" s="19">
        <f t="shared" si="139"/>
        <v>0</v>
      </c>
      <c r="O282" s="11"/>
      <c r="P282" s="2">
        <f>--84439.88</f>
        <v>84439.88</v>
      </c>
      <c r="Q282" s="2"/>
      <c r="R282" s="19">
        <f t="shared" si="140"/>
        <v>7.9899160303577542E-3</v>
      </c>
      <c r="S282" s="2"/>
      <c r="T282" s="2"/>
      <c r="U282" s="2"/>
      <c r="V282" s="19">
        <f t="shared" si="141"/>
        <v>0</v>
      </c>
      <c r="W282" s="2"/>
      <c r="X282" s="2">
        <f t="shared" si="142"/>
        <v>84439.88</v>
      </c>
      <c r="Y282" s="2"/>
      <c r="Z282" s="19">
        <f t="shared" si="143"/>
        <v>0</v>
      </c>
    </row>
    <row r="283" spans="1:26" x14ac:dyDescent="0.25">
      <c r="A283" s="9"/>
      <c r="B283" s="10"/>
      <c r="C283" s="10"/>
      <c r="D283" s="3"/>
      <c r="E283" s="3"/>
      <c r="F283" s="8"/>
      <c r="G283" s="3"/>
      <c r="H283" s="3"/>
      <c r="I283" s="3"/>
      <c r="J283" s="8"/>
      <c r="K283" s="3"/>
      <c r="L283" s="3"/>
      <c r="M283" s="3"/>
      <c r="N283" s="8"/>
      <c r="O283" s="10"/>
      <c r="P283" s="3"/>
      <c r="Q283" s="3"/>
      <c r="R283" s="8"/>
      <c r="S283" s="3"/>
      <c r="T283" s="3"/>
      <c r="U283" s="3"/>
      <c r="V283" s="8"/>
      <c r="W283" s="3"/>
      <c r="X283" s="3"/>
      <c r="Y283" s="3"/>
      <c r="Z283" s="8"/>
    </row>
    <row r="284" spans="1:26" s="23" customFormat="1" x14ac:dyDescent="0.25">
      <c r="A284" s="10"/>
      <c r="B284" s="28" t="s">
        <v>3</v>
      </c>
      <c r="C284" s="28"/>
      <c r="D284" s="21">
        <f>+D167-D169+D273</f>
        <v>64403.010000000126</v>
      </c>
      <c r="E284" s="14"/>
      <c r="F284" s="22">
        <f>IF(D$12=0,0,D284/D$12)</f>
        <v>6.0093805778955039E-2</v>
      </c>
      <c r="G284" s="14"/>
      <c r="H284" s="21">
        <f>+H167-H169+H273</f>
        <v>197621.93248681433</v>
      </c>
      <c r="I284" s="14"/>
      <c r="J284" s="22">
        <f>IF(H$12=0,0,H284/H$12)</f>
        <v>0.18008281483434255</v>
      </c>
      <c r="K284" s="15"/>
      <c r="L284" s="21">
        <f>+D284-H284</f>
        <v>-133218.9224868142</v>
      </c>
      <c r="M284" s="15"/>
      <c r="N284" s="22">
        <f>IF(H284=0,0,L284/H284)</f>
        <v>-0.6741100079855904</v>
      </c>
      <c r="O284" s="29"/>
      <c r="P284" s="21">
        <f>+P167-P169+P273</f>
        <v>1312474.8900000004</v>
      </c>
      <c r="Q284" s="14"/>
      <c r="R284" s="22">
        <f>IF(P$12=0,0,P284/P$12)</f>
        <v>0.12418970944834398</v>
      </c>
      <c r="S284" s="14"/>
      <c r="T284" s="21">
        <f>+T167-T169+T273</f>
        <v>1359848.1129266415</v>
      </c>
      <c r="U284" s="14"/>
      <c r="V284" s="22">
        <f>IF(T$12=0,0,T284/T$12)</f>
        <v>0.12173119264852332</v>
      </c>
      <c r="W284" s="15"/>
      <c r="X284" s="21">
        <f>+P284-T284</f>
        <v>-47373.222926641116</v>
      </c>
      <c r="Y284" s="15"/>
      <c r="Z284" s="22">
        <f>IF(T284=0,0,X284/T284)</f>
        <v>-3.4837142822285713E-2</v>
      </c>
    </row>
    <row r="285" spans="1:26" x14ac:dyDescent="0.25">
      <c r="A285" s="9"/>
      <c r="B285" s="10"/>
      <c r="C285" s="9"/>
      <c r="D285" s="3"/>
      <c r="E285" s="3"/>
      <c r="F285" s="8"/>
      <c r="G285" s="3"/>
      <c r="H285" s="3"/>
      <c r="I285" s="3"/>
      <c r="J285" s="8"/>
      <c r="K285" s="3"/>
      <c r="L285" s="3"/>
      <c r="M285" s="3"/>
      <c r="N285" s="8"/>
      <c r="P285" s="3"/>
      <c r="Q285" s="3"/>
      <c r="R285" s="8"/>
      <c r="S285" s="3"/>
      <c r="T285" s="3"/>
      <c r="U285" s="3"/>
      <c r="V285" s="8"/>
      <c r="W285" s="3"/>
      <c r="X285" s="3"/>
      <c r="Y285" s="3"/>
      <c r="Z285" s="8"/>
    </row>
    <row r="286" spans="1:26" s="23" customFormat="1" x14ac:dyDescent="0.25">
      <c r="A286" s="52"/>
      <c r="B286" s="10" t="s">
        <v>14</v>
      </c>
      <c r="C286" s="10"/>
      <c r="D286" s="4">
        <v>86758.7</v>
      </c>
      <c r="E286" s="4"/>
      <c r="F286" s="12">
        <f>IF(D$12=0,0,D286/D$12)</f>
        <v>8.0953676969983485E-2</v>
      </c>
      <c r="G286" s="4"/>
      <c r="H286" s="4">
        <v>103020</v>
      </c>
      <c r="I286" s="4"/>
      <c r="J286" s="12">
        <f>IF(H$12=0,0,H286/H$12)</f>
        <v>9.3876885782765027E-2</v>
      </c>
      <c r="K286" s="4"/>
      <c r="L286" s="4">
        <f>+D286-H286</f>
        <v>-16261.300000000003</v>
      </c>
      <c r="M286" s="4"/>
      <c r="N286" s="12">
        <f>IF(H286=0,0,L286/H286)</f>
        <v>-0.15784604931081347</v>
      </c>
      <c r="O286" s="10"/>
      <c r="P286" s="4">
        <v>1077119.4000000001</v>
      </c>
      <c r="Q286" s="4"/>
      <c r="R286" s="12">
        <f>IF(P$12=0,0,P286/P$12)</f>
        <v>0.10191977488207381</v>
      </c>
      <c r="S286" s="4"/>
      <c r="T286" s="4">
        <v>1343309</v>
      </c>
      <c r="U286" s="4"/>
      <c r="V286" s="12">
        <f>IF(T$12=0,0,T286/T$12)</f>
        <v>0.12025064057600131</v>
      </c>
      <c r="W286" s="4"/>
      <c r="X286" s="4">
        <f>+P286-T286</f>
        <v>-266189.59999999986</v>
      </c>
      <c r="Y286" s="4"/>
      <c r="Z286" s="12">
        <f>IF(T286=0,0,X286/T286)</f>
        <v>-0.19815961926853751</v>
      </c>
    </row>
    <row r="287" spans="1:26" x14ac:dyDescent="0.25">
      <c r="A287" s="9"/>
      <c r="B287" s="10"/>
      <c r="C287" s="10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O287" s="10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3" customFormat="1" ht="15.75" thickBot="1" x14ac:dyDescent="0.3">
      <c r="A288" s="10"/>
      <c r="B288" s="28" t="s">
        <v>4</v>
      </c>
      <c r="C288" s="28"/>
      <c r="D288" s="31">
        <f>+D284-D286</f>
        <v>-22355.689999999871</v>
      </c>
      <c r="E288" s="14"/>
      <c r="F288" s="32">
        <f>IF(D$12=0,0,D288/D$12)</f>
        <v>-2.0859871191028449E-2</v>
      </c>
      <c r="G288" s="14"/>
      <c r="H288" s="31">
        <f>+H284-H286</f>
        <v>94601.93248681433</v>
      </c>
      <c r="I288" s="14"/>
      <c r="J288" s="32">
        <f>IF(H$12=0,0,H288/H$12)</f>
        <v>8.6205929051577521E-2</v>
      </c>
      <c r="K288" s="15"/>
      <c r="L288" s="31">
        <f>D288-H288</f>
        <v>-116957.6224868142</v>
      </c>
      <c r="M288" s="15"/>
      <c r="N288" s="32">
        <f>IF(H288=0,0,L288/H288)</f>
        <v>-1.236313248707851</v>
      </c>
      <c r="O288" s="29"/>
      <c r="P288" s="31">
        <f>+P284-P286</f>
        <v>235355.49000000022</v>
      </c>
      <c r="Q288" s="14"/>
      <c r="R288" s="32">
        <f>IF(P$12=0,0,P288/P$12)</f>
        <v>2.2269934566270175E-2</v>
      </c>
      <c r="S288" s="14"/>
      <c r="T288" s="31">
        <f>+T284-T286</f>
        <v>16539.112926641479</v>
      </c>
      <c r="U288" s="14"/>
      <c r="V288" s="32">
        <f>IF(T$12=0,0,T288/T$12)</f>
        <v>1.4805520725220047E-3</v>
      </c>
      <c r="W288" s="15"/>
      <c r="X288" s="31">
        <f>P288-T288</f>
        <v>218816.37707335874</v>
      </c>
      <c r="Y288" s="15"/>
      <c r="Z288" s="32">
        <f>IF(T288=0,0,X288/T288)</f>
        <v>13.230236593940033</v>
      </c>
    </row>
    <row r="289" spans="1:26" ht="15.75" thickTop="1" x14ac:dyDescent="0.25">
      <c r="A289" s="9"/>
      <c r="B289" s="9"/>
      <c r="C289" s="9"/>
      <c r="D289" s="3"/>
      <c r="E289" s="3"/>
      <c r="F289" s="8"/>
      <c r="G289" s="3"/>
      <c r="H289" s="3"/>
      <c r="I289" s="3"/>
      <c r="J289" s="8"/>
      <c r="K289" s="3"/>
      <c r="L289" s="3"/>
      <c r="M289" s="3"/>
      <c r="N289" s="8"/>
      <c r="P289" s="3"/>
      <c r="Q289" s="3"/>
      <c r="R289" s="8"/>
      <c r="S289" s="3"/>
      <c r="T289" s="3"/>
      <c r="U289" s="3"/>
      <c r="V289" s="8"/>
      <c r="W289" s="3"/>
      <c r="X289" s="3"/>
      <c r="Y289" s="3"/>
      <c r="Z289" s="8"/>
    </row>
    <row r="290" spans="1:26" x14ac:dyDescent="0.25">
      <c r="A290" s="9"/>
      <c r="B290" s="9"/>
      <c r="C290" s="9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s="23" customFormat="1" ht="15.75" thickBot="1" x14ac:dyDescent="0.3">
      <c r="A291" s="10"/>
      <c r="B291" s="28" t="s">
        <v>5</v>
      </c>
      <c r="C291" s="28"/>
      <c r="D291" s="33">
        <f>SUM(D288:D290)</f>
        <v>-22355.689999999871</v>
      </c>
      <c r="E291" s="14"/>
      <c r="F291" s="30">
        <f>IF(D$12=0,0,D291/D$12)</f>
        <v>-2.0859871191028449E-2</v>
      </c>
      <c r="G291" s="14"/>
      <c r="H291" s="33">
        <f>SUM(H288:H290)</f>
        <v>94601.93248681433</v>
      </c>
      <c r="I291" s="14"/>
      <c r="J291" s="30">
        <f>IF(H$12=0,0,H291/H$12)</f>
        <v>8.6205929051577521E-2</v>
      </c>
      <c r="K291" s="15"/>
      <c r="L291" s="33">
        <f>+D291-H291</f>
        <v>-116957.6224868142</v>
      </c>
      <c r="M291" s="15"/>
      <c r="N291" s="30">
        <f>IF(H291=0,0,L291/H291)</f>
        <v>-1.236313248707851</v>
      </c>
      <c r="O291" s="29"/>
      <c r="P291" s="33">
        <f>SUM(P288:P290)</f>
        <v>235355.49000000022</v>
      </c>
      <c r="Q291" s="14"/>
      <c r="R291" s="30">
        <f>IF(P$12=0,0,P291/P$12)</f>
        <v>2.2269934566270175E-2</v>
      </c>
      <c r="S291" s="14"/>
      <c r="T291" s="33">
        <f>SUM(T288:T290)</f>
        <v>16539.112926641479</v>
      </c>
      <c r="U291" s="14"/>
      <c r="V291" s="30">
        <f>IF(T$12=0,0,T291/T$12)</f>
        <v>1.4805520725220047E-3</v>
      </c>
      <c r="W291" s="15"/>
      <c r="X291" s="33">
        <f>+P291-T291</f>
        <v>218816.37707335874</v>
      </c>
      <c r="Y291" s="15"/>
      <c r="Z291" s="30">
        <f>IF(T291=0,0,X291/T291)</f>
        <v>13.230236593940033</v>
      </c>
    </row>
    <row r="292" spans="1:26" ht="15.75" thickTop="1" x14ac:dyDescent="0.25">
      <c r="A292" s="9"/>
      <c r="C292" s="9"/>
      <c r="D292" s="17"/>
      <c r="E292" s="17"/>
      <c r="G292" s="17"/>
      <c r="H292" s="17"/>
      <c r="I292" s="17"/>
      <c r="J292" s="43"/>
      <c r="K292" s="17"/>
      <c r="L292" s="17"/>
      <c r="M292" s="17"/>
      <c r="P292" s="17"/>
      <c r="Q292" s="17"/>
      <c r="R292" s="43"/>
      <c r="S292" s="17"/>
      <c r="T292" s="17"/>
      <c r="U292" s="17"/>
      <c r="V292" s="43"/>
      <c r="W292" s="17"/>
      <c r="X292" s="17"/>
    </row>
    <row r="293" spans="1:26" x14ac:dyDescent="0.25">
      <c r="A293" s="9"/>
      <c r="B293" s="59">
        <v>43908.493962118053</v>
      </c>
      <c r="D293" s="17"/>
      <c r="E293" s="17"/>
      <c r="G293" s="17"/>
      <c r="H293" s="17"/>
      <c r="I293" s="17"/>
      <c r="J293" s="43"/>
      <c r="K293" s="17"/>
      <c r="L293" s="17"/>
      <c r="M293" s="17"/>
      <c r="P293" s="17"/>
      <c r="Q293" s="17"/>
      <c r="R293" s="43"/>
      <c r="S293" s="17"/>
      <c r="T293" s="17"/>
      <c r="U293" s="17"/>
      <c r="V293" s="43"/>
      <c r="W293" s="17"/>
      <c r="X293" s="17"/>
    </row>
    <row r="294" spans="1:26" x14ac:dyDescent="0.25">
      <c r="A294" s="9"/>
      <c r="B294" s="63" t="s">
        <v>314</v>
      </c>
      <c r="D294" s="17"/>
      <c r="E294" s="17"/>
      <c r="G294" s="17"/>
      <c r="H294" s="17"/>
      <c r="I294" s="17"/>
      <c r="J294" s="43"/>
      <c r="K294" s="17"/>
      <c r="L294" s="17"/>
      <c r="M294" s="17"/>
      <c r="P294" s="17"/>
      <c r="Q294" s="17"/>
      <c r="R294" s="43"/>
      <c r="S294" s="17"/>
      <c r="T294" s="17"/>
      <c r="U294" s="17"/>
      <c r="V294" s="43"/>
      <c r="W294" s="17"/>
      <c r="X294" s="17"/>
    </row>
    <row r="295" spans="1:26" x14ac:dyDescent="0.25">
      <c r="A295" s="9"/>
      <c r="B295" s="57"/>
      <c r="D295" s="17"/>
      <c r="E295" s="17"/>
      <c r="G295" s="17"/>
      <c r="H295" s="17"/>
      <c r="I295" s="17"/>
      <c r="J295" s="43"/>
      <c r="K295" s="17"/>
      <c r="L295" s="17"/>
      <c r="M295" s="17"/>
      <c r="P295" s="17"/>
      <c r="Q295" s="17"/>
      <c r="R295" s="43"/>
      <c r="S295" s="17"/>
      <c r="T295" s="17"/>
      <c r="U295" s="17"/>
      <c r="V295" s="43"/>
      <c r="W295" s="17"/>
      <c r="X295" s="17"/>
    </row>
    <row r="296" spans="1:26" x14ac:dyDescent="0.25">
      <c r="D296" s="17"/>
      <c r="E296" s="17"/>
      <c r="G296" s="17"/>
      <c r="H296" s="17"/>
      <c r="I296" s="17"/>
      <c r="J296" s="43"/>
      <c r="K296" s="17"/>
      <c r="L296" s="17"/>
      <c r="M296" s="17"/>
      <c r="P296" s="17"/>
      <c r="Q296" s="17"/>
      <c r="R296" s="43"/>
      <c r="S296" s="17"/>
      <c r="T296" s="17"/>
      <c r="U296" s="17"/>
      <c r="V296" s="43"/>
      <c r="W296" s="17"/>
      <c r="X296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677631.65999999957</v>
      </c>
      <c r="E12" s="4"/>
      <c r="F12" s="12"/>
      <c r="G12" s="4"/>
      <c r="H12" s="4">
        <f>SUM(OSRRefH13x_0)</f>
        <v>726535.73291000002</v>
      </c>
      <c r="I12" s="4"/>
      <c r="J12" s="12"/>
      <c r="K12" s="4"/>
      <c r="L12" s="4">
        <f t="shared" ref="L12:L107" si="0">+D12-H12</f>
        <v>-48904.072910000454</v>
      </c>
      <c r="M12" s="4"/>
      <c r="N12" s="12">
        <f t="shared" ref="N12:N107" si="1">IF(H12=0,0,L12/H12)</f>
        <v>-6.7311311329622481E-2</v>
      </c>
      <c r="O12" s="10"/>
      <c r="P12" s="4">
        <f>SUM(OSRRefP13x_0)</f>
        <v>8366246.2999999989</v>
      </c>
      <c r="Q12" s="4"/>
      <c r="R12" s="12"/>
      <c r="S12" s="4"/>
      <c r="T12" s="4">
        <f>SUM(OSRRefT13x_0)</f>
        <v>8993491.1071400009</v>
      </c>
      <c r="U12" s="4"/>
      <c r="V12" s="12"/>
      <c r="W12" s="4"/>
      <c r="X12" s="4">
        <f t="shared" ref="X12:X107" si="2">+P12-T12</f>
        <v>-627244.80714000203</v>
      </c>
      <c r="Y12" s="4"/>
      <c r="Z12" s="12">
        <f t="shared" ref="Z12:Z107" si="3">IF(T12=0,0,X12/T12)</f>
        <v>-6.9744307262618807E-2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513193.73291000002</v>
      </c>
      <c r="I13" s="2"/>
      <c r="J13" s="19"/>
      <c r="K13" s="2"/>
      <c r="L13" s="2">
        <f t="shared" si="0"/>
        <v>-513193.73291000002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3475139.10714</v>
      </c>
      <c r="U13" s="2"/>
      <c r="V13" s="19"/>
      <c r="W13" s="2"/>
      <c r="X13" s="2">
        <f t="shared" si="2"/>
        <v>-3475139.10714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/>
      <c r="I14" s="2"/>
      <c r="J14" s="19"/>
      <c r="K14" s="2"/>
      <c r="L14" s="2">
        <f t="shared" si="0"/>
        <v>104784.96000000001</v>
      </c>
      <c r="M14" s="2"/>
      <c r="N14" s="19">
        <f t="shared" si="1"/>
        <v>0</v>
      </c>
      <c r="O14" s="11"/>
      <c r="P14" s="2">
        <f>--2390761.72</f>
        <v>2390761.7200000002</v>
      </c>
      <c r="Q14" s="2"/>
      <c r="R14" s="19"/>
      <c r="S14" s="2"/>
      <c r="T14" s="2"/>
      <c r="U14" s="2"/>
      <c r="V14" s="19"/>
      <c r="W14" s="2"/>
      <c r="X14" s="2">
        <f t="shared" si="2"/>
        <v>2390761.7200000002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/>
      <c r="I15" s="2"/>
      <c r="J15" s="19"/>
      <c r="K15" s="2"/>
      <c r="L15" s="2">
        <f t="shared" si="0"/>
        <v>46558.78</v>
      </c>
      <c r="M15" s="2"/>
      <c r="N15" s="19">
        <f t="shared" si="1"/>
        <v>0</v>
      </c>
      <c r="O15" s="11"/>
      <c r="P15" s="2">
        <f>--1239973.19</f>
        <v>1239973.19</v>
      </c>
      <c r="Q15" s="2"/>
      <c r="R15" s="19"/>
      <c r="S15" s="2"/>
      <c r="T15" s="2"/>
      <c r="U15" s="2"/>
      <c r="V15" s="19"/>
      <c r="W15" s="2"/>
      <c r="X15" s="2">
        <f t="shared" si="2"/>
        <v>1239973.19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/>
      <c r="I16" s="2"/>
      <c r="J16" s="19"/>
      <c r="K16" s="2"/>
      <c r="L16" s="2">
        <f t="shared" si="0"/>
        <v>1344.88</v>
      </c>
      <c r="M16" s="2"/>
      <c r="N16" s="19">
        <f t="shared" si="1"/>
        <v>0</v>
      </c>
      <c r="O16" s="11"/>
      <c r="P16" s="2">
        <f>--33616.89</f>
        <v>33616.89</v>
      </c>
      <c r="Q16" s="2"/>
      <c r="R16" s="19"/>
      <c r="S16" s="2"/>
      <c r="T16" s="2"/>
      <c r="U16" s="2"/>
      <c r="V16" s="19"/>
      <c r="W16" s="2"/>
      <c r="X16" s="2">
        <f t="shared" si="2"/>
        <v>33616.89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/>
      <c r="I17" s="2"/>
      <c r="J17" s="19"/>
      <c r="K17" s="2"/>
      <c r="L17" s="2">
        <f t="shared" si="0"/>
        <v>993.89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/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/>
      <c r="U18" s="2"/>
      <c r="V18" s="19"/>
      <c r="W18" s="2"/>
      <c r="X18" s="2">
        <f t="shared" si="2"/>
        <v>798.88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/>
      <c r="I19" s="2"/>
      <c r="J19" s="19"/>
      <c r="K19" s="2"/>
      <c r="L19" s="2">
        <f t="shared" si="0"/>
        <v>772.36</v>
      </c>
      <c r="M19" s="2"/>
      <c r="N19" s="19">
        <f t="shared" si="1"/>
        <v>0</v>
      </c>
      <c r="O19" s="11"/>
      <c r="P19" s="2">
        <f>--2282.25</f>
        <v>2282.25</v>
      </c>
      <c r="Q19" s="2"/>
      <c r="R19" s="19"/>
      <c r="S19" s="2"/>
      <c r="T19" s="2"/>
      <c r="U19" s="2"/>
      <c r="V19" s="19"/>
      <c r="W19" s="2"/>
      <c r="X19" s="2">
        <f t="shared" si="2"/>
        <v>2282.25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/>
      <c r="I20" s="2"/>
      <c r="J20" s="19"/>
      <c r="K20" s="2"/>
      <c r="L20" s="2">
        <f t="shared" si="0"/>
        <v>51.77</v>
      </c>
      <c r="M20" s="2"/>
      <c r="N20" s="19">
        <f t="shared" si="1"/>
        <v>0</v>
      </c>
      <c r="O20" s="11"/>
      <c r="P20" s="2">
        <f>--1151.94</f>
        <v>1151.94</v>
      </c>
      <c r="Q20" s="2"/>
      <c r="R20" s="19"/>
      <c r="S20" s="2"/>
      <c r="T20" s="2"/>
      <c r="U20" s="2"/>
      <c r="V20" s="19"/>
      <c r="W20" s="2"/>
      <c r="X20" s="2">
        <f t="shared" si="2"/>
        <v>1151.94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/>
      <c r="I21" s="2"/>
      <c r="J21" s="19"/>
      <c r="K21" s="2"/>
      <c r="L21" s="2">
        <f t="shared" si="0"/>
        <v>16.47</v>
      </c>
      <c r="M21" s="2"/>
      <c r="N21" s="19">
        <f t="shared" si="1"/>
        <v>0</v>
      </c>
      <c r="O21" s="11"/>
      <c r="P21" s="2">
        <f>--271.59</f>
        <v>271.58999999999997</v>
      </c>
      <c r="Q21" s="2"/>
      <c r="R21" s="19"/>
      <c r="S21" s="2"/>
      <c r="T21" s="2"/>
      <c r="U21" s="2"/>
      <c r="V21" s="19"/>
      <c r="W21" s="2"/>
      <c r="X21" s="2">
        <f t="shared" si="2"/>
        <v>271.58999999999997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/>
      <c r="I22" s="2"/>
      <c r="J22" s="19"/>
      <c r="K22" s="2"/>
      <c r="L22" s="2">
        <f t="shared" si="0"/>
        <v>469.81</v>
      </c>
      <c r="M22" s="2"/>
      <c r="N22" s="19">
        <f t="shared" si="1"/>
        <v>0</v>
      </c>
      <c r="O22" s="11"/>
      <c r="P22" s="2">
        <f>--4097.71</f>
        <v>4097.71</v>
      </c>
      <c r="Q22" s="2"/>
      <c r="R22" s="19"/>
      <c r="S22" s="2"/>
      <c r="T22" s="2"/>
      <c r="U22" s="2"/>
      <c r="V22" s="19"/>
      <c r="W22" s="2"/>
      <c r="X22" s="2">
        <f t="shared" si="2"/>
        <v>4097.71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/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/>
      <c r="I24" s="2"/>
      <c r="J24" s="19"/>
      <c r="K24" s="2"/>
      <c r="L24" s="2">
        <f t="shared" si="0"/>
        <v>11343.24</v>
      </c>
      <c r="M24" s="2"/>
      <c r="N24" s="19">
        <f t="shared" si="1"/>
        <v>0</v>
      </c>
      <c r="O24" s="11"/>
      <c r="P24" s="2">
        <f>--51783.69</f>
        <v>51783.69</v>
      </c>
      <c r="Q24" s="2"/>
      <c r="R24" s="19"/>
      <c r="S24" s="2"/>
      <c r="T24" s="2"/>
      <c r="U24" s="2"/>
      <c r="V24" s="19"/>
      <c r="W24" s="2"/>
      <c r="X24" s="2">
        <f t="shared" si="2"/>
        <v>51783.69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/>
      <c r="I25" s="2"/>
      <c r="J25" s="19"/>
      <c r="K25" s="2"/>
      <c r="L25" s="2">
        <f t="shared" si="0"/>
        <v>11784.71</v>
      </c>
      <c r="M25" s="2"/>
      <c r="N25" s="19">
        <f t="shared" si="1"/>
        <v>0</v>
      </c>
      <c r="O25" s="11"/>
      <c r="P25" s="2">
        <f>--75474.2</f>
        <v>75474.2</v>
      </c>
      <c r="Q25" s="2"/>
      <c r="R25" s="19"/>
      <c r="S25" s="2"/>
      <c r="T25" s="2"/>
      <c r="U25" s="2"/>
      <c r="V25" s="19"/>
      <c r="W25" s="2"/>
      <c r="X25" s="2">
        <f t="shared" si="2"/>
        <v>75474.2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/>
      <c r="I26" s="2"/>
      <c r="J26" s="19"/>
      <c r="K26" s="2"/>
      <c r="L26" s="2">
        <f t="shared" si="0"/>
        <v>30046.01</v>
      </c>
      <c r="M26" s="2"/>
      <c r="N26" s="19">
        <f t="shared" si="1"/>
        <v>0</v>
      </c>
      <c r="O26" s="11"/>
      <c r="P26" s="2">
        <f>--261693.33</f>
        <v>261693.33</v>
      </c>
      <c r="Q26" s="2"/>
      <c r="R26" s="19"/>
      <c r="S26" s="2"/>
      <c r="T26" s="2"/>
      <c r="U26" s="2"/>
      <c r="V26" s="19"/>
      <c r="W26" s="2"/>
      <c r="X26" s="2">
        <f t="shared" si="2"/>
        <v>261693.33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/>
      <c r="I27" s="2"/>
      <c r="J27" s="19"/>
      <c r="K27" s="2"/>
      <c r="L27" s="2">
        <f t="shared" si="0"/>
        <v>42663.45</v>
      </c>
      <c r="M27" s="2"/>
      <c r="N27" s="19">
        <f t="shared" si="1"/>
        <v>0</v>
      </c>
      <c r="O27" s="11"/>
      <c r="P27" s="2">
        <f>--275336.23</f>
        <v>275336.23</v>
      </c>
      <c r="Q27" s="2"/>
      <c r="R27" s="19"/>
      <c r="S27" s="2"/>
      <c r="T27" s="2"/>
      <c r="U27" s="2"/>
      <c r="V27" s="19"/>
      <c r="W27" s="2"/>
      <c r="X27" s="2">
        <f t="shared" si="2"/>
        <v>275336.23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/>
      <c r="I28" s="2"/>
      <c r="J28" s="19"/>
      <c r="K28" s="2"/>
      <c r="L28" s="2">
        <f t="shared" si="0"/>
        <v>92.07</v>
      </c>
      <c r="M28" s="2"/>
      <c r="N28" s="19">
        <f t="shared" si="1"/>
        <v>0</v>
      </c>
      <c r="O28" s="11"/>
      <c r="P28" s="2">
        <f>--442.04</f>
        <v>442.04</v>
      </c>
      <c r="Q28" s="2"/>
      <c r="R28" s="19"/>
      <c r="S28" s="2"/>
      <c r="T28" s="2"/>
      <c r="U28" s="2"/>
      <c r="V28" s="19"/>
      <c r="W28" s="2"/>
      <c r="X28" s="2">
        <f t="shared" si="2"/>
        <v>442.04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--555.66</f>
        <v>555.66</v>
      </c>
      <c r="E29" s="2"/>
      <c r="F29" s="19"/>
      <c r="G29" s="2"/>
      <c r="H29" s="2"/>
      <c r="I29" s="2"/>
      <c r="J29" s="19"/>
      <c r="K29" s="2"/>
      <c r="L29" s="2">
        <f t="shared" si="0"/>
        <v>555.66</v>
      </c>
      <c r="M29" s="2"/>
      <c r="N29" s="19">
        <f t="shared" si="1"/>
        <v>0</v>
      </c>
      <c r="O29" s="11"/>
      <c r="P29" s="2">
        <f>--1664.25</f>
        <v>1664.25</v>
      </c>
      <c r="Q29" s="2"/>
      <c r="R29" s="19"/>
      <c r="S29" s="2"/>
      <c r="T29" s="2"/>
      <c r="U29" s="2"/>
      <c r="V29" s="19"/>
      <c r="W29" s="2"/>
      <c r="X29" s="2">
        <f t="shared" si="2"/>
        <v>1664.25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/>
      <c r="I30" s="2"/>
      <c r="J30" s="19"/>
      <c r="K30" s="2"/>
      <c r="L30" s="2">
        <f t="shared" si="0"/>
        <v>33.83</v>
      </c>
      <c r="M30" s="2"/>
      <c r="N30" s="19">
        <f t="shared" si="1"/>
        <v>0</v>
      </c>
      <c r="O30" s="11"/>
      <c r="P30" s="2">
        <f>--179.98</f>
        <v>179.98</v>
      </c>
      <c r="Q30" s="2"/>
      <c r="R30" s="19"/>
      <c r="S30" s="2"/>
      <c r="T30" s="2"/>
      <c r="U30" s="2"/>
      <c r="V30" s="19"/>
      <c r="W30" s="2"/>
      <c r="X30" s="2">
        <f t="shared" si="2"/>
        <v>179.98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--1452.19</f>
        <v>1452.19</v>
      </c>
      <c r="E31" s="2"/>
      <c r="F31" s="19"/>
      <c r="G31" s="2"/>
      <c r="H31" s="2"/>
      <c r="I31" s="2"/>
      <c r="J31" s="19"/>
      <c r="K31" s="2"/>
      <c r="L31" s="2">
        <f t="shared" si="0"/>
        <v>1452.19</v>
      </c>
      <c r="M31" s="2"/>
      <c r="N31" s="19">
        <f t="shared" si="1"/>
        <v>0</v>
      </c>
      <c r="O31" s="11"/>
      <c r="P31" s="2">
        <f>--7203.43</f>
        <v>7203.43</v>
      </c>
      <c r="Q31" s="2"/>
      <c r="R31" s="19"/>
      <c r="S31" s="2"/>
      <c r="T31" s="2"/>
      <c r="U31" s="2"/>
      <c r="V31" s="19"/>
      <c r="W31" s="2"/>
      <c r="X31" s="2">
        <f t="shared" si="2"/>
        <v>7203.43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/>
      <c r="I32" s="2"/>
      <c r="J32" s="19"/>
      <c r="K32" s="2"/>
      <c r="L32" s="2">
        <f t="shared" si="0"/>
        <v>442.03</v>
      </c>
      <c r="M32" s="2"/>
      <c r="N32" s="19">
        <f t="shared" si="1"/>
        <v>0</v>
      </c>
      <c r="O32" s="11"/>
      <c r="P32" s="2">
        <f>--1880.52</f>
        <v>1880.52</v>
      </c>
      <c r="Q32" s="2"/>
      <c r="R32" s="19"/>
      <c r="S32" s="2"/>
      <c r="T32" s="2"/>
      <c r="U32" s="2"/>
      <c r="V32" s="19"/>
      <c r="W32" s="2"/>
      <c r="X32" s="2">
        <f t="shared" si="2"/>
        <v>1880.52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/>
      <c r="I33" s="2"/>
      <c r="J33" s="19"/>
      <c r="K33" s="2"/>
      <c r="L33" s="2">
        <f t="shared" si="0"/>
        <v>74.61</v>
      </c>
      <c r="M33" s="2"/>
      <c r="N33" s="19">
        <f t="shared" si="1"/>
        <v>0</v>
      </c>
      <c r="O33" s="11"/>
      <c r="P33" s="2">
        <f>--488.71</f>
        <v>488.71</v>
      </c>
      <c r="Q33" s="2"/>
      <c r="R33" s="19"/>
      <c r="S33" s="2"/>
      <c r="T33" s="2"/>
      <c r="U33" s="2"/>
      <c r="V33" s="19"/>
      <c r="W33" s="2"/>
      <c r="X33" s="2">
        <f t="shared" si="2"/>
        <v>488.71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/>
      <c r="I34" s="2"/>
      <c r="J34" s="19"/>
      <c r="K34" s="2"/>
      <c r="L34" s="2">
        <f t="shared" si="0"/>
        <v>197676.23</v>
      </c>
      <c r="M34" s="2"/>
      <c r="N34" s="19">
        <f t="shared" si="1"/>
        <v>0</v>
      </c>
      <c r="O34" s="11"/>
      <c r="P34" s="2">
        <f>--1682295.22</f>
        <v>1682295.22</v>
      </c>
      <c r="Q34" s="2"/>
      <c r="R34" s="19"/>
      <c r="S34" s="2"/>
      <c r="T34" s="2"/>
      <c r="U34" s="2"/>
      <c r="V34" s="19"/>
      <c r="W34" s="2"/>
      <c r="X34" s="2">
        <f t="shared" si="2"/>
        <v>1682295.22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/>
      <c r="I35" s="2"/>
      <c r="J35" s="19"/>
      <c r="K35" s="2"/>
      <c r="L35" s="2">
        <f t="shared" si="0"/>
        <v>41252.71</v>
      </c>
      <c r="M35" s="2"/>
      <c r="N35" s="19">
        <f t="shared" si="1"/>
        <v>0</v>
      </c>
      <c r="O35" s="11"/>
      <c r="P35" s="2">
        <f>--441821.19</f>
        <v>441821.19</v>
      </c>
      <c r="Q35" s="2"/>
      <c r="R35" s="19"/>
      <c r="S35" s="2"/>
      <c r="T35" s="2"/>
      <c r="U35" s="2"/>
      <c r="V35" s="19"/>
      <c r="W35" s="2"/>
      <c r="X35" s="2">
        <f t="shared" si="2"/>
        <v>441821.19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/>
      <c r="I36" s="2"/>
      <c r="J36" s="19"/>
      <c r="K36" s="2"/>
      <c r="L36" s="2">
        <f t="shared" si="0"/>
        <v>26570.92</v>
      </c>
      <c r="M36" s="2"/>
      <c r="N36" s="19">
        <f t="shared" si="1"/>
        <v>0</v>
      </c>
      <c r="O36" s="11"/>
      <c r="P36" s="2">
        <f>--259566.14</f>
        <v>259566.14</v>
      </c>
      <c r="Q36" s="2"/>
      <c r="R36" s="19"/>
      <c r="S36" s="2"/>
      <c r="T36" s="2"/>
      <c r="U36" s="2"/>
      <c r="V36" s="19"/>
      <c r="W36" s="2"/>
      <c r="X36" s="2">
        <f t="shared" si="2"/>
        <v>259566.14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/>
      <c r="I37" s="2"/>
      <c r="J37" s="19"/>
      <c r="K37" s="2"/>
      <c r="L37" s="2">
        <f t="shared" si="0"/>
        <v>53271</v>
      </c>
      <c r="M37" s="2"/>
      <c r="N37" s="19">
        <f t="shared" si="1"/>
        <v>0</v>
      </c>
      <c r="O37" s="11"/>
      <c r="P37" s="2">
        <f>--75901.71</f>
        <v>75901.710000000006</v>
      </c>
      <c r="Q37" s="2"/>
      <c r="R37" s="19"/>
      <c r="S37" s="2"/>
      <c r="T37" s="2"/>
      <c r="U37" s="2"/>
      <c r="V37" s="19"/>
      <c r="W37" s="2"/>
      <c r="X37" s="2">
        <f t="shared" si="2"/>
        <v>75901.710000000006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/>
      <c r="I38" s="2"/>
      <c r="J38" s="19"/>
      <c r="K38" s="2"/>
      <c r="L38" s="2">
        <f t="shared" si="0"/>
        <v>9848.33</v>
      </c>
      <c r="M38" s="2"/>
      <c r="N38" s="19">
        <f t="shared" si="1"/>
        <v>0</v>
      </c>
      <c r="O38" s="11"/>
      <c r="P38" s="2">
        <f>--62934.49</f>
        <v>62934.49</v>
      </c>
      <c r="Q38" s="2"/>
      <c r="R38" s="19"/>
      <c r="S38" s="2"/>
      <c r="T38" s="2"/>
      <c r="U38" s="2"/>
      <c r="V38" s="19"/>
      <c r="W38" s="2"/>
      <c r="X38" s="2">
        <f t="shared" si="2"/>
        <v>62934.49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/>
      <c r="I39" s="2"/>
      <c r="J39" s="19"/>
      <c r="K39" s="2"/>
      <c r="L39" s="2">
        <f t="shared" si="0"/>
        <v>815.01</v>
      </c>
      <c r="M39" s="2"/>
      <c r="N39" s="19">
        <f t="shared" si="1"/>
        <v>0</v>
      </c>
      <c r="O39" s="11"/>
      <c r="P39" s="2">
        <f>--70553.04</f>
        <v>70553.039999999994</v>
      </c>
      <c r="Q39" s="2"/>
      <c r="R39" s="19"/>
      <c r="S39" s="2"/>
      <c r="T39" s="2"/>
      <c r="U39" s="2"/>
      <c r="V39" s="19"/>
      <c r="W39" s="2"/>
      <c r="X39" s="2">
        <f t="shared" si="2"/>
        <v>70553.039999999994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/>
      <c r="I40" s="2"/>
      <c r="J40" s="19"/>
      <c r="K40" s="2"/>
      <c r="L40" s="2">
        <f t="shared" si="0"/>
        <v>208.95</v>
      </c>
      <c r="M40" s="2"/>
      <c r="N40" s="19">
        <f t="shared" si="1"/>
        <v>0</v>
      </c>
      <c r="O40" s="11"/>
      <c r="P40" s="2">
        <f>--2185.99</f>
        <v>2185.9899999999998</v>
      </c>
      <c r="Q40" s="2"/>
      <c r="R40" s="19"/>
      <c r="S40" s="2"/>
      <c r="T40" s="2"/>
      <c r="U40" s="2"/>
      <c r="V40" s="19"/>
      <c r="W40" s="2"/>
      <c r="X40" s="2">
        <f t="shared" si="2"/>
        <v>2185.9899999999998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--308.7</f>
        <v>308.7</v>
      </c>
      <c r="E41" s="2"/>
      <c r="F41" s="19"/>
      <c r="G41" s="2"/>
      <c r="H41" s="2"/>
      <c r="I41" s="2"/>
      <c r="J41" s="19"/>
      <c r="K41" s="2"/>
      <c r="L41" s="2">
        <f t="shared" si="0"/>
        <v>308.7</v>
      </c>
      <c r="M41" s="2"/>
      <c r="N41" s="19">
        <f t="shared" si="1"/>
        <v>0</v>
      </c>
      <c r="O41" s="11"/>
      <c r="P41" s="2">
        <f>--3109.98</f>
        <v>3109.98</v>
      </c>
      <c r="Q41" s="2"/>
      <c r="R41" s="19"/>
      <c r="S41" s="2"/>
      <c r="T41" s="2"/>
      <c r="U41" s="2"/>
      <c r="V41" s="19"/>
      <c r="W41" s="2"/>
      <c r="X41" s="2">
        <f t="shared" si="2"/>
        <v>3109.98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--76.98</f>
        <v>76.98</v>
      </c>
      <c r="E42" s="2"/>
      <c r="F42" s="19"/>
      <c r="G42" s="2"/>
      <c r="H42" s="2"/>
      <c r="I42" s="2"/>
      <c r="J42" s="19"/>
      <c r="K42" s="2"/>
      <c r="L42" s="2">
        <f t="shared" si="0"/>
        <v>76.98</v>
      </c>
      <c r="M42" s="2"/>
      <c r="N42" s="19">
        <f t="shared" si="1"/>
        <v>0</v>
      </c>
      <c r="O42" s="11"/>
      <c r="P42" s="2">
        <f>--295.98</f>
        <v>295.98</v>
      </c>
      <c r="Q42" s="2"/>
      <c r="R42" s="19"/>
      <c r="S42" s="2"/>
      <c r="T42" s="2"/>
      <c r="U42" s="2"/>
      <c r="V42" s="19"/>
      <c r="W42" s="2"/>
      <c r="X42" s="2">
        <f t="shared" si="2"/>
        <v>295.98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--34.97</f>
        <v>34.97</v>
      </c>
      <c r="E43" s="2"/>
      <c r="F43" s="19"/>
      <c r="G43" s="2"/>
      <c r="H43" s="2"/>
      <c r="I43" s="2"/>
      <c r="J43" s="19"/>
      <c r="K43" s="2"/>
      <c r="L43" s="2">
        <f t="shared" si="0"/>
        <v>34.97</v>
      </c>
      <c r="M43" s="2"/>
      <c r="N43" s="19">
        <f t="shared" si="1"/>
        <v>0</v>
      </c>
      <c r="O43" s="11"/>
      <c r="P43" s="2">
        <f>--884.36</f>
        <v>884.36</v>
      </c>
      <c r="Q43" s="2"/>
      <c r="R43" s="19"/>
      <c r="S43" s="2"/>
      <c r="T43" s="2"/>
      <c r="U43" s="2"/>
      <c r="V43" s="19"/>
      <c r="W43" s="2"/>
      <c r="X43" s="2">
        <f t="shared" si="2"/>
        <v>884.36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--28.98</f>
        <v>28.98</v>
      </c>
      <c r="E44" s="2"/>
      <c r="F44" s="19"/>
      <c r="G44" s="2"/>
      <c r="H44" s="2"/>
      <c r="I44" s="2"/>
      <c r="J44" s="19"/>
      <c r="K44" s="2"/>
      <c r="L44" s="2">
        <f t="shared" si="0"/>
        <v>28.98</v>
      </c>
      <c r="M44" s="2"/>
      <c r="N44" s="19">
        <f t="shared" si="1"/>
        <v>0</v>
      </c>
      <c r="O44" s="11"/>
      <c r="P44" s="2">
        <f>--804.74</f>
        <v>804.74</v>
      </c>
      <c r="Q44" s="2"/>
      <c r="R44" s="19"/>
      <c r="S44" s="2"/>
      <c r="T44" s="2"/>
      <c r="U44" s="2"/>
      <c r="V44" s="19"/>
      <c r="W44" s="2"/>
      <c r="X44" s="2">
        <f t="shared" si="2"/>
        <v>804.74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ref="D45:D46" si="4">0</f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--7659.37</f>
        <v>7659.37</v>
      </c>
      <c r="Q45" s="2"/>
      <c r="R45" s="19"/>
      <c r="S45" s="2"/>
      <c r="T45" s="2"/>
      <c r="U45" s="2"/>
      <c r="V45" s="19"/>
      <c r="W45" s="2"/>
      <c r="X45" s="2">
        <f t="shared" si="2"/>
        <v>7659.37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4"/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--309.26</f>
        <v>309.26</v>
      </c>
      <c r="Q46" s="2"/>
      <c r="R46" s="19"/>
      <c r="S46" s="2"/>
      <c r="T46" s="2"/>
      <c r="U46" s="2"/>
      <c r="V46" s="19"/>
      <c r="W46" s="2"/>
      <c r="X46" s="2">
        <f t="shared" si="2"/>
        <v>309.26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--22519.96</f>
        <v>22519.96</v>
      </c>
      <c r="E47" s="2"/>
      <c r="F47" s="19"/>
      <c r="G47" s="2"/>
      <c r="H47" s="2">
        <v>213342</v>
      </c>
      <c r="I47" s="2"/>
      <c r="J47" s="19"/>
      <c r="K47" s="2"/>
      <c r="L47" s="2">
        <f t="shared" si="0"/>
        <v>-190822.04</v>
      </c>
      <c r="M47" s="2"/>
      <c r="N47" s="19">
        <f t="shared" si="1"/>
        <v>-0.89444197579473339</v>
      </c>
      <c r="O47" s="11"/>
      <c r="P47" s="2">
        <f>--572740.12</f>
        <v>572740.12</v>
      </c>
      <c r="Q47" s="2"/>
      <c r="R47" s="19"/>
      <c r="S47" s="2"/>
      <c r="T47" s="2">
        <v>5518352</v>
      </c>
      <c r="U47" s="2"/>
      <c r="V47" s="19"/>
      <c r="W47" s="2"/>
      <c r="X47" s="2">
        <f t="shared" si="2"/>
        <v>-4945611.88</v>
      </c>
      <c r="Y47" s="2"/>
      <c r="Z47" s="19">
        <f t="shared" si="3"/>
        <v>-0.89621174582556529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--7332.54</f>
        <v>7332.54</v>
      </c>
      <c r="E48" s="2"/>
      <c r="F48" s="19"/>
      <c r="G48" s="2"/>
      <c r="H48" s="2"/>
      <c r="I48" s="2"/>
      <c r="J48" s="19"/>
      <c r="K48" s="2"/>
      <c r="L48" s="2">
        <f t="shared" si="0"/>
        <v>7332.54</v>
      </c>
      <c r="M48" s="2"/>
      <c r="N48" s="19">
        <f t="shared" si="1"/>
        <v>0</v>
      </c>
      <c r="O48" s="11"/>
      <c r="P48" s="2">
        <f>--139737.77</f>
        <v>139737.76999999999</v>
      </c>
      <c r="Q48" s="2"/>
      <c r="R48" s="19"/>
      <c r="S48" s="2"/>
      <c r="T48" s="2"/>
      <c r="U48" s="2"/>
      <c r="V48" s="19"/>
      <c r="W48" s="2"/>
      <c r="X48" s="2">
        <f t="shared" si="2"/>
        <v>139737.76999999999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--1850.06</f>
        <v>1850.06</v>
      </c>
      <c r="E49" s="2"/>
      <c r="F49" s="19"/>
      <c r="G49" s="2"/>
      <c r="H49" s="2"/>
      <c r="I49" s="2"/>
      <c r="J49" s="19"/>
      <c r="K49" s="2"/>
      <c r="L49" s="2">
        <f t="shared" si="0"/>
        <v>1850.06</v>
      </c>
      <c r="M49" s="2"/>
      <c r="N49" s="19">
        <f t="shared" si="1"/>
        <v>0</v>
      </c>
      <c r="O49" s="11"/>
      <c r="P49" s="2">
        <f>--68466.86</f>
        <v>68466.86</v>
      </c>
      <c r="Q49" s="2"/>
      <c r="R49" s="19"/>
      <c r="S49" s="2"/>
      <c r="T49" s="2"/>
      <c r="U49" s="2"/>
      <c r="V49" s="19"/>
      <c r="W49" s="2"/>
      <c r="X49" s="2">
        <f t="shared" si="2"/>
        <v>68466.86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/>
      <c r="U50" s="2"/>
      <c r="V50" s="19"/>
      <c r="W50" s="2"/>
      <c r="X50" s="2">
        <f t="shared" si="2"/>
        <v>664.97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--21322.38</f>
        <v>21322.38</v>
      </c>
      <c r="E51" s="2"/>
      <c r="F51" s="19"/>
      <c r="G51" s="2"/>
      <c r="H51" s="2"/>
      <c r="I51" s="2"/>
      <c r="J51" s="19"/>
      <c r="K51" s="2"/>
      <c r="L51" s="2">
        <f t="shared" si="0"/>
        <v>21322.38</v>
      </c>
      <c r="M51" s="2"/>
      <c r="N51" s="19">
        <f t="shared" si="1"/>
        <v>0</v>
      </c>
      <c r="O51" s="11"/>
      <c r="P51" s="2">
        <f>--523390.34</f>
        <v>523390.34</v>
      </c>
      <c r="Q51" s="2"/>
      <c r="R51" s="19"/>
      <c r="S51" s="2"/>
      <c r="T51" s="2"/>
      <c r="U51" s="2"/>
      <c r="V51" s="19"/>
      <c r="W51" s="2"/>
      <c r="X51" s="2">
        <f t="shared" si="2"/>
        <v>523390.34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--1651.49</f>
        <v>1651.49</v>
      </c>
      <c r="E52" s="2"/>
      <c r="F52" s="19"/>
      <c r="G52" s="2"/>
      <c r="H52" s="2"/>
      <c r="I52" s="2"/>
      <c r="J52" s="19"/>
      <c r="K52" s="2"/>
      <c r="L52" s="2">
        <f t="shared" si="0"/>
        <v>1651.49</v>
      </c>
      <c r="M52" s="2"/>
      <c r="N52" s="19">
        <f t="shared" si="1"/>
        <v>0</v>
      </c>
      <c r="O52" s="11"/>
      <c r="P52" s="2">
        <f>--14359.99</f>
        <v>14359.99</v>
      </c>
      <c r="Q52" s="2"/>
      <c r="R52" s="19"/>
      <c r="S52" s="2"/>
      <c r="T52" s="2"/>
      <c r="U52" s="2"/>
      <c r="V52" s="19"/>
      <c r="W52" s="2"/>
      <c r="X52" s="2">
        <f t="shared" si="2"/>
        <v>14359.99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--2215.2</f>
        <v>2215.1999999999998</v>
      </c>
      <c r="E53" s="2"/>
      <c r="F53" s="19"/>
      <c r="G53" s="2"/>
      <c r="H53" s="2"/>
      <c r="I53" s="2"/>
      <c r="J53" s="19"/>
      <c r="K53" s="2"/>
      <c r="L53" s="2">
        <f t="shared" si="0"/>
        <v>2215.1999999999998</v>
      </c>
      <c r="M53" s="2"/>
      <c r="N53" s="19">
        <f t="shared" si="1"/>
        <v>0</v>
      </c>
      <c r="O53" s="11"/>
      <c r="P53" s="2">
        <f>--3361.92</f>
        <v>3361.92</v>
      </c>
      <c r="Q53" s="2"/>
      <c r="R53" s="19"/>
      <c r="S53" s="2"/>
      <c r="T53" s="2"/>
      <c r="U53" s="2"/>
      <c r="V53" s="19"/>
      <c r="W53" s="2"/>
      <c r="X53" s="2">
        <f t="shared" si="2"/>
        <v>3361.92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--19.99</f>
        <v>19.989999999999998</v>
      </c>
      <c r="E54" s="2"/>
      <c r="F54" s="19"/>
      <c r="G54" s="2"/>
      <c r="H54" s="2"/>
      <c r="I54" s="2"/>
      <c r="J54" s="19"/>
      <c r="K54" s="2"/>
      <c r="L54" s="2">
        <f t="shared" si="0"/>
        <v>19.989999999999998</v>
      </c>
      <c r="M54" s="2"/>
      <c r="N54" s="19">
        <f t="shared" si="1"/>
        <v>0</v>
      </c>
      <c r="O54" s="11"/>
      <c r="P54" s="2">
        <f>--61.9</f>
        <v>61.9</v>
      </c>
      <c r="Q54" s="2"/>
      <c r="R54" s="19"/>
      <c r="S54" s="2"/>
      <c r="T54" s="2"/>
      <c r="U54" s="2"/>
      <c r="V54" s="19"/>
      <c r="W54" s="2"/>
      <c r="X54" s="2">
        <f t="shared" si="2"/>
        <v>61.9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--40.39</f>
        <v>40.39</v>
      </c>
      <c r="E55" s="2"/>
      <c r="F55" s="19"/>
      <c r="G55" s="2"/>
      <c r="H55" s="2"/>
      <c r="I55" s="2"/>
      <c r="J55" s="19"/>
      <c r="K55" s="2"/>
      <c r="L55" s="2">
        <f t="shared" si="0"/>
        <v>40.39</v>
      </c>
      <c r="M55" s="2"/>
      <c r="N55" s="19">
        <f t="shared" si="1"/>
        <v>0</v>
      </c>
      <c r="O55" s="11"/>
      <c r="P55" s="2">
        <f>--263.07</f>
        <v>263.07</v>
      </c>
      <c r="Q55" s="2"/>
      <c r="R55" s="19"/>
      <c r="S55" s="2"/>
      <c r="T55" s="2"/>
      <c r="U55" s="2"/>
      <c r="V55" s="19"/>
      <c r="W55" s="2"/>
      <c r="X55" s="2">
        <f t="shared" si="2"/>
        <v>263.07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--349.94</f>
        <v>349.94</v>
      </c>
      <c r="E56" s="2"/>
      <c r="F56" s="19"/>
      <c r="G56" s="2"/>
      <c r="H56" s="2"/>
      <c r="I56" s="2"/>
      <c r="J56" s="19"/>
      <c r="K56" s="2"/>
      <c r="L56" s="2">
        <f t="shared" si="0"/>
        <v>349.94</v>
      </c>
      <c r="M56" s="2"/>
      <c r="N56" s="19">
        <f t="shared" si="1"/>
        <v>0</v>
      </c>
      <c r="O56" s="11"/>
      <c r="P56" s="2">
        <f>--2906.58</f>
        <v>2906.58</v>
      </c>
      <c r="Q56" s="2"/>
      <c r="R56" s="19"/>
      <c r="S56" s="2"/>
      <c r="T56" s="2"/>
      <c r="U56" s="2"/>
      <c r="V56" s="19"/>
      <c r="W56" s="2"/>
      <c r="X56" s="2">
        <f t="shared" si="2"/>
        <v>2906.58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--527.81</f>
        <v>527.80999999999995</v>
      </c>
      <c r="E57" s="2"/>
      <c r="F57" s="19"/>
      <c r="G57" s="2"/>
      <c r="H57" s="2"/>
      <c r="I57" s="2"/>
      <c r="J57" s="19"/>
      <c r="K57" s="2"/>
      <c r="L57" s="2">
        <f t="shared" si="0"/>
        <v>527.80999999999995</v>
      </c>
      <c r="M57" s="2"/>
      <c r="N57" s="19">
        <f t="shared" si="1"/>
        <v>0</v>
      </c>
      <c r="O57" s="11"/>
      <c r="P57" s="2">
        <f>--4662.41</f>
        <v>4662.41</v>
      </c>
      <c r="Q57" s="2"/>
      <c r="R57" s="19"/>
      <c r="S57" s="2"/>
      <c r="T57" s="2"/>
      <c r="U57" s="2"/>
      <c r="V57" s="19"/>
      <c r="W57" s="2"/>
      <c r="X57" s="2">
        <f t="shared" si="2"/>
        <v>4662.41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--147.48</f>
        <v>147.47999999999999</v>
      </c>
      <c r="E58" s="2"/>
      <c r="F58" s="19"/>
      <c r="G58" s="2"/>
      <c r="H58" s="2"/>
      <c r="I58" s="2"/>
      <c r="J58" s="19"/>
      <c r="K58" s="2"/>
      <c r="L58" s="2">
        <f t="shared" si="0"/>
        <v>147.47999999999999</v>
      </c>
      <c r="M58" s="2"/>
      <c r="N58" s="19">
        <f t="shared" si="1"/>
        <v>0</v>
      </c>
      <c r="O58" s="11"/>
      <c r="P58" s="2">
        <f>--678.5</f>
        <v>678.5</v>
      </c>
      <c r="Q58" s="2"/>
      <c r="R58" s="19"/>
      <c r="S58" s="2"/>
      <c r="T58" s="2"/>
      <c r="U58" s="2"/>
      <c r="V58" s="19"/>
      <c r="W58" s="2"/>
      <c r="X58" s="2">
        <f t="shared" si="2"/>
        <v>678.5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--10371.21</f>
        <v>10371.209999999999</v>
      </c>
      <c r="E59" s="2"/>
      <c r="F59" s="19"/>
      <c r="G59" s="2"/>
      <c r="H59" s="2"/>
      <c r="I59" s="2"/>
      <c r="J59" s="19"/>
      <c r="K59" s="2"/>
      <c r="L59" s="2">
        <f t="shared" si="0"/>
        <v>10371.209999999999</v>
      </c>
      <c r="M59" s="2"/>
      <c r="N59" s="19">
        <f t="shared" si="1"/>
        <v>0</v>
      </c>
      <c r="O59" s="11"/>
      <c r="P59" s="2">
        <f>--53401.55</f>
        <v>53401.55</v>
      </c>
      <c r="Q59" s="2"/>
      <c r="R59" s="19"/>
      <c r="S59" s="2"/>
      <c r="T59" s="2"/>
      <c r="U59" s="2"/>
      <c r="V59" s="19"/>
      <c r="W59" s="2"/>
      <c r="X59" s="2">
        <f t="shared" si="2"/>
        <v>53401.55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--2501.74</f>
        <v>2501.7399999999998</v>
      </c>
      <c r="E60" s="2"/>
      <c r="F60" s="19"/>
      <c r="G60" s="2"/>
      <c r="H60" s="2"/>
      <c r="I60" s="2"/>
      <c r="J60" s="19"/>
      <c r="K60" s="2"/>
      <c r="L60" s="2">
        <f t="shared" si="0"/>
        <v>2501.7399999999998</v>
      </c>
      <c r="M60" s="2"/>
      <c r="N60" s="19">
        <f t="shared" si="1"/>
        <v>0</v>
      </c>
      <c r="O60" s="11"/>
      <c r="P60" s="2">
        <f>--15049.17</f>
        <v>15049.17</v>
      </c>
      <c r="Q60" s="2"/>
      <c r="R60" s="19"/>
      <c r="S60" s="2"/>
      <c r="T60" s="2"/>
      <c r="U60" s="2"/>
      <c r="V60" s="19"/>
      <c r="W60" s="2"/>
      <c r="X60" s="2">
        <f t="shared" si="2"/>
        <v>15049.17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--3264.8</f>
        <v>3264.8</v>
      </c>
      <c r="E61" s="2"/>
      <c r="F61" s="19"/>
      <c r="G61" s="2"/>
      <c r="H61" s="2"/>
      <c r="I61" s="2"/>
      <c r="J61" s="19"/>
      <c r="K61" s="2"/>
      <c r="L61" s="2">
        <f t="shared" si="0"/>
        <v>3264.8</v>
      </c>
      <c r="M61" s="2"/>
      <c r="N61" s="19">
        <f t="shared" si="1"/>
        <v>0</v>
      </c>
      <c r="O61" s="11"/>
      <c r="P61" s="2">
        <f>--16822.98</f>
        <v>16822.98</v>
      </c>
      <c r="Q61" s="2"/>
      <c r="R61" s="19"/>
      <c r="S61" s="2"/>
      <c r="T61" s="2"/>
      <c r="U61" s="2"/>
      <c r="V61" s="19"/>
      <c r="W61" s="2"/>
      <c r="X61" s="2">
        <f t="shared" si="2"/>
        <v>16822.98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>--1.89</f>
        <v>1.89</v>
      </c>
      <c r="E62" s="2"/>
      <c r="F62" s="19"/>
      <c r="G62" s="2"/>
      <c r="H62" s="2"/>
      <c r="I62" s="2"/>
      <c r="J62" s="19"/>
      <c r="K62" s="2"/>
      <c r="L62" s="2">
        <f t="shared" si="0"/>
        <v>1.89</v>
      </c>
      <c r="M62" s="2"/>
      <c r="N62" s="19">
        <f t="shared" si="1"/>
        <v>0</v>
      </c>
      <c r="O62" s="11"/>
      <c r="P62" s="2">
        <f>--1.89</f>
        <v>1.89</v>
      </c>
      <c r="Q62" s="2"/>
      <c r="R62" s="19"/>
      <c r="S62" s="2"/>
      <c r="T62" s="2"/>
      <c r="U62" s="2"/>
      <c r="V62" s="19"/>
      <c r="W62" s="2"/>
      <c r="X62" s="2">
        <f t="shared" si="2"/>
        <v>1.89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>--21.54</f>
        <v>21.54</v>
      </c>
      <c r="E63" s="2"/>
      <c r="F63" s="19"/>
      <c r="G63" s="2"/>
      <c r="H63" s="2"/>
      <c r="I63" s="2"/>
      <c r="J63" s="19"/>
      <c r="K63" s="2"/>
      <c r="L63" s="2">
        <f t="shared" si="0"/>
        <v>21.54</v>
      </c>
      <c r="M63" s="2"/>
      <c r="N63" s="19">
        <f t="shared" si="1"/>
        <v>0</v>
      </c>
      <c r="O63" s="11"/>
      <c r="P63" s="2">
        <f>--161.4</f>
        <v>161.4</v>
      </c>
      <c r="Q63" s="2"/>
      <c r="R63" s="19"/>
      <c r="S63" s="2"/>
      <c r="T63" s="2"/>
      <c r="U63" s="2"/>
      <c r="V63" s="19"/>
      <c r="W63" s="2"/>
      <c r="X63" s="2">
        <f t="shared" si="2"/>
        <v>161.4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--1339.6</f>
        <v>1339.6</v>
      </c>
      <c r="E64" s="2"/>
      <c r="F64" s="19"/>
      <c r="G64" s="2"/>
      <c r="H64" s="2"/>
      <c r="I64" s="2"/>
      <c r="J64" s="19"/>
      <c r="K64" s="2"/>
      <c r="L64" s="2">
        <f t="shared" si="0"/>
        <v>1339.6</v>
      </c>
      <c r="M64" s="2"/>
      <c r="N64" s="19">
        <f t="shared" si="1"/>
        <v>0</v>
      </c>
      <c r="O64" s="11"/>
      <c r="P64" s="2">
        <f>--7888.56</f>
        <v>7888.56</v>
      </c>
      <c r="Q64" s="2"/>
      <c r="R64" s="19"/>
      <c r="S64" s="2"/>
      <c r="T64" s="2"/>
      <c r="U64" s="2"/>
      <c r="V64" s="19"/>
      <c r="W64" s="2"/>
      <c r="X64" s="2">
        <f t="shared" si="2"/>
        <v>7888.56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--42582.67</f>
        <v>42582.67</v>
      </c>
      <c r="Q65" s="2"/>
      <c r="R65" s="19"/>
      <c r="S65" s="2"/>
      <c r="T65" s="2"/>
      <c r="U65" s="2"/>
      <c r="V65" s="19"/>
      <c r="W65" s="2"/>
      <c r="X65" s="2">
        <f t="shared" si="2"/>
        <v>42582.67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--6423.17</f>
        <v>6423.17</v>
      </c>
      <c r="E66" s="2"/>
      <c r="F66" s="19"/>
      <c r="G66" s="2"/>
      <c r="H66" s="2"/>
      <c r="I66" s="2"/>
      <c r="J66" s="19"/>
      <c r="K66" s="2"/>
      <c r="L66" s="2">
        <f t="shared" si="0"/>
        <v>6423.17</v>
      </c>
      <c r="M66" s="2"/>
      <c r="N66" s="19">
        <f t="shared" si="1"/>
        <v>0</v>
      </c>
      <c r="O66" s="11"/>
      <c r="P66" s="2">
        <f>--10672.17</f>
        <v>10672.17</v>
      </c>
      <c r="Q66" s="2"/>
      <c r="R66" s="19"/>
      <c r="S66" s="2"/>
      <c r="T66" s="2"/>
      <c r="U66" s="2"/>
      <c r="V66" s="19"/>
      <c r="W66" s="2"/>
      <c r="X66" s="2">
        <f t="shared" si="2"/>
        <v>10672.17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--1257.56</f>
        <v>1257.56</v>
      </c>
      <c r="E67" s="2"/>
      <c r="F67" s="19"/>
      <c r="G67" s="2"/>
      <c r="H67" s="2"/>
      <c r="I67" s="2"/>
      <c r="J67" s="19"/>
      <c r="K67" s="2"/>
      <c r="L67" s="2">
        <f t="shared" si="0"/>
        <v>1257.56</v>
      </c>
      <c r="M67" s="2"/>
      <c r="N67" s="19">
        <f t="shared" si="1"/>
        <v>0</v>
      </c>
      <c r="O67" s="11"/>
      <c r="P67" s="2">
        <f>--13692.85</f>
        <v>13692.85</v>
      </c>
      <c r="Q67" s="2"/>
      <c r="R67" s="19"/>
      <c r="S67" s="2"/>
      <c r="T67" s="2"/>
      <c r="U67" s="2"/>
      <c r="V67" s="19"/>
      <c r="W67" s="2"/>
      <c r="X67" s="2">
        <f t="shared" si="2"/>
        <v>13692.85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--9.99</f>
        <v>9.99</v>
      </c>
      <c r="E68" s="2"/>
      <c r="F68" s="19"/>
      <c r="G68" s="2"/>
      <c r="H68" s="2"/>
      <c r="I68" s="2"/>
      <c r="J68" s="19"/>
      <c r="K68" s="2"/>
      <c r="L68" s="2">
        <f t="shared" si="0"/>
        <v>9.99</v>
      </c>
      <c r="M68" s="2"/>
      <c r="N68" s="19">
        <f t="shared" si="1"/>
        <v>0</v>
      </c>
      <c r="O68" s="11"/>
      <c r="P68" s="2">
        <f>--9.99</f>
        <v>9.99</v>
      </c>
      <c r="Q68" s="2"/>
      <c r="R68" s="19"/>
      <c r="S68" s="2"/>
      <c r="T68" s="2"/>
      <c r="U68" s="2"/>
      <c r="V68" s="19"/>
      <c r="W68" s="2"/>
      <c r="X68" s="2">
        <f t="shared" si="2"/>
        <v>9.99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--922.94</f>
        <v>922.94</v>
      </c>
      <c r="E69" s="2"/>
      <c r="F69" s="19"/>
      <c r="G69" s="2"/>
      <c r="H69" s="2"/>
      <c r="I69" s="2"/>
      <c r="J69" s="19"/>
      <c r="K69" s="2"/>
      <c r="L69" s="2">
        <f t="shared" si="0"/>
        <v>922.94</v>
      </c>
      <c r="M69" s="2"/>
      <c r="N69" s="19">
        <f t="shared" si="1"/>
        <v>0</v>
      </c>
      <c r="O69" s="11"/>
      <c r="P69" s="2">
        <f>--1890.27</f>
        <v>1890.27</v>
      </c>
      <c r="Q69" s="2"/>
      <c r="R69" s="19"/>
      <c r="S69" s="2"/>
      <c r="T69" s="2"/>
      <c r="U69" s="2"/>
      <c r="V69" s="19"/>
      <c r="W69" s="2"/>
      <c r="X69" s="2">
        <f t="shared" si="2"/>
        <v>1890.27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--140</f>
        <v>140</v>
      </c>
      <c r="Q70" s="2"/>
      <c r="R70" s="19"/>
      <c r="S70" s="2"/>
      <c r="T70" s="2"/>
      <c r="U70" s="2"/>
      <c r="V70" s="19"/>
      <c r="W70" s="2"/>
      <c r="X70" s="2">
        <f t="shared" si="2"/>
        <v>140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--28849.25</f>
        <v>28849.25</v>
      </c>
      <c r="E71" s="2"/>
      <c r="F71" s="19"/>
      <c r="G71" s="2"/>
      <c r="H71" s="2"/>
      <c r="I71" s="2"/>
      <c r="J71" s="19"/>
      <c r="K71" s="2"/>
      <c r="L71" s="2">
        <f t="shared" si="0"/>
        <v>28849.25</v>
      </c>
      <c r="M71" s="2"/>
      <c r="N71" s="19">
        <f t="shared" si="1"/>
        <v>0</v>
      </c>
      <c r="O71" s="11"/>
      <c r="P71" s="2">
        <f>--192403.75</f>
        <v>192403.75</v>
      </c>
      <c r="Q71" s="2"/>
      <c r="R71" s="19"/>
      <c r="S71" s="2"/>
      <c r="T71" s="2"/>
      <c r="U71" s="2"/>
      <c r="V71" s="19"/>
      <c r="W71" s="2"/>
      <c r="X71" s="2">
        <f t="shared" si="2"/>
        <v>192403.75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--2183.94</f>
        <v>2183.94</v>
      </c>
      <c r="E72" s="2"/>
      <c r="F72" s="19"/>
      <c r="G72" s="2"/>
      <c r="H72" s="2"/>
      <c r="I72" s="2"/>
      <c r="J72" s="19"/>
      <c r="K72" s="2"/>
      <c r="L72" s="2">
        <f t="shared" si="0"/>
        <v>2183.94</v>
      </c>
      <c r="M72" s="2"/>
      <c r="N72" s="19">
        <f t="shared" si="1"/>
        <v>0</v>
      </c>
      <c r="O72" s="11"/>
      <c r="P72" s="2">
        <f>--2502.84</f>
        <v>2502.84</v>
      </c>
      <c r="Q72" s="2"/>
      <c r="R72" s="19"/>
      <c r="S72" s="2"/>
      <c r="T72" s="2"/>
      <c r="U72" s="2"/>
      <c r="V72" s="19"/>
      <c r="W72" s="2"/>
      <c r="X72" s="2">
        <f t="shared" si="2"/>
        <v>2502.84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-30.97</f>
        <v>-30.97</v>
      </c>
      <c r="Q73" s="2"/>
      <c r="R73" s="19"/>
      <c r="S73" s="2"/>
      <c r="T73" s="2"/>
      <c r="U73" s="2"/>
      <c r="V73" s="19"/>
      <c r="W73" s="2"/>
      <c r="X73" s="2">
        <f t="shared" si="2"/>
        <v>-30.97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-4114.56</f>
        <v>-4114.5600000000004</v>
      </c>
      <c r="E74" s="2"/>
      <c r="F74" s="19"/>
      <c r="G74" s="2"/>
      <c r="H74" s="2"/>
      <c r="I74" s="2"/>
      <c r="J74" s="19"/>
      <c r="K74" s="2"/>
      <c r="L74" s="2">
        <f t="shared" si="0"/>
        <v>-4114.5600000000004</v>
      </c>
      <c r="M74" s="2"/>
      <c r="N74" s="19">
        <f t="shared" si="1"/>
        <v>0</v>
      </c>
      <c r="O74" s="11"/>
      <c r="P74" s="2">
        <f>-120740.41</f>
        <v>-120740.41</v>
      </c>
      <c r="Q74" s="2"/>
      <c r="R74" s="19"/>
      <c r="S74" s="2"/>
      <c r="T74" s="2"/>
      <c r="U74" s="2"/>
      <c r="V74" s="19"/>
      <c r="W74" s="2"/>
      <c r="X74" s="2">
        <f t="shared" si="2"/>
        <v>-120740.41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-2008.16</f>
        <v>-2008.16</v>
      </c>
      <c r="E75" s="2"/>
      <c r="F75" s="19"/>
      <c r="G75" s="2"/>
      <c r="H75" s="2"/>
      <c r="I75" s="2"/>
      <c r="J75" s="19"/>
      <c r="K75" s="2"/>
      <c r="L75" s="2">
        <f t="shared" si="0"/>
        <v>-2008.16</v>
      </c>
      <c r="M75" s="2"/>
      <c r="N75" s="19">
        <f t="shared" si="1"/>
        <v>0</v>
      </c>
      <c r="O75" s="11"/>
      <c r="P75" s="2">
        <f>-45387.31</f>
        <v>-45387.31</v>
      </c>
      <c r="Q75" s="2"/>
      <c r="R75" s="19"/>
      <c r="S75" s="2"/>
      <c r="T75" s="2"/>
      <c r="U75" s="2"/>
      <c r="V75" s="19"/>
      <c r="W75" s="2"/>
      <c r="X75" s="2">
        <f t="shared" si="2"/>
        <v>-45387.31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-144.99</f>
        <v>-144.99</v>
      </c>
      <c r="Q76" s="2"/>
      <c r="R76" s="19"/>
      <c r="S76" s="2"/>
      <c r="T76" s="2"/>
      <c r="U76" s="2"/>
      <c r="V76" s="19"/>
      <c r="W76" s="2"/>
      <c r="X76" s="2">
        <f t="shared" si="2"/>
        <v>-144.99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>-993.89</f>
        <v>-993.89</v>
      </c>
      <c r="E77" s="2"/>
      <c r="F77" s="19"/>
      <c r="G77" s="2"/>
      <c r="H77" s="2"/>
      <c r="I77" s="2"/>
      <c r="J77" s="19"/>
      <c r="K77" s="2"/>
      <c r="L77" s="2">
        <f t="shared" si="0"/>
        <v>-993.89</v>
      </c>
      <c r="M77" s="2"/>
      <c r="N77" s="19">
        <f t="shared" si="1"/>
        <v>0</v>
      </c>
      <c r="O77" s="11"/>
      <c r="P77" s="2">
        <f>-17255.33</f>
        <v>-17255.330000000002</v>
      </c>
      <c r="Q77" s="2"/>
      <c r="R77" s="19"/>
      <c r="S77" s="2"/>
      <c r="T77" s="2"/>
      <c r="U77" s="2"/>
      <c r="V77" s="19"/>
      <c r="W77" s="2"/>
      <c r="X77" s="2">
        <f t="shared" si="2"/>
        <v>-17255.330000000002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>-103.4</f>
        <v>-103.4</v>
      </c>
      <c r="E78" s="2"/>
      <c r="F78" s="19"/>
      <c r="G78" s="2"/>
      <c r="H78" s="2"/>
      <c r="I78" s="2"/>
      <c r="J78" s="19"/>
      <c r="K78" s="2"/>
      <c r="L78" s="2">
        <f t="shared" si="0"/>
        <v>-103.4</v>
      </c>
      <c r="M78" s="2"/>
      <c r="N78" s="19">
        <f t="shared" si="1"/>
        <v>0</v>
      </c>
      <c r="O78" s="11"/>
      <c r="P78" s="2">
        <f>-220.06</f>
        <v>-220.06</v>
      </c>
      <c r="Q78" s="2"/>
      <c r="R78" s="19"/>
      <c r="S78" s="2"/>
      <c r="T78" s="2"/>
      <c r="U78" s="2"/>
      <c r="V78" s="19"/>
      <c r="W78" s="2"/>
      <c r="X78" s="2">
        <f t="shared" si="2"/>
        <v>-220.06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"4214", " - ", "SALES RETURN TAXABLE-REMAINDER")</f>
        <v xml:space="preserve">          4214 - SALES RETURN TAXABLE-REMAINDER</v>
      </c>
      <c r="C79" s="11"/>
      <c r="D79" s="2">
        <f t="shared" ref="D79:D81" si="5"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-11.94</f>
        <v>-11.94</v>
      </c>
      <c r="Q79" s="2"/>
      <c r="R79" s="19"/>
      <c r="S79" s="2"/>
      <c r="T79" s="2"/>
      <c r="U79" s="2"/>
      <c r="V79" s="19"/>
      <c r="W79" s="2"/>
      <c r="X79" s="2">
        <f t="shared" si="2"/>
        <v>-11.94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5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-2.98</f>
        <v>-2.98</v>
      </c>
      <c r="Q80" s="2"/>
      <c r="R80" s="19"/>
      <c r="S80" s="2"/>
      <c r="T80" s="2"/>
      <c r="U80" s="2"/>
      <c r="V80" s="19"/>
      <c r="W80" s="2"/>
      <c r="X80" s="2">
        <f t="shared" si="2"/>
        <v>-2.98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5"/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-39.25</f>
        <v>-39.25</v>
      </c>
      <c r="Q81" s="2"/>
      <c r="R81" s="19"/>
      <c r="S81" s="2"/>
      <c r="T81" s="2"/>
      <c r="U81" s="2"/>
      <c r="V81" s="19"/>
      <c r="W81" s="2"/>
      <c r="X81" s="2">
        <f t="shared" si="2"/>
        <v>-39.25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>-72.54</f>
        <v>-72.540000000000006</v>
      </c>
      <c r="E82" s="2"/>
      <c r="F82" s="19"/>
      <c r="G82" s="2"/>
      <c r="H82" s="2"/>
      <c r="I82" s="2"/>
      <c r="J82" s="19"/>
      <c r="K82" s="2"/>
      <c r="L82" s="2">
        <f t="shared" si="0"/>
        <v>-72.540000000000006</v>
      </c>
      <c r="M82" s="2"/>
      <c r="N82" s="19">
        <f t="shared" si="1"/>
        <v>0</v>
      </c>
      <c r="O82" s="11"/>
      <c r="P82" s="2">
        <f>-168.25</f>
        <v>-168.25</v>
      </c>
      <c r="Q82" s="2"/>
      <c r="R82" s="19"/>
      <c r="S82" s="2"/>
      <c r="T82" s="2"/>
      <c r="U82" s="2"/>
      <c r="V82" s="19"/>
      <c r="W82" s="2"/>
      <c r="X82" s="2">
        <f t="shared" si="2"/>
        <v>-168.25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>-72.88</f>
        <v>-72.88</v>
      </c>
      <c r="E83" s="2"/>
      <c r="F83" s="19"/>
      <c r="G83" s="2"/>
      <c r="H83" s="2"/>
      <c r="I83" s="2"/>
      <c r="J83" s="19"/>
      <c r="K83" s="2"/>
      <c r="L83" s="2">
        <f t="shared" si="0"/>
        <v>-72.88</v>
      </c>
      <c r="M83" s="2"/>
      <c r="N83" s="19">
        <f t="shared" si="1"/>
        <v>0</v>
      </c>
      <c r="O83" s="11"/>
      <c r="P83" s="2">
        <f>-753.79</f>
        <v>-753.79</v>
      </c>
      <c r="Q83" s="2"/>
      <c r="R83" s="19"/>
      <c r="S83" s="2"/>
      <c r="T83" s="2"/>
      <c r="U83" s="2"/>
      <c r="V83" s="19"/>
      <c r="W83" s="2"/>
      <c r="X83" s="2">
        <f t="shared" si="2"/>
        <v>-753.79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-703.56</f>
        <v>-703.56</v>
      </c>
      <c r="E84" s="2"/>
      <c r="F84" s="19"/>
      <c r="G84" s="2"/>
      <c r="H84" s="2"/>
      <c r="I84" s="2"/>
      <c r="J84" s="19"/>
      <c r="K84" s="2"/>
      <c r="L84" s="2">
        <f t="shared" si="0"/>
        <v>-703.56</v>
      </c>
      <c r="M84" s="2"/>
      <c r="N84" s="19">
        <f t="shared" si="1"/>
        <v>0</v>
      </c>
      <c r="O84" s="11"/>
      <c r="P84" s="2">
        <f>-7614.42</f>
        <v>-7614.42</v>
      </c>
      <c r="Q84" s="2"/>
      <c r="R84" s="19"/>
      <c r="S84" s="2"/>
      <c r="T84" s="2"/>
      <c r="U84" s="2"/>
      <c r="V84" s="19"/>
      <c r="W84" s="2"/>
      <c r="X84" s="2">
        <f t="shared" si="2"/>
        <v>-7614.42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-685.23</f>
        <v>-685.23</v>
      </c>
      <c r="E85" s="2"/>
      <c r="F85" s="19"/>
      <c r="G85" s="2"/>
      <c r="H85" s="2"/>
      <c r="I85" s="2"/>
      <c r="J85" s="19"/>
      <c r="K85" s="2"/>
      <c r="L85" s="2">
        <f t="shared" si="0"/>
        <v>-685.23</v>
      </c>
      <c r="M85" s="2"/>
      <c r="N85" s="19">
        <f t="shared" si="1"/>
        <v>0</v>
      </c>
      <c r="O85" s="11"/>
      <c r="P85" s="2">
        <f>-4599.92</f>
        <v>-4599.92</v>
      </c>
      <c r="Q85" s="2"/>
      <c r="R85" s="19"/>
      <c r="S85" s="2"/>
      <c r="T85" s="2"/>
      <c r="U85" s="2"/>
      <c r="V85" s="19"/>
      <c r="W85" s="2"/>
      <c r="X85" s="2">
        <f t="shared" si="2"/>
        <v>-4599.92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>0</f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-1.29</f>
        <v>-1.29</v>
      </c>
      <c r="Q86" s="2"/>
      <c r="R86" s="19"/>
      <c r="S86" s="2"/>
      <c r="T86" s="2"/>
      <c r="U86" s="2"/>
      <c r="V86" s="19"/>
      <c r="W86" s="2"/>
      <c r="X86" s="2">
        <f t="shared" si="2"/>
        <v>-1.29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-8202.92</f>
        <v>-8202.92</v>
      </c>
      <c r="E87" s="2"/>
      <c r="F87" s="19"/>
      <c r="G87" s="2"/>
      <c r="H87" s="2"/>
      <c r="I87" s="2"/>
      <c r="J87" s="19"/>
      <c r="K87" s="2"/>
      <c r="L87" s="2">
        <f t="shared" si="0"/>
        <v>-8202.92</v>
      </c>
      <c r="M87" s="2"/>
      <c r="N87" s="19">
        <f t="shared" si="1"/>
        <v>0</v>
      </c>
      <c r="O87" s="11"/>
      <c r="P87" s="2">
        <f>-69811.67</f>
        <v>-69811.67</v>
      </c>
      <c r="Q87" s="2"/>
      <c r="R87" s="19"/>
      <c r="S87" s="2"/>
      <c r="T87" s="2"/>
      <c r="U87" s="2"/>
      <c r="V87" s="19"/>
      <c r="W87" s="2"/>
      <c r="X87" s="2">
        <f t="shared" si="2"/>
        <v>-69811.67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-972.77</f>
        <v>-972.77</v>
      </c>
      <c r="E88" s="2"/>
      <c r="F88" s="19"/>
      <c r="G88" s="2"/>
      <c r="H88" s="2"/>
      <c r="I88" s="2"/>
      <c r="J88" s="19"/>
      <c r="K88" s="2"/>
      <c r="L88" s="2">
        <f t="shared" si="0"/>
        <v>-972.77</v>
      </c>
      <c r="M88" s="2"/>
      <c r="N88" s="19">
        <f t="shared" si="1"/>
        <v>0</v>
      </c>
      <c r="O88" s="11"/>
      <c r="P88" s="2">
        <f>-5926.98</f>
        <v>-5926.98</v>
      </c>
      <c r="Q88" s="2"/>
      <c r="R88" s="19"/>
      <c r="S88" s="2"/>
      <c r="T88" s="2"/>
      <c r="U88" s="2"/>
      <c r="V88" s="19"/>
      <c r="W88" s="2"/>
      <c r="X88" s="2">
        <f t="shared" si="2"/>
        <v>-5926.98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-349.75</f>
        <v>-349.75</v>
      </c>
      <c r="E89" s="2"/>
      <c r="F89" s="19"/>
      <c r="G89" s="2"/>
      <c r="H89" s="2"/>
      <c r="I89" s="2"/>
      <c r="J89" s="19"/>
      <c r="K89" s="2"/>
      <c r="L89" s="2">
        <f t="shared" si="0"/>
        <v>-349.75</v>
      </c>
      <c r="M89" s="2"/>
      <c r="N89" s="19">
        <f t="shared" si="1"/>
        <v>0</v>
      </c>
      <c r="O89" s="11"/>
      <c r="P89" s="2">
        <f>-3894.08</f>
        <v>-3894.08</v>
      </c>
      <c r="Q89" s="2"/>
      <c r="R89" s="19"/>
      <c r="S89" s="2"/>
      <c r="T89" s="2"/>
      <c r="U89" s="2"/>
      <c r="V89" s="19"/>
      <c r="W89" s="2"/>
      <c r="X89" s="2">
        <f t="shared" si="2"/>
        <v>-3894.08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-1609.18</f>
        <v>-1609.18</v>
      </c>
      <c r="E90" s="2"/>
      <c r="F90" s="19"/>
      <c r="G90" s="2"/>
      <c r="H90" s="2"/>
      <c r="I90" s="2"/>
      <c r="J90" s="19"/>
      <c r="K90" s="2"/>
      <c r="L90" s="2">
        <f t="shared" si="0"/>
        <v>-1609.18</v>
      </c>
      <c r="M90" s="2"/>
      <c r="N90" s="19">
        <f t="shared" si="1"/>
        <v>0</v>
      </c>
      <c r="O90" s="11"/>
      <c r="P90" s="2">
        <f>-2833.39</f>
        <v>-2833.39</v>
      </c>
      <c r="Q90" s="2"/>
      <c r="R90" s="19"/>
      <c r="S90" s="2"/>
      <c r="T90" s="2"/>
      <c r="U90" s="2"/>
      <c r="V90" s="19"/>
      <c r="W90" s="2"/>
      <c r="X90" s="2">
        <f t="shared" si="2"/>
        <v>-2833.39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-328.75</f>
        <v>-328.75</v>
      </c>
      <c r="E91" s="2"/>
      <c r="F91" s="19"/>
      <c r="G91" s="2"/>
      <c r="H91" s="2"/>
      <c r="I91" s="2"/>
      <c r="J91" s="19"/>
      <c r="K91" s="2"/>
      <c r="L91" s="2">
        <f t="shared" si="0"/>
        <v>-328.75</v>
      </c>
      <c r="M91" s="2"/>
      <c r="N91" s="19">
        <f t="shared" si="1"/>
        <v>0</v>
      </c>
      <c r="O91" s="11"/>
      <c r="P91" s="2">
        <f>-2430.8</f>
        <v>-2430.8000000000002</v>
      </c>
      <c r="Q91" s="2"/>
      <c r="R91" s="19"/>
      <c r="S91" s="2"/>
      <c r="T91" s="2"/>
      <c r="U91" s="2"/>
      <c r="V91" s="19"/>
      <c r="W91" s="2"/>
      <c r="X91" s="2">
        <f t="shared" si="2"/>
        <v>-2430.8000000000002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 t="shared" ref="D92:D98" si="6"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-1715.05</f>
        <v>-1715.05</v>
      </c>
      <c r="Q92" s="2"/>
      <c r="R92" s="19"/>
      <c r="S92" s="2"/>
      <c r="T92" s="2"/>
      <c r="U92" s="2"/>
      <c r="V92" s="19"/>
      <c r="W92" s="2"/>
      <c r="X92" s="2">
        <f t="shared" si="2"/>
        <v>-1715.05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 t="shared" si="6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-54.97</f>
        <v>-54.97</v>
      </c>
      <c r="Q93" s="2"/>
      <c r="R93" s="19"/>
      <c r="S93" s="2"/>
      <c r="T93" s="2"/>
      <c r="U93" s="2"/>
      <c r="V93" s="19"/>
      <c r="W93" s="2"/>
      <c r="X93" s="2">
        <f t="shared" si="2"/>
        <v>-54.97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 t="shared" si="6"/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-419.05</f>
        <v>-419.05</v>
      </c>
      <c r="Q94" s="2"/>
      <c r="R94" s="19"/>
      <c r="S94" s="2"/>
      <c r="T94" s="2"/>
      <c r="U94" s="2"/>
      <c r="V94" s="19"/>
      <c r="W94" s="2"/>
      <c r="X94" s="2">
        <f t="shared" si="2"/>
        <v>-419.05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 t="shared" si="6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--0.99</f>
        <v>0.99</v>
      </c>
      <c r="Q95" s="2"/>
      <c r="R95" s="19"/>
      <c r="S95" s="2"/>
      <c r="T95" s="2"/>
      <c r="U95" s="2"/>
      <c r="V95" s="19"/>
      <c r="W95" s="2"/>
      <c r="X95" s="2">
        <f t="shared" si="2"/>
        <v>0.99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 t="shared" si="6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-15221.62</f>
        <v>-15221.62</v>
      </c>
      <c r="Q96" s="2"/>
      <c r="R96" s="19"/>
      <c r="S96" s="2"/>
      <c r="T96" s="2"/>
      <c r="U96" s="2"/>
      <c r="V96" s="19"/>
      <c r="W96" s="2"/>
      <c r="X96" s="2">
        <f t="shared" si="2"/>
        <v>-15221.62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 t="shared" si="6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-1312.37</f>
        <v>-1312.37</v>
      </c>
      <c r="Q97" s="2"/>
      <c r="R97" s="19"/>
      <c r="S97" s="2"/>
      <c r="T97" s="2"/>
      <c r="U97" s="2"/>
      <c r="V97" s="19"/>
      <c r="W97" s="2"/>
      <c r="X97" s="2">
        <f t="shared" si="2"/>
        <v>-1312.37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 t="shared" si="6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-184.99</f>
        <v>-184.99</v>
      </c>
      <c r="Q98" s="2"/>
      <c r="R98" s="19"/>
      <c r="S98" s="2"/>
      <c r="T98" s="2"/>
      <c r="U98" s="2"/>
      <c r="V98" s="19"/>
      <c r="W98" s="2"/>
      <c r="X98" s="2">
        <f t="shared" si="2"/>
        <v>-184.99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-1249.23</f>
        <v>-1249.23</v>
      </c>
      <c r="E99" s="2"/>
      <c r="F99" s="19"/>
      <c r="G99" s="2"/>
      <c r="H99" s="2"/>
      <c r="I99" s="2"/>
      <c r="J99" s="19"/>
      <c r="K99" s="2"/>
      <c r="L99" s="2">
        <f t="shared" si="0"/>
        <v>-1249.23</v>
      </c>
      <c r="M99" s="2"/>
      <c r="N99" s="19">
        <f t="shared" si="1"/>
        <v>0</v>
      </c>
      <c r="O99" s="11"/>
      <c r="P99" s="2">
        <f>-18991.98</f>
        <v>-18991.98</v>
      </c>
      <c r="Q99" s="2"/>
      <c r="R99" s="19"/>
      <c r="S99" s="2"/>
      <c r="T99" s="2"/>
      <c r="U99" s="2"/>
      <c r="V99" s="19"/>
      <c r="W99" s="2"/>
      <c r="X99" s="2">
        <f t="shared" si="2"/>
        <v>-18991.98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>-169.45</f>
        <v>-169.45</v>
      </c>
      <c r="E100" s="2"/>
      <c r="F100" s="19"/>
      <c r="G100" s="2"/>
      <c r="H100" s="2"/>
      <c r="I100" s="2"/>
      <c r="J100" s="19"/>
      <c r="K100" s="2"/>
      <c r="L100" s="2">
        <f t="shared" si="0"/>
        <v>-169.45</v>
      </c>
      <c r="M100" s="2"/>
      <c r="N100" s="19">
        <f t="shared" si="1"/>
        <v>0</v>
      </c>
      <c r="O100" s="11"/>
      <c r="P100" s="2">
        <f>-794.76</f>
        <v>-794.76</v>
      </c>
      <c r="Q100" s="2"/>
      <c r="R100" s="19"/>
      <c r="S100" s="2"/>
      <c r="T100" s="2"/>
      <c r="U100" s="2"/>
      <c r="V100" s="19"/>
      <c r="W100" s="2"/>
      <c r="X100" s="2">
        <f t="shared" si="2"/>
        <v>-794.76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-21.87</f>
        <v>-21.87</v>
      </c>
      <c r="Q101" s="2"/>
      <c r="R101" s="19"/>
      <c r="S101" s="2"/>
      <c r="T101" s="2"/>
      <c r="U101" s="2"/>
      <c r="V101" s="19"/>
      <c r="W101" s="2"/>
      <c r="X101" s="2">
        <f t="shared" si="2"/>
        <v>-21.87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"4331", " - ", "SALES RETURN NON TAXABLE-FOOD")</f>
        <v xml:space="preserve">          4331 - SALES RETURN NON TAXABLE-FOOD</v>
      </c>
      <c r="C102" s="11"/>
      <c r="D102" s="2">
        <f>-7.58</f>
        <v>-7.58</v>
      </c>
      <c r="E102" s="2"/>
      <c r="F102" s="19"/>
      <c r="G102" s="2"/>
      <c r="H102" s="2"/>
      <c r="I102" s="2"/>
      <c r="J102" s="19"/>
      <c r="K102" s="2"/>
      <c r="L102" s="2">
        <f t="shared" si="0"/>
        <v>-7.58</v>
      </c>
      <c r="M102" s="2"/>
      <c r="N102" s="19">
        <f t="shared" si="1"/>
        <v>0</v>
      </c>
      <c r="O102" s="11"/>
      <c r="P102" s="2">
        <f>-7.58</f>
        <v>-7.58</v>
      </c>
      <c r="Q102" s="2"/>
      <c r="R102" s="19"/>
      <c r="S102" s="2"/>
      <c r="T102" s="2"/>
      <c r="U102" s="2"/>
      <c r="V102" s="19"/>
      <c r="W102" s="2"/>
      <c r="X102" s="2">
        <f t="shared" si="2"/>
        <v>-7.58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"4332", " - ", "SALES RETURN NON TAXABLE-JUICE")</f>
        <v xml:space="preserve">          4332 - SALES RETURN NON TAXABLE-JUICE</v>
      </c>
      <c r="C103" s="11"/>
      <c r="D103" s="2">
        <f>-2.79</f>
        <v>-2.79</v>
      </c>
      <c r="E103" s="2"/>
      <c r="F103" s="19"/>
      <c r="G103" s="2"/>
      <c r="H103" s="2"/>
      <c r="I103" s="2"/>
      <c r="J103" s="19"/>
      <c r="K103" s="2"/>
      <c r="L103" s="2">
        <f t="shared" si="0"/>
        <v>-2.79</v>
      </c>
      <c r="M103" s="2"/>
      <c r="N103" s="19">
        <f t="shared" si="1"/>
        <v>0</v>
      </c>
      <c r="O103" s="11"/>
      <c r="P103" s="2">
        <f>-2.79</f>
        <v>-2.79</v>
      </c>
      <c r="Q103" s="2"/>
      <c r="R103" s="19"/>
      <c r="S103" s="2"/>
      <c r="T103" s="2"/>
      <c r="U103" s="2"/>
      <c r="V103" s="19"/>
      <c r="W103" s="2"/>
      <c r="X103" s="2">
        <f t="shared" si="2"/>
        <v>-2.79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"4340", " - ", "SALES RETURN NON TAXABLE-LOGO")</f>
        <v xml:space="preserve">          4340 - SALES RETURN NON TAXABLE-LOGO</v>
      </c>
      <c r="C104" s="11"/>
      <c r="D104" s="2">
        <f>0</f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-931.65</f>
        <v>-931.65</v>
      </c>
      <c r="Q104" s="2"/>
      <c r="R104" s="19"/>
      <c r="S104" s="2"/>
      <c r="T104" s="2"/>
      <c r="U104" s="2"/>
      <c r="V104" s="19"/>
      <c r="W104" s="2"/>
      <c r="X104" s="2">
        <f t="shared" si="2"/>
        <v>-931.65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"4341", " - ", "SALES RETURN NON TAXABLE-LOGO")</f>
        <v xml:space="preserve">          4341 - SALES RETURN NON TAXABLE-LOGO</v>
      </c>
      <c r="C105" s="11"/>
      <c r="D105" s="2">
        <f>-214.7</f>
        <v>-214.7</v>
      </c>
      <c r="E105" s="2"/>
      <c r="F105" s="19"/>
      <c r="G105" s="2"/>
      <c r="H105" s="2"/>
      <c r="I105" s="2"/>
      <c r="J105" s="19"/>
      <c r="K105" s="2"/>
      <c r="L105" s="2">
        <f t="shared" si="0"/>
        <v>-214.7</v>
      </c>
      <c r="M105" s="2"/>
      <c r="N105" s="19">
        <f t="shared" si="1"/>
        <v>0</v>
      </c>
      <c r="O105" s="11"/>
      <c r="P105" s="2">
        <f>-245.5</f>
        <v>-245.5</v>
      </c>
      <c r="Q105" s="2"/>
      <c r="R105" s="19"/>
      <c r="S105" s="2"/>
      <c r="T105" s="2"/>
      <c r="U105" s="2"/>
      <c r="V105" s="19"/>
      <c r="W105" s="2"/>
      <c r="X105" s="2">
        <f t="shared" si="2"/>
        <v>-245.5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"4342", " - ", "SALES RETURN NON TAXABLE-EVERY")</f>
        <v xml:space="preserve">          4342 - SALES RETURN NON TAXABLE-EVERY</v>
      </c>
      <c r="C106" s="11"/>
      <c r="D106" s="2">
        <f t="shared" ref="D106:D107" si="7"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-149.22</f>
        <v>-149.22</v>
      </c>
      <c r="Q106" s="2"/>
      <c r="R106" s="19"/>
      <c r="S106" s="2"/>
      <c r="T106" s="2"/>
      <c r="U106" s="2"/>
      <c r="V106" s="19"/>
      <c r="W106" s="2"/>
      <c r="X106" s="2">
        <f t="shared" si="2"/>
        <v>-149.22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"4346", " - ", "SALES RETURN NON TAXABLE-COIN-")</f>
        <v xml:space="preserve">          4346 - SALES RETURN NON TAXABLE-COIN-</v>
      </c>
      <c r="C107" s="11"/>
      <c r="D107" s="2">
        <f t="shared" si="7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-8.15</f>
        <v>-8.15</v>
      </c>
      <c r="Q107" s="2"/>
      <c r="R107" s="19"/>
      <c r="S107" s="2"/>
      <c r="T107" s="2"/>
      <c r="U107" s="2"/>
      <c r="V107" s="19"/>
      <c r="W107" s="2"/>
      <c r="X107" s="2">
        <f t="shared" si="2"/>
        <v>-8.15</v>
      </c>
      <c r="Y107" s="2"/>
      <c r="Z107" s="19">
        <f t="shared" si="3"/>
        <v>0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collapsed="1" x14ac:dyDescent="0.25">
      <c r="A109" s="10"/>
      <c r="B109" s="29" t="s">
        <v>8</v>
      </c>
      <c r="C109" s="10"/>
      <c r="D109" s="4">
        <f>SUM(OSRRefD16x_0)</f>
        <v>502286.68999999994</v>
      </c>
      <c r="E109" s="4"/>
      <c r="F109" s="12">
        <f t="shared" ref="F109:F160" si="8">IF(D$12=0,0,D109/D$12)</f>
        <v>0.74123852182467431</v>
      </c>
      <c r="G109" s="4"/>
      <c r="H109" s="4">
        <f>SUM(OSRRefH16x_0)</f>
        <v>345541.57078000001</v>
      </c>
      <c r="I109" s="4"/>
      <c r="J109" s="12">
        <f t="shared" ref="J109:J160" si="9">IF(H$12=0,0,H109/H$12)</f>
        <v>0.47560161892657266</v>
      </c>
      <c r="K109" s="4"/>
      <c r="L109" s="4">
        <f t="shared" ref="L109:L160" si="10">+D109-H109</f>
        <v>156745.11921999994</v>
      </c>
      <c r="M109" s="4"/>
      <c r="N109" s="12">
        <f t="shared" ref="N109:N160" si="11">IF(H109=0,0,L109/H109)</f>
        <v>0.45362159715305767</v>
      </c>
      <c r="O109" s="10"/>
      <c r="P109" s="4">
        <f>SUM(OSRRefP16x_0)</f>
        <v>4912236.0799999982</v>
      </c>
      <c r="Q109" s="4"/>
      <c r="R109" s="12">
        <f t="shared" ref="R109:R160" si="12">IF(P$12=0,0,P109/P$12)</f>
        <v>0.58714935036038784</v>
      </c>
      <c r="S109" s="4"/>
      <c r="T109" s="4">
        <f>SUM(OSRRefT16x_0)</f>
        <v>5279740.9542300003</v>
      </c>
      <c r="U109" s="4"/>
      <c r="V109" s="12">
        <f t="shared" ref="V109:V160" si="13">IF(T$12=0,0,T109/T$12)</f>
        <v>0.5870624534268315</v>
      </c>
      <c r="W109" s="4"/>
      <c r="X109" s="4">
        <f t="shared" ref="X109:X160" si="14">+P109-T109</f>
        <v>-367504.87423000205</v>
      </c>
      <c r="Y109" s="4"/>
      <c r="Z109" s="12">
        <f t="shared" ref="Z109:Z160" si="15">IF(T109=0,0,X109/T109)</f>
        <v>-6.9606610895476997E-2</v>
      </c>
    </row>
    <row r="110" spans="1:26" s="24" customFormat="1" hidden="1" outlineLevel="1" x14ac:dyDescent="0.25">
      <c r="A110" s="44"/>
      <c r="B110" s="11" t="str">
        <f>CONCATENATE("          ", "5000", " - ", "PURCHASES @ COST")</f>
        <v xml:space="preserve">          5000 - PURCHASES @ COST</v>
      </c>
      <c r="C110" s="11"/>
      <c r="D110" s="2"/>
      <c r="E110" s="2"/>
      <c r="F110" s="19">
        <f t="shared" si="8"/>
        <v>0</v>
      </c>
      <c r="G110" s="2"/>
      <c r="H110" s="2">
        <v>345541.57078000001</v>
      </c>
      <c r="I110" s="2"/>
      <c r="J110" s="19">
        <f t="shared" si="9"/>
        <v>0.47560161892657266</v>
      </c>
      <c r="K110" s="2"/>
      <c r="L110" s="2">
        <f t="shared" si="10"/>
        <v>-345541.57078000001</v>
      </c>
      <c r="M110" s="2"/>
      <c r="N110" s="19">
        <f t="shared" si="11"/>
        <v>-1</v>
      </c>
      <c r="O110" s="11"/>
      <c r="P110" s="2"/>
      <c r="Q110" s="2"/>
      <c r="R110" s="19">
        <f t="shared" si="12"/>
        <v>0</v>
      </c>
      <c r="S110" s="2"/>
      <c r="T110" s="2">
        <v>5279740.9542300003</v>
      </c>
      <c r="U110" s="2"/>
      <c r="V110" s="19">
        <f t="shared" si="13"/>
        <v>0.5870624534268315</v>
      </c>
      <c r="W110" s="2"/>
      <c r="X110" s="2">
        <f t="shared" si="14"/>
        <v>-5279740.9542300003</v>
      </c>
      <c r="Y110" s="2"/>
      <c r="Z110" s="19">
        <f t="shared" si="15"/>
        <v>-1</v>
      </c>
    </row>
    <row r="111" spans="1:26" s="24" customFormat="1" hidden="1" outlineLevel="1" x14ac:dyDescent="0.25">
      <c r="A111" s="44"/>
      <c r="B111" s="11" t="str">
        <f>CONCATENATE("          ", "5001", " - ", "PURCHASES @ COST-NEW TEXT")</f>
        <v xml:space="preserve">          5001 - PURCHASES @ COST-NEW TEXT</v>
      </c>
      <c r="C111" s="11"/>
      <c r="D111" s="2">
        <v>-110695.19</v>
      </c>
      <c r="E111" s="2"/>
      <c r="F111" s="19">
        <f t="shared" si="8"/>
        <v>-0.16335598900440998</v>
      </c>
      <c r="G111" s="2"/>
      <c r="H111" s="2"/>
      <c r="I111" s="2"/>
      <c r="J111" s="19">
        <f t="shared" si="9"/>
        <v>0</v>
      </c>
      <c r="K111" s="2"/>
      <c r="L111" s="2">
        <f t="shared" si="10"/>
        <v>-110695.19</v>
      </c>
      <c r="M111" s="2"/>
      <c r="N111" s="19">
        <f t="shared" si="11"/>
        <v>0</v>
      </c>
      <c r="O111" s="11"/>
      <c r="P111" s="2">
        <v>2516599.4700000002</v>
      </c>
      <c r="Q111" s="2"/>
      <c r="R111" s="19">
        <f t="shared" si="12"/>
        <v>0.30080389457336448</v>
      </c>
      <c r="S111" s="2"/>
      <c r="T111" s="2"/>
      <c r="U111" s="2"/>
      <c r="V111" s="19">
        <f t="shared" si="13"/>
        <v>0</v>
      </c>
      <c r="W111" s="2"/>
      <c r="X111" s="2">
        <f t="shared" si="14"/>
        <v>2516599.4700000002</v>
      </c>
      <c r="Y111" s="2"/>
      <c r="Z111" s="19">
        <f t="shared" si="15"/>
        <v>0</v>
      </c>
    </row>
    <row r="112" spans="1:26" s="24" customFormat="1" hidden="1" outlineLevel="1" x14ac:dyDescent="0.25">
      <c r="A112" s="44"/>
      <c r="B112" s="11" t="str">
        <f>CONCATENATE("          ", "5002", " - ", "PURCHASES @ COST-USED TEXT")</f>
        <v xml:space="preserve">          5002 - PURCHASES @ COST-USED TEXT</v>
      </c>
      <c r="C112" s="11"/>
      <c r="D112" s="2">
        <v>11947.84</v>
      </c>
      <c r="E112" s="2"/>
      <c r="F112" s="19">
        <f t="shared" si="8"/>
        <v>1.7631761774531029E-2</v>
      </c>
      <c r="G112" s="2"/>
      <c r="H112" s="2"/>
      <c r="I112" s="2"/>
      <c r="J112" s="19">
        <f t="shared" si="9"/>
        <v>0</v>
      </c>
      <c r="K112" s="2"/>
      <c r="L112" s="2">
        <f t="shared" si="10"/>
        <v>11947.84</v>
      </c>
      <c r="M112" s="2"/>
      <c r="N112" s="19">
        <f t="shared" si="11"/>
        <v>0</v>
      </c>
      <c r="O112" s="11"/>
      <c r="P112" s="2">
        <v>524555.37</v>
      </c>
      <c r="Q112" s="2"/>
      <c r="R112" s="19">
        <f t="shared" si="12"/>
        <v>6.2699011144340816E-2</v>
      </c>
      <c r="S112" s="2"/>
      <c r="T112" s="2"/>
      <c r="U112" s="2"/>
      <c r="V112" s="19">
        <f t="shared" si="13"/>
        <v>0</v>
      </c>
      <c r="W112" s="2"/>
      <c r="X112" s="2">
        <f t="shared" si="14"/>
        <v>524555.37</v>
      </c>
      <c r="Y112" s="2"/>
      <c r="Z112" s="19">
        <f t="shared" si="15"/>
        <v>0</v>
      </c>
    </row>
    <row r="113" spans="1:26" s="24" customFormat="1" hidden="1" outlineLevel="1" x14ac:dyDescent="0.25">
      <c r="A113" s="44"/>
      <c r="B113" s="11" t="str">
        <f>CONCATENATE("          ", "5003", " - ", "PURCHASES @ COST-RENTAL TEXT")</f>
        <v xml:space="preserve">          5003 - PURCHASES @ COST-RENTAL TEXT</v>
      </c>
      <c r="C113" s="11"/>
      <c r="D113" s="2"/>
      <c r="E113" s="2"/>
      <c r="F113" s="19">
        <f t="shared" si="8"/>
        <v>0</v>
      </c>
      <c r="G113" s="2"/>
      <c r="H113" s="2"/>
      <c r="I113" s="2"/>
      <c r="J113" s="19">
        <f t="shared" si="9"/>
        <v>0</v>
      </c>
      <c r="K113" s="2"/>
      <c r="L113" s="2">
        <f t="shared" si="10"/>
        <v>0</v>
      </c>
      <c r="M113" s="2"/>
      <c r="N113" s="19">
        <f t="shared" si="11"/>
        <v>0</v>
      </c>
      <c r="O113" s="11"/>
      <c r="P113" s="2">
        <v>-78.400000000000006</v>
      </c>
      <c r="Q113" s="2"/>
      <c r="R113" s="19">
        <f t="shared" si="12"/>
        <v>-9.3709887551362212E-6</v>
      </c>
      <c r="S113" s="2"/>
      <c r="T113" s="2"/>
      <c r="U113" s="2"/>
      <c r="V113" s="19">
        <f t="shared" si="13"/>
        <v>0</v>
      </c>
      <c r="W113" s="2"/>
      <c r="X113" s="2">
        <f t="shared" si="14"/>
        <v>-78.400000000000006</v>
      </c>
      <c r="Y113" s="2"/>
      <c r="Z113" s="19">
        <f t="shared" si="15"/>
        <v>0</v>
      </c>
    </row>
    <row r="114" spans="1:26" s="24" customFormat="1" hidden="1" outlineLevel="1" x14ac:dyDescent="0.25">
      <c r="A114" s="44"/>
      <c r="B114" s="11" t="str">
        <f>CONCATENATE("          ", "5004", " - ", "PURCHASES @ COST-DIGITAL TEXT")</f>
        <v xml:space="preserve">          5004 - PURCHASES @ COST-DIGITAL TEXT</v>
      </c>
      <c r="C114" s="11"/>
      <c r="D114" s="2">
        <v>61264.060000000005</v>
      </c>
      <c r="E114" s="2"/>
      <c r="F114" s="19">
        <f t="shared" si="8"/>
        <v>9.0409087438447083E-2</v>
      </c>
      <c r="G114" s="2"/>
      <c r="H114" s="2"/>
      <c r="I114" s="2"/>
      <c r="J114" s="19">
        <f t="shared" si="9"/>
        <v>0</v>
      </c>
      <c r="K114" s="2"/>
      <c r="L114" s="2">
        <f t="shared" si="10"/>
        <v>61264.060000000005</v>
      </c>
      <c r="M114" s="2"/>
      <c r="N114" s="19">
        <f t="shared" si="11"/>
        <v>0</v>
      </c>
      <c r="O114" s="11"/>
      <c r="P114" s="2">
        <v>535157.82999999996</v>
      </c>
      <c r="Q114" s="2"/>
      <c r="R114" s="19">
        <f t="shared" si="12"/>
        <v>6.3966301111646695E-2</v>
      </c>
      <c r="S114" s="2"/>
      <c r="T114" s="2"/>
      <c r="U114" s="2"/>
      <c r="V114" s="19">
        <f t="shared" si="13"/>
        <v>0</v>
      </c>
      <c r="W114" s="2"/>
      <c r="X114" s="2">
        <f t="shared" si="14"/>
        <v>535157.82999999996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"5011", " - ", "PURCHASES @ COST-NO VALUE TEXT")</f>
        <v xml:space="preserve">          5011 - PURCHASES @ COST-NO VALUE TEXT</v>
      </c>
      <c r="C115" s="11"/>
      <c r="D115" s="2">
        <v>258</v>
      </c>
      <c r="E115" s="2"/>
      <c r="F115" s="19">
        <f t="shared" si="8"/>
        <v>3.8073781853699125E-4</v>
      </c>
      <c r="G115" s="2"/>
      <c r="H115" s="2"/>
      <c r="I115" s="2"/>
      <c r="J115" s="19">
        <f t="shared" si="9"/>
        <v>0</v>
      </c>
      <c r="K115" s="2"/>
      <c r="L115" s="2">
        <f t="shared" si="10"/>
        <v>258</v>
      </c>
      <c r="M115" s="2"/>
      <c r="N115" s="19">
        <f t="shared" si="11"/>
        <v>0</v>
      </c>
      <c r="O115" s="11"/>
      <c r="P115" s="2">
        <v>5733</v>
      </c>
      <c r="Q115" s="2"/>
      <c r="R115" s="19">
        <f t="shared" si="12"/>
        <v>6.8525355271933615E-4</v>
      </c>
      <c r="S115" s="2"/>
      <c r="T115" s="2"/>
      <c r="U115" s="2"/>
      <c r="V115" s="19">
        <f t="shared" si="13"/>
        <v>0</v>
      </c>
      <c r="W115" s="2"/>
      <c r="X115" s="2">
        <f t="shared" si="14"/>
        <v>5733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"5013", " - ", "PURCHASES @ COST-TRADE BOOKS")</f>
        <v xml:space="preserve">          5013 - PURCHASES @ COST-TRADE BOOKS</v>
      </c>
      <c r="C116" s="11"/>
      <c r="D116" s="2">
        <v>2592.2600000000002</v>
      </c>
      <c r="E116" s="2"/>
      <c r="F116" s="19">
        <f t="shared" si="8"/>
        <v>3.8254706103903143E-3</v>
      </c>
      <c r="G116" s="2"/>
      <c r="H116" s="2"/>
      <c r="I116" s="2"/>
      <c r="J116" s="19">
        <f t="shared" si="9"/>
        <v>0</v>
      </c>
      <c r="K116" s="2"/>
      <c r="L116" s="2">
        <f t="shared" si="10"/>
        <v>2592.2600000000002</v>
      </c>
      <c r="M116" s="2"/>
      <c r="N116" s="19">
        <f t="shared" si="11"/>
        <v>0</v>
      </c>
      <c r="O116" s="11"/>
      <c r="P116" s="2">
        <v>3050.72</v>
      </c>
      <c r="Q116" s="2"/>
      <c r="R116" s="19">
        <f t="shared" si="12"/>
        <v>3.6464620937588224E-4</v>
      </c>
      <c r="S116" s="2"/>
      <c r="T116" s="2"/>
      <c r="U116" s="2"/>
      <c r="V116" s="19">
        <f t="shared" si="13"/>
        <v>0</v>
      </c>
      <c r="W116" s="2"/>
      <c r="X116" s="2">
        <f t="shared" si="14"/>
        <v>3050.72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"5014", " - ", "PURCHASES @ COST-REMAINDERS")</f>
        <v xml:space="preserve">          5014 - PURCHASES @ COST-REMAINDERS</v>
      </c>
      <c r="C117" s="11"/>
      <c r="D117" s="2">
        <v>17.78</v>
      </c>
      <c r="E117" s="2"/>
      <c r="F117" s="19">
        <f t="shared" si="8"/>
        <v>2.6238443463518238E-5</v>
      </c>
      <c r="G117" s="2"/>
      <c r="H117" s="2"/>
      <c r="I117" s="2"/>
      <c r="J117" s="19">
        <f t="shared" si="9"/>
        <v>0</v>
      </c>
      <c r="K117" s="2"/>
      <c r="L117" s="2">
        <f t="shared" si="10"/>
        <v>17.78</v>
      </c>
      <c r="M117" s="2"/>
      <c r="N117" s="19">
        <f t="shared" si="11"/>
        <v>0</v>
      </c>
      <c r="O117" s="11"/>
      <c r="P117" s="2">
        <v>601.16999999999996</v>
      </c>
      <c r="Q117" s="2"/>
      <c r="R117" s="19">
        <f t="shared" si="12"/>
        <v>7.1856598340883185E-5</v>
      </c>
      <c r="S117" s="2"/>
      <c r="T117" s="2"/>
      <c r="U117" s="2"/>
      <c r="V117" s="19">
        <f t="shared" si="13"/>
        <v>0</v>
      </c>
      <c r="W117" s="2"/>
      <c r="X117" s="2">
        <f t="shared" si="14"/>
        <v>601.16999999999996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"5017", " - ", "PURCHASES @ COST-DORM/HOUSEWAR")</f>
        <v xml:space="preserve">          5017 - PURCHASES @ COST-DORM/HOUSEWAR</v>
      </c>
      <c r="C118" s="11"/>
      <c r="D118" s="2"/>
      <c r="E118" s="2"/>
      <c r="F118" s="19">
        <f t="shared" si="8"/>
        <v>0</v>
      </c>
      <c r="G118" s="2"/>
      <c r="H118" s="2"/>
      <c r="I118" s="2"/>
      <c r="J118" s="19">
        <f t="shared" si="9"/>
        <v>0</v>
      </c>
      <c r="K118" s="2"/>
      <c r="L118" s="2">
        <f t="shared" si="10"/>
        <v>0</v>
      </c>
      <c r="M118" s="2"/>
      <c r="N118" s="19">
        <f t="shared" si="11"/>
        <v>0</v>
      </c>
      <c r="O118" s="11"/>
      <c r="P118" s="2">
        <v>0</v>
      </c>
      <c r="Q118" s="2"/>
      <c r="R118" s="19">
        <f t="shared" si="12"/>
        <v>0</v>
      </c>
      <c r="S118" s="2"/>
      <c r="T118" s="2"/>
      <c r="U118" s="2"/>
      <c r="V118" s="19">
        <f t="shared" si="13"/>
        <v>0</v>
      </c>
      <c r="W118" s="2"/>
      <c r="X118" s="2">
        <f t="shared" si="14"/>
        <v>0</v>
      </c>
      <c r="Y118" s="2"/>
      <c r="Z118" s="19">
        <f t="shared" si="15"/>
        <v>0</v>
      </c>
    </row>
    <row r="119" spans="1:26" s="24" customFormat="1" hidden="1" outlineLevel="1" x14ac:dyDescent="0.25">
      <c r="A119" s="44"/>
      <c r="B119" s="11" t="str">
        <f>CONCATENATE("          ", "5018", " - ", "PURCHASES @ COST-STUDY GUIDES")</f>
        <v xml:space="preserve">          5018 - PURCHASES @ COST-STUDY GUIDES</v>
      </c>
      <c r="C119" s="11"/>
      <c r="D119" s="2">
        <v>237.28</v>
      </c>
      <c r="E119" s="2"/>
      <c r="F119" s="19">
        <f t="shared" si="8"/>
        <v>3.5016073481572592E-4</v>
      </c>
      <c r="G119" s="2"/>
      <c r="H119" s="2"/>
      <c r="I119" s="2"/>
      <c r="J119" s="19">
        <f t="shared" si="9"/>
        <v>0</v>
      </c>
      <c r="K119" s="2"/>
      <c r="L119" s="2">
        <f t="shared" si="10"/>
        <v>237.28</v>
      </c>
      <c r="M119" s="2"/>
      <c r="N119" s="19">
        <f t="shared" si="11"/>
        <v>0</v>
      </c>
      <c r="O119" s="11"/>
      <c r="P119" s="2">
        <v>2268.4299999999998</v>
      </c>
      <c r="Q119" s="2"/>
      <c r="R119" s="19">
        <f t="shared" si="12"/>
        <v>2.7114071456394969E-4</v>
      </c>
      <c r="S119" s="2"/>
      <c r="T119" s="2"/>
      <c r="U119" s="2"/>
      <c r="V119" s="19">
        <f t="shared" si="13"/>
        <v>0</v>
      </c>
      <c r="W119" s="2"/>
      <c r="X119" s="2">
        <f t="shared" si="14"/>
        <v>2268.4299999999998</v>
      </c>
      <c r="Y119" s="2"/>
      <c r="Z119" s="19">
        <f t="shared" si="15"/>
        <v>0</v>
      </c>
    </row>
    <row r="120" spans="1:26" s="24" customFormat="1" hidden="1" outlineLevel="1" x14ac:dyDescent="0.25">
      <c r="A120" s="44"/>
      <c r="B120" s="11" t="str">
        <f>CONCATENATE("          ", "5025", " - ", "PURCHASES @ COST-TEST FORMS")</f>
        <v xml:space="preserve">          5025 - PURCHASES @ COST-TEST FORMS</v>
      </c>
      <c r="C120" s="11"/>
      <c r="D120" s="2">
        <v>3423</v>
      </c>
      <c r="E120" s="2"/>
      <c r="F120" s="19">
        <f t="shared" si="8"/>
        <v>5.0514168715198489E-3</v>
      </c>
      <c r="G120" s="2"/>
      <c r="H120" s="2"/>
      <c r="I120" s="2"/>
      <c r="J120" s="19">
        <f t="shared" si="9"/>
        <v>0</v>
      </c>
      <c r="K120" s="2"/>
      <c r="L120" s="2">
        <f t="shared" si="10"/>
        <v>3423</v>
      </c>
      <c r="M120" s="2"/>
      <c r="N120" s="19">
        <f t="shared" si="11"/>
        <v>0</v>
      </c>
      <c r="O120" s="11"/>
      <c r="P120" s="2">
        <v>26401.390000000003</v>
      </c>
      <c r="Q120" s="2"/>
      <c r="R120" s="19">
        <f t="shared" si="12"/>
        <v>3.1557031735965036E-3</v>
      </c>
      <c r="S120" s="2"/>
      <c r="T120" s="2"/>
      <c r="U120" s="2"/>
      <c r="V120" s="19">
        <f t="shared" si="13"/>
        <v>0</v>
      </c>
      <c r="W120" s="2"/>
      <c r="X120" s="2">
        <f t="shared" si="14"/>
        <v>26401.390000000003</v>
      </c>
      <c r="Y120" s="2"/>
      <c r="Z120" s="19">
        <f t="shared" si="15"/>
        <v>0</v>
      </c>
    </row>
    <row r="121" spans="1:26" s="24" customFormat="1" hidden="1" outlineLevel="1" x14ac:dyDescent="0.25">
      <c r="A121" s="44"/>
      <c r="B121" s="11" t="str">
        <f>CONCATENATE("          ", "5026", " - ", "PURCHASES @ COST-WRITING INSTR")</f>
        <v xml:space="preserve">          5026 - PURCHASES @ COST-WRITING INSTR</v>
      </c>
      <c r="C121" s="11"/>
      <c r="D121" s="2">
        <v>2265.86</v>
      </c>
      <c r="E121" s="2"/>
      <c r="F121" s="19">
        <f t="shared" si="8"/>
        <v>3.3437929981016555E-3</v>
      </c>
      <c r="G121" s="2"/>
      <c r="H121" s="2"/>
      <c r="I121" s="2"/>
      <c r="J121" s="19">
        <f t="shared" si="9"/>
        <v>0</v>
      </c>
      <c r="K121" s="2"/>
      <c r="L121" s="2">
        <f t="shared" si="10"/>
        <v>2265.86</v>
      </c>
      <c r="M121" s="2"/>
      <c r="N121" s="19">
        <f t="shared" si="11"/>
        <v>0</v>
      </c>
      <c r="O121" s="11"/>
      <c r="P121" s="2">
        <v>45762.009999999995</v>
      </c>
      <c r="Q121" s="2"/>
      <c r="R121" s="19">
        <f t="shared" si="12"/>
        <v>5.4698377694187656E-3</v>
      </c>
      <c r="S121" s="2"/>
      <c r="T121" s="2"/>
      <c r="U121" s="2"/>
      <c r="V121" s="19">
        <f t="shared" si="13"/>
        <v>0</v>
      </c>
      <c r="W121" s="2"/>
      <c r="X121" s="2">
        <f t="shared" si="14"/>
        <v>45762.009999999995</v>
      </c>
      <c r="Y121" s="2"/>
      <c r="Z121" s="19">
        <f t="shared" si="15"/>
        <v>0</v>
      </c>
    </row>
    <row r="122" spans="1:26" s="24" customFormat="1" hidden="1" outlineLevel="1" x14ac:dyDescent="0.25">
      <c r="A122" s="44"/>
      <c r="B122" s="11" t="str">
        <f>CONCATENATE("          ", "5027", " - ", "PURCHASES @ COST-SCHOOL SUPPLI")</f>
        <v xml:space="preserve">          5027 - PURCHASES @ COST-SCHOOL SUPPLI</v>
      </c>
      <c r="C122" s="11"/>
      <c r="D122" s="2">
        <v>-2462.8200000000002</v>
      </c>
      <c r="E122" s="2"/>
      <c r="F122" s="19">
        <f t="shared" si="8"/>
        <v>-3.6344523808111351E-3</v>
      </c>
      <c r="G122" s="2"/>
      <c r="H122" s="2"/>
      <c r="I122" s="2"/>
      <c r="J122" s="19">
        <f t="shared" si="9"/>
        <v>0</v>
      </c>
      <c r="K122" s="2"/>
      <c r="L122" s="2">
        <f t="shared" si="10"/>
        <v>-2462.8200000000002</v>
      </c>
      <c r="M122" s="2"/>
      <c r="N122" s="19">
        <f t="shared" si="11"/>
        <v>0</v>
      </c>
      <c r="O122" s="11"/>
      <c r="P122" s="2">
        <v>118351.2</v>
      </c>
      <c r="Q122" s="2"/>
      <c r="R122" s="19">
        <f t="shared" si="12"/>
        <v>1.4146272504552013E-2</v>
      </c>
      <c r="S122" s="2"/>
      <c r="T122" s="2"/>
      <c r="U122" s="2"/>
      <c r="V122" s="19">
        <f t="shared" si="13"/>
        <v>0</v>
      </c>
      <c r="W122" s="2"/>
      <c r="X122" s="2">
        <f t="shared" si="14"/>
        <v>118351.2</v>
      </c>
      <c r="Y122" s="2"/>
      <c r="Z122" s="19">
        <f t="shared" si="15"/>
        <v>0</v>
      </c>
    </row>
    <row r="123" spans="1:26" s="24" customFormat="1" hidden="1" outlineLevel="1" x14ac:dyDescent="0.25">
      <c r="A123" s="44"/>
      <c r="B123" s="11" t="str">
        <f>CONCATENATE("          ", "5028", " - ", "PURCHASES @ COST-ART/TECH")</f>
        <v xml:space="preserve">          5028 - PURCHASES @ COST-ART/TECH</v>
      </c>
      <c r="C123" s="11"/>
      <c r="D123" s="2">
        <v>11525.28</v>
      </c>
      <c r="E123" s="2"/>
      <c r="F123" s="19">
        <f t="shared" si="8"/>
        <v>1.7008178159798507E-2</v>
      </c>
      <c r="G123" s="2"/>
      <c r="H123" s="2"/>
      <c r="I123" s="2"/>
      <c r="J123" s="19">
        <f t="shared" si="9"/>
        <v>0</v>
      </c>
      <c r="K123" s="2"/>
      <c r="L123" s="2">
        <f t="shared" si="10"/>
        <v>11525.28</v>
      </c>
      <c r="M123" s="2"/>
      <c r="N123" s="19">
        <f t="shared" si="11"/>
        <v>0</v>
      </c>
      <c r="O123" s="11"/>
      <c r="P123" s="2">
        <v>146652.78</v>
      </c>
      <c r="Q123" s="2"/>
      <c r="R123" s="19">
        <f t="shared" si="12"/>
        <v>1.7529101432263598E-2</v>
      </c>
      <c r="S123" s="2"/>
      <c r="T123" s="2"/>
      <c r="U123" s="2"/>
      <c r="V123" s="19">
        <f t="shared" si="13"/>
        <v>0</v>
      </c>
      <c r="W123" s="2"/>
      <c r="X123" s="2">
        <f t="shared" si="14"/>
        <v>146652.78</v>
      </c>
      <c r="Y123" s="2"/>
      <c r="Z123" s="19">
        <f t="shared" si="15"/>
        <v>0</v>
      </c>
    </row>
    <row r="124" spans="1:26" s="24" customFormat="1" hidden="1" outlineLevel="1" x14ac:dyDescent="0.25">
      <c r="A124" s="44"/>
      <c r="B124" s="11" t="str">
        <f>CONCATENATE("          ", "5031", " - ", "PURCHASES @ COST-FOOD")</f>
        <v xml:space="preserve">          5031 - PURCHASES @ COST-FOOD</v>
      </c>
      <c r="C124" s="11"/>
      <c r="D124" s="2">
        <v>5225.67</v>
      </c>
      <c r="E124" s="2"/>
      <c r="F124" s="19">
        <f t="shared" si="8"/>
        <v>7.7116674271092995E-3</v>
      </c>
      <c r="G124" s="2"/>
      <c r="H124" s="2"/>
      <c r="I124" s="2"/>
      <c r="J124" s="19">
        <f t="shared" si="9"/>
        <v>0</v>
      </c>
      <c r="K124" s="2"/>
      <c r="L124" s="2">
        <f t="shared" si="10"/>
        <v>5225.67</v>
      </c>
      <c r="M124" s="2"/>
      <c r="N124" s="19">
        <f t="shared" si="11"/>
        <v>0</v>
      </c>
      <c r="O124" s="11"/>
      <c r="P124" s="2">
        <v>30126.060000000005</v>
      </c>
      <c r="Q124" s="2"/>
      <c r="R124" s="19">
        <f t="shared" si="12"/>
        <v>3.6009052231703973E-3</v>
      </c>
      <c r="S124" s="2"/>
      <c r="T124" s="2"/>
      <c r="U124" s="2"/>
      <c r="V124" s="19">
        <f t="shared" si="13"/>
        <v>0</v>
      </c>
      <c r="W124" s="2"/>
      <c r="X124" s="2">
        <f t="shared" si="14"/>
        <v>30126.060000000005</v>
      </c>
      <c r="Y124" s="2"/>
      <c r="Z124" s="19">
        <f t="shared" si="15"/>
        <v>0</v>
      </c>
    </row>
    <row r="125" spans="1:26" s="24" customFormat="1" hidden="1" outlineLevel="1" x14ac:dyDescent="0.25">
      <c r="A125" s="44"/>
      <c r="B125" s="11" t="str">
        <f>CONCATENATE("          ", "5032", " - ", "PURCHASES @ COST-JUICE")</f>
        <v xml:space="preserve">          5032 - PURCHASES @ COST-JUICE</v>
      </c>
      <c r="C125" s="11"/>
      <c r="D125" s="2">
        <v>1720.97</v>
      </c>
      <c r="E125" s="2"/>
      <c r="F125" s="19">
        <f t="shared" si="8"/>
        <v>2.5396835797194027E-3</v>
      </c>
      <c r="G125" s="2"/>
      <c r="H125" s="2"/>
      <c r="I125" s="2"/>
      <c r="J125" s="19">
        <f t="shared" si="9"/>
        <v>0</v>
      </c>
      <c r="K125" s="2"/>
      <c r="L125" s="2">
        <f t="shared" si="10"/>
        <v>1720.97</v>
      </c>
      <c r="M125" s="2"/>
      <c r="N125" s="19">
        <f t="shared" si="11"/>
        <v>0</v>
      </c>
      <c r="O125" s="11"/>
      <c r="P125" s="2">
        <v>7113.48</v>
      </c>
      <c r="Q125" s="2"/>
      <c r="R125" s="19">
        <f t="shared" si="12"/>
        <v>8.5025945267712237E-4</v>
      </c>
      <c r="S125" s="2"/>
      <c r="T125" s="2"/>
      <c r="U125" s="2"/>
      <c r="V125" s="19">
        <f t="shared" si="13"/>
        <v>0</v>
      </c>
      <c r="W125" s="2"/>
      <c r="X125" s="2">
        <f t="shared" si="14"/>
        <v>7113.48</v>
      </c>
      <c r="Y125" s="2"/>
      <c r="Z125" s="19">
        <f t="shared" si="15"/>
        <v>0</v>
      </c>
    </row>
    <row r="126" spans="1:26" s="24" customFormat="1" hidden="1" outlineLevel="1" x14ac:dyDescent="0.25">
      <c r="A126" s="44"/>
      <c r="B126" s="11" t="str">
        <f>CONCATENATE("          ", "5033", " - ", "PURCHASES @ COST-CANDY")</f>
        <v xml:space="preserve">          5033 - PURCHASES @ COST-CANDY</v>
      </c>
      <c r="C126" s="11"/>
      <c r="D126" s="2">
        <v>1821.44</v>
      </c>
      <c r="E126" s="2"/>
      <c r="F126" s="19">
        <f t="shared" si="8"/>
        <v>2.6879499697520055E-3</v>
      </c>
      <c r="G126" s="2"/>
      <c r="H126" s="2"/>
      <c r="I126" s="2"/>
      <c r="J126" s="19">
        <f t="shared" si="9"/>
        <v>0</v>
      </c>
      <c r="K126" s="2"/>
      <c r="L126" s="2">
        <f t="shared" si="10"/>
        <v>1821.44</v>
      </c>
      <c r="M126" s="2"/>
      <c r="N126" s="19">
        <f t="shared" si="11"/>
        <v>0</v>
      </c>
      <c r="O126" s="11"/>
      <c r="P126" s="2">
        <v>8825.06</v>
      </c>
      <c r="Q126" s="2"/>
      <c r="R126" s="19">
        <f t="shared" si="12"/>
        <v>1.0548410462168679E-3</v>
      </c>
      <c r="S126" s="2"/>
      <c r="T126" s="2"/>
      <c r="U126" s="2"/>
      <c r="V126" s="19">
        <f t="shared" si="13"/>
        <v>0</v>
      </c>
      <c r="W126" s="2"/>
      <c r="X126" s="2">
        <f t="shared" si="14"/>
        <v>8825.06</v>
      </c>
      <c r="Y126" s="2"/>
      <c r="Z126" s="19">
        <f t="shared" si="15"/>
        <v>0</v>
      </c>
    </row>
    <row r="127" spans="1:26" s="24" customFormat="1" hidden="1" outlineLevel="1" x14ac:dyDescent="0.25">
      <c r="A127" s="44"/>
      <c r="B127" s="11" t="str">
        <f>CONCATENATE("          ", "5034", " - ", "PURCHASES @ COST-SODA")</f>
        <v xml:space="preserve">          5034 - PURCHASES @ COST-SODA</v>
      </c>
      <c r="C127" s="11"/>
      <c r="D127" s="2">
        <v>1637.93</v>
      </c>
      <c r="E127" s="2"/>
      <c r="F127" s="19">
        <f t="shared" si="8"/>
        <v>2.4171391283577294E-3</v>
      </c>
      <c r="G127" s="2"/>
      <c r="H127" s="2"/>
      <c r="I127" s="2"/>
      <c r="J127" s="19">
        <f t="shared" si="9"/>
        <v>0</v>
      </c>
      <c r="K127" s="2"/>
      <c r="L127" s="2">
        <f t="shared" si="10"/>
        <v>1637.93</v>
      </c>
      <c r="M127" s="2"/>
      <c r="N127" s="19">
        <f t="shared" si="11"/>
        <v>0</v>
      </c>
      <c r="O127" s="11"/>
      <c r="P127" s="2">
        <v>3762.09</v>
      </c>
      <c r="Q127" s="2"/>
      <c r="R127" s="19">
        <f t="shared" si="12"/>
        <v>4.4967478425778605E-4</v>
      </c>
      <c r="S127" s="2"/>
      <c r="T127" s="2"/>
      <c r="U127" s="2"/>
      <c r="V127" s="19">
        <f t="shared" si="13"/>
        <v>0</v>
      </c>
      <c r="W127" s="2"/>
      <c r="X127" s="2">
        <f t="shared" si="14"/>
        <v>3762.09</v>
      </c>
      <c r="Y127" s="2"/>
      <c r="Z127" s="19">
        <f t="shared" si="15"/>
        <v>0</v>
      </c>
    </row>
    <row r="128" spans="1:26" s="24" customFormat="1" hidden="1" outlineLevel="1" x14ac:dyDescent="0.25">
      <c r="A128" s="44"/>
      <c r="B128" s="11" t="str">
        <f>CONCATENATE("          ", "5035", " - ", "PURCHASES @ COST-HEALTH &amp; BEAU")</f>
        <v xml:space="preserve">          5035 - PURCHASES @ COST-HEALTH &amp; BEAU</v>
      </c>
      <c r="C128" s="11"/>
      <c r="D128" s="2">
        <v>198.47</v>
      </c>
      <c r="E128" s="2"/>
      <c r="F128" s="19">
        <f t="shared" si="8"/>
        <v>2.9288773195750641E-4</v>
      </c>
      <c r="G128" s="2"/>
      <c r="H128" s="2"/>
      <c r="I128" s="2"/>
      <c r="J128" s="19">
        <f t="shared" si="9"/>
        <v>0</v>
      </c>
      <c r="K128" s="2"/>
      <c r="L128" s="2">
        <f t="shared" si="10"/>
        <v>198.47</v>
      </c>
      <c r="M128" s="2"/>
      <c r="N128" s="19">
        <f t="shared" si="11"/>
        <v>0</v>
      </c>
      <c r="O128" s="11"/>
      <c r="P128" s="2">
        <v>1055.67</v>
      </c>
      <c r="Q128" s="2"/>
      <c r="R128" s="19">
        <f t="shared" si="12"/>
        <v>1.2618203697875835E-4</v>
      </c>
      <c r="S128" s="2"/>
      <c r="T128" s="2"/>
      <c r="U128" s="2"/>
      <c r="V128" s="19">
        <f t="shared" si="13"/>
        <v>0</v>
      </c>
      <c r="W128" s="2"/>
      <c r="X128" s="2">
        <f t="shared" si="14"/>
        <v>1055.67</v>
      </c>
      <c r="Y128" s="2"/>
      <c r="Z128" s="19">
        <f t="shared" si="15"/>
        <v>0</v>
      </c>
    </row>
    <row r="129" spans="1:26" s="24" customFormat="1" hidden="1" outlineLevel="1" x14ac:dyDescent="0.25">
      <c r="A129" s="44"/>
      <c r="B129" s="11" t="str">
        <f>CONCATENATE("          ", "5037", " - ", "PURCHASES @ COST-WATER")</f>
        <v xml:space="preserve">          5037 - PURCHASES @ COST-WATER</v>
      </c>
      <c r="C129" s="11"/>
      <c r="D129" s="2">
        <v>1540.46</v>
      </c>
      <c r="E129" s="2"/>
      <c r="F129" s="19">
        <f t="shared" si="8"/>
        <v>2.2732999222616029E-3</v>
      </c>
      <c r="G129" s="2"/>
      <c r="H129" s="2"/>
      <c r="I129" s="2"/>
      <c r="J129" s="19">
        <f t="shared" si="9"/>
        <v>0</v>
      </c>
      <c r="K129" s="2"/>
      <c r="L129" s="2">
        <f t="shared" si="10"/>
        <v>1540.46</v>
      </c>
      <c r="M129" s="2"/>
      <c r="N129" s="19">
        <f t="shared" si="11"/>
        <v>0</v>
      </c>
      <c r="O129" s="11"/>
      <c r="P129" s="2">
        <v>5299.73</v>
      </c>
      <c r="Q129" s="2"/>
      <c r="R129" s="19">
        <f t="shared" si="12"/>
        <v>6.3346569177625102E-4</v>
      </c>
      <c r="S129" s="2"/>
      <c r="T129" s="2"/>
      <c r="U129" s="2"/>
      <c r="V129" s="19">
        <f t="shared" si="13"/>
        <v>0</v>
      </c>
      <c r="W129" s="2"/>
      <c r="X129" s="2">
        <f t="shared" si="14"/>
        <v>5299.73</v>
      </c>
      <c r="Y129" s="2"/>
      <c r="Z129" s="19">
        <f t="shared" si="15"/>
        <v>0</v>
      </c>
    </row>
    <row r="130" spans="1:26" s="24" customFormat="1" hidden="1" outlineLevel="1" x14ac:dyDescent="0.25">
      <c r="A130" s="44"/>
      <c r="B130" s="11" t="str">
        <f>CONCATENATE("          ", "5040", " - ", "PURCHASES @ COST-LOGO CLOTHING")</f>
        <v xml:space="preserve">          5040 - PURCHASES @ COST-LOGO CLOTHING</v>
      </c>
      <c r="C130" s="11"/>
      <c r="D130" s="2">
        <v>90806.55</v>
      </c>
      <c r="E130" s="2"/>
      <c r="F130" s="19">
        <f t="shared" si="8"/>
        <v>0.13400576649562104</v>
      </c>
      <c r="G130" s="2"/>
      <c r="H130" s="2"/>
      <c r="I130" s="2"/>
      <c r="J130" s="19">
        <f t="shared" si="9"/>
        <v>0</v>
      </c>
      <c r="K130" s="2"/>
      <c r="L130" s="2">
        <f t="shared" si="10"/>
        <v>90806.55</v>
      </c>
      <c r="M130" s="2"/>
      <c r="N130" s="19">
        <f t="shared" si="11"/>
        <v>0</v>
      </c>
      <c r="O130" s="11"/>
      <c r="P130" s="2">
        <v>901545.55999999994</v>
      </c>
      <c r="Q130" s="2"/>
      <c r="R130" s="19">
        <f t="shared" si="12"/>
        <v>0.10775986358422177</v>
      </c>
      <c r="S130" s="2"/>
      <c r="T130" s="2"/>
      <c r="U130" s="2"/>
      <c r="V130" s="19">
        <f t="shared" si="13"/>
        <v>0</v>
      </c>
      <c r="W130" s="2"/>
      <c r="X130" s="2">
        <f t="shared" si="14"/>
        <v>901545.55999999994</v>
      </c>
      <c r="Y130" s="2"/>
      <c r="Z130" s="19">
        <f t="shared" si="15"/>
        <v>0</v>
      </c>
    </row>
    <row r="131" spans="1:26" s="24" customFormat="1" hidden="1" outlineLevel="1" x14ac:dyDescent="0.25">
      <c r="A131" s="44"/>
      <c r="B131" s="11" t="str">
        <f>CONCATENATE("          ", "5041", " - ", "PURCHASES @ COST-LOGO GIFTS")</f>
        <v xml:space="preserve">          5041 - PURCHASES @ COST-LOGO GIFTS</v>
      </c>
      <c r="C131" s="11"/>
      <c r="D131" s="2">
        <v>10366.19</v>
      </c>
      <c r="E131" s="2"/>
      <c r="F131" s="19">
        <f t="shared" si="8"/>
        <v>1.5297676616821604E-2</v>
      </c>
      <c r="G131" s="2"/>
      <c r="H131" s="2"/>
      <c r="I131" s="2"/>
      <c r="J131" s="19">
        <f t="shared" si="9"/>
        <v>0</v>
      </c>
      <c r="K131" s="2"/>
      <c r="L131" s="2">
        <f t="shared" si="10"/>
        <v>10366.19</v>
      </c>
      <c r="M131" s="2"/>
      <c r="N131" s="19">
        <f t="shared" si="11"/>
        <v>0</v>
      </c>
      <c r="O131" s="11"/>
      <c r="P131" s="2">
        <v>134382.06</v>
      </c>
      <c r="Q131" s="2"/>
      <c r="R131" s="19">
        <f t="shared" si="12"/>
        <v>1.6062407820816849E-2</v>
      </c>
      <c r="S131" s="2"/>
      <c r="T131" s="2"/>
      <c r="U131" s="2"/>
      <c r="V131" s="19">
        <f t="shared" si="13"/>
        <v>0</v>
      </c>
      <c r="W131" s="2"/>
      <c r="X131" s="2">
        <f t="shared" si="14"/>
        <v>134382.06</v>
      </c>
      <c r="Y131" s="2"/>
      <c r="Z131" s="19">
        <f t="shared" si="15"/>
        <v>0</v>
      </c>
    </row>
    <row r="132" spans="1:26" s="24" customFormat="1" hidden="1" outlineLevel="1" x14ac:dyDescent="0.25">
      <c r="A132" s="44"/>
      <c r="B132" s="11" t="str">
        <f>CONCATENATE("          ", "5042", " - ", "PURCHASES @ COST-EVERYDAY GIFT")</f>
        <v xml:space="preserve">          5042 - PURCHASES @ COST-EVERYDAY GIFT</v>
      </c>
      <c r="C132" s="11"/>
      <c r="D132" s="2">
        <v>8647</v>
      </c>
      <c r="E132" s="2"/>
      <c r="F132" s="19">
        <f t="shared" si="8"/>
        <v>1.276061983290451E-2</v>
      </c>
      <c r="G132" s="2"/>
      <c r="H132" s="2"/>
      <c r="I132" s="2"/>
      <c r="J132" s="19">
        <f t="shared" si="9"/>
        <v>0</v>
      </c>
      <c r="K132" s="2"/>
      <c r="L132" s="2">
        <f t="shared" si="10"/>
        <v>8647</v>
      </c>
      <c r="M132" s="2"/>
      <c r="N132" s="19">
        <f t="shared" si="11"/>
        <v>0</v>
      </c>
      <c r="O132" s="11"/>
      <c r="P132" s="2">
        <v>100007.97</v>
      </c>
      <c r="Q132" s="2"/>
      <c r="R132" s="19">
        <f t="shared" si="12"/>
        <v>1.1953744417015312E-2</v>
      </c>
      <c r="S132" s="2"/>
      <c r="T132" s="2"/>
      <c r="U132" s="2"/>
      <c r="V132" s="19">
        <f t="shared" si="13"/>
        <v>0</v>
      </c>
      <c r="W132" s="2"/>
      <c r="X132" s="2">
        <f t="shared" si="14"/>
        <v>100007.97</v>
      </c>
      <c r="Y132" s="2"/>
      <c r="Z132" s="19">
        <f t="shared" si="15"/>
        <v>0</v>
      </c>
    </row>
    <row r="133" spans="1:26" s="24" customFormat="1" hidden="1" outlineLevel="1" x14ac:dyDescent="0.25">
      <c r="A133" s="44"/>
      <c r="B133" s="11" t="str">
        <f>CONCATENATE("          ", "5043", " - ", "PURCHASES @ COST-CARDS")</f>
        <v xml:space="preserve">          5043 - PURCHASES @ COST-CARDS</v>
      </c>
      <c r="C133" s="11"/>
      <c r="D133" s="2">
        <v>18340.75</v>
      </c>
      <c r="E133" s="2"/>
      <c r="F133" s="19">
        <f t="shared" si="8"/>
        <v>2.7065957927644661E-2</v>
      </c>
      <c r="G133" s="2"/>
      <c r="H133" s="2"/>
      <c r="I133" s="2"/>
      <c r="J133" s="19">
        <f t="shared" si="9"/>
        <v>0</v>
      </c>
      <c r="K133" s="2"/>
      <c r="L133" s="2">
        <f t="shared" si="10"/>
        <v>18340.75</v>
      </c>
      <c r="M133" s="2"/>
      <c r="N133" s="19">
        <f t="shared" si="11"/>
        <v>0</v>
      </c>
      <c r="O133" s="11"/>
      <c r="P133" s="2">
        <v>29035.16</v>
      </c>
      <c r="Q133" s="2"/>
      <c r="R133" s="19">
        <f t="shared" si="12"/>
        <v>3.4705122176477165E-3</v>
      </c>
      <c r="S133" s="2"/>
      <c r="T133" s="2"/>
      <c r="U133" s="2"/>
      <c r="V133" s="19">
        <f t="shared" si="13"/>
        <v>0</v>
      </c>
      <c r="W133" s="2"/>
      <c r="X133" s="2">
        <f t="shared" si="14"/>
        <v>29035.16</v>
      </c>
      <c r="Y133" s="2"/>
      <c r="Z133" s="19">
        <f t="shared" si="15"/>
        <v>0</v>
      </c>
    </row>
    <row r="134" spans="1:26" s="24" customFormat="1" hidden="1" outlineLevel="1" x14ac:dyDescent="0.25">
      <c r="A134" s="44"/>
      <c r="B134" s="11" t="str">
        <f>CONCATENATE("          ", "5044", " - ", "PURCHASES @ COST-ACCESSORIES")</f>
        <v xml:space="preserve">          5044 - PURCHASES @ COST-ACCESSORIES</v>
      </c>
      <c r="C134" s="11"/>
      <c r="D134" s="2">
        <v>12532.23</v>
      </c>
      <c r="E134" s="2"/>
      <c r="F134" s="19">
        <f t="shared" si="8"/>
        <v>1.849416244807689E-2</v>
      </c>
      <c r="G134" s="2"/>
      <c r="H134" s="2"/>
      <c r="I134" s="2"/>
      <c r="J134" s="19">
        <f t="shared" si="9"/>
        <v>0</v>
      </c>
      <c r="K134" s="2"/>
      <c r="L134" s="2">
        <f t="shared" si="10"/>
        <v>12532.23</v>
      </c>
      <c r="M134" s="2"/>
      <c r="N134" s="19">
        <f t="shared" si="11"/>
        <v>0</v>
      </c>
      <c r="O134" s="11"/>
      <c r="P134" s="2">
        <v>33399.440000000002</v>
      </c>
      <c r="Q134" s="2"/>
      <c r="R134" s="19">
        <f t="shared" si="12"/>
        <v>3.9921655187225369E-3</v>
      </c>
      <c r="S134" s="2"/>
      <c r="T134" s="2"/>
      <c r="U134" s="2"/>
      <c r="V134" s="19">
        <f t="shared" si="13"/>
        <v>0</v>
      </c>
      <c r="W134" s="2"/>
      <c r="X134" s="2">
        <f t="shared" si="14"/>
        <v>33399.440000000002</v>
      </c>
      <c r="Y134" s="2"/>
      <c r="Z134" s="19">
        <f t="shared" si="15"/>
        <v>0</v>
      </c>
    </row>
    <row r="135" spans="1:26" s="24" customFormat="1" hidden="1" outlineLevel="1" x14ac:dyDescent="0.25">
      <c r="A135" s="44"/>
      <c r="B135" s="11" t="str">
        <f>CONCATENATE("          ", "5045", " - ", "PURCHASES @ COST-SPECIAL ORDER")</f>
        <v xml:space="preserve">          5045 - PURCHASES @ COST-SPECIAL ORDER</v>
      </c>
      <c r="C135" s="11"/>
      <c r="D135" s="2">
        <v>2948.55</v>
      </c>
      <c r="E135" s="2"/>
      <c r="F135" s="19">
        <f t="shared" si="8"/>
        <v>4.3512577319660684E-3</v>
      </c>
      <c r="G135" s="2"/>
      <c r="H135" s="2"/>
      <c r="I135" s="2"/>
      <c r="J135" s="19">
        <f t="shared" si="9"/>
        <v>0</v>
      </c>
      <c r="K135" s="2"/>
      <c r="L135" s="2">
        <f t="shared" si="10"/>
        <v>2948.55</v>
      </c>
      <c r="M135" s="2"/>
      <c r="N135" s="19">
        <f t="shared" si="11"/>
        <v>0</v>
      </c>
      <c r="O135" s="11"/>
      <c r="P135" s="2">
        <v>50964.780000000006</v>
      </c>
      <c r="Q135" s="2"/>
      <c r="R135" s="19">
        <f t="shared" si="12"/>
        <v>6.0917140342856045E-3</v>
      </c>
      <c r="S135" s="2"/>
      <c r="T135" s="2"/>
      <c r="U135" s="2"/>
      <c r="V135" s="19">
        <f t="shared" si="13"/>
        <v>0</v>
      </c>
      <c r="W135" s="2"/>
      <c r="X135" s="2">
        <f t="shared" si="14"/>
        <v>50964.780000000006</v>
      </c>
      <c r="Y135" s="2"/>
      <c r="Z135" s="19">
        <f t="shared" si="15"/>
        <v>0</v>
      </c>
    </row>
    <row r="136" spans="1:26" s="24" customFormat="1" hidden="1" outlineLevel="1" x14ac:dyDescent="0.25">
      <c r="A136" s="44"/>
      <c r="B136" s="11" t="str">
        <f>CONCATENATE("          ", "5081", " - ", "PURCHASES @ COST-ELECTRONICS")</f>
        <v xml:space="preserve">          5081 - PURCHASES @ COST-ELECTRONICS</v>
      </c>
      <c r="C136" s="11"/>
      <c r="D136" s="2"/>
      <c r="E136" s="2"/>
      <c r="F136" s="19">
        <f t="shared" si="8"/>
        <v>0</v>
      </c>
      <c r="G136" s="2"/>
      <c r="H136" s="2"/>
      <c r="I136" s="2"/>
      <c r="J136" s="19">
        <f t="shared" si="9"/>
        <v>0</v>
      </c>
      <c r="K136" s="2"/>
      <c r="L136" s="2">
        <f t="shared" si="10"/>
        <v>0</v>
      </c>
      <c r="M136" s="2"/>
      <c r="N136" s="19">
        <f t="shared" si="11"/>
        <v>0</v>
      </c>
      <c r="O136" s="11"/>
      <c r="P136" s="2">
        <v>1891.21</v>
      </c>
      <c r="Q136" s="2"/>
      <c r="R136" s="19">
        <f t="shared" si="12"/>
        <v>2.2605239341328025E-4</v>
      </c>
      <c r="S136" s="2"/>
      <c r="T136" s="2"/>
      <c r="U136" s="2"/>
      <c r="V136" s="19">
        <f t="shared" si="13"/>
        <v>0</v>
      </c>
      <c r="W136" s="2"/>
      <c r="X136" s="2">
        <f t="shared" si="14"/>
        <v>1891.21</v>
      </c>
      <c r="Y136" s="2"/>
      <c r="Z136" s="19">
        <f t="shared" si="15"/>
        <v>0</v>
      </c>
    </row>
    <row r="137" spans="1:26" s="24" customFormat="1" hidden="1" outlineLevel="1" x14ac:dyDescent="0.25">
      <c r="A137" s="44"/>
      <c r="B137" s="11" t="str">
        <f>CONCATENATE("          ", "5082", " - ", "PURCHASES @ COST-COMPUTER HARD")</f>
        <v xml:space="preserve">          5082 - PURCHASES @ COST-COMPUTER HARD</v>
      </c>
      <c r="C137" s="11"/>
      <c r="D137" s="2"/>
      <c r="E137" s="2"/>
      <c r="F137" s="19">
        <f t="shared" si="8"/>
        <v>0</v>
      </c>
      <c r="G137" s="2"/>
      <c r="H137" s="2"/>
      <c r="I137" s="2"/>
      <c r="J137" s="19">
        <f t="shared" si="9"/>
        <v>0</v>
      </c>
      <c r="K137" s="2"/>
      <c r="L137" s="2">
        <f t="shared" si="10"/>
        <v>0</v>
      </c>
      <c r="M137" s="2"/>
      <c r="N137" s="19">
        <f t="shared" si="11"/>
        <v>0</v>
      </c>
      <c r="O137" s="11"/>
      <c r="P137" s="2">
        <v>349.6</v>
      </c>
      <c r="Q137" s="2"/>
      <c r="R137" s="19">
        <f t="shared" si="12"/>
        <v>4.1786960061168663E-5</v>
      </c>
      <c r="S137" s="2"/>
      <c r="T137" s="2"/>
      <c r="U137" s="2"/>
      <c r="V137" s="19">
        <f t="shared" si="13"/>
        <v>0</v>
      </c>
      <c r="W137" s="2"/>
      <c r="X137" s="2">
        <f t="shared" si="14"/>
        <v>349.6</v>
      </c>
      <c r="Y137" s="2"/>
      <c r="Z137" s="19">
        <f t="shared" si="15"/>
        <v>0</v>
      </c>
    </row>
    <row r="138" spans="1:26" s="24" customFormat="1" hidden="1" outlineLevel="1" x14ac:dyDescent="0.25">
      <c r="A138" s="44"/>
      <c r="B138" s="11" t="str">
        <f>CONCATENATE("          ", "5083", " - ", "PURCHASES @ COST-COMPUTER EQUI")</f>
        <v xml:space="preserve">          5083 - PURCHASES @ COST-COMPUTER EQUI</v>
      </c>
      <c r="C138" s="11"/>
      <c r="D138" s="2">
        <v>-67.650000000000006</v>
      </c>
      <c r="E138" s="2"/>
      <c r="F138" s="19">
        <f t="shared" si="8"/>
        <v>-9.98329977675483E-5</v>
      </c>
      <c r="G138" s="2"/>
      <c r="H138" s="2"/>
      <c r="I138" s="2"/>
      <c r="J138" s="19">
        <f t="shared" si="9"/>
        <v>0</v>
      </c>
      <c r="K138" s="2"/>
      <c r="L138" s="2">
        <f t="shared" si="10"/>
        <v>-67.650000000000006</v>
      </c>
      <c r="M138" s="2"/>
      <c r="N138" s="19">
        <f t="shared" si="11"/>
        <v>0</v>
      </c>
      <c r="O138" s="11"/>
      <c r="P138" s="2">
        <v>395.06</v>
      </c>
      <c r="Q138" s="2"/>
      <c r="R138" s="19">
        <f t="shared" si="12"/>
        <v>4.7220699204134124E-5</v>
      </c>
      <c r="S138" s="2"/>
      <c r="T138" s="2"/>
      <c r="U138" s="2"/>
      <c r="V138" s="19">
        <f t="shared" si="13"/>
        <v>0</v>
      </c>
      <c r="W138" s="2"/>
      <c r="X138" s="2">
        <f t="shared" si="14"/>
        <v>395.06</v>
      </c>
      <c r="Y138" s="2"/>
      <c r="Z138" s="19">
        <f t="shared" si="15"/>
        <v>0</v>
      </c>
    </row>
    <row r="139" spans="1:26" s="24" customFormat="1" hidden="1" outlineLevel="1" x14ac:dyDescent="0.25">
      <c r="A139" s="44"/>
      <c r="B139" s="11" t="str">
        <f>CONCATENATE("          ", "5086", " - ", "PURCHASES @ COST-COMPUTER SUPP")</f>
        <v xml:space="preserve">          5086 - PURCHASES @ COST-COMPUTER SUPP</v>
      </c>
      <c r="C139" s="11"/>
      <c r="D139" s="2">
        <v>9.98</v>
      </c>
      <c r="E139" s="2"/>
      <c r="F139" s="19">
        <f t="shared" si="8"/>
        <v>1.4727765228678966E-5</v>
      </c>
      <c r="G139" s="2"/>
      <c r="H139" s="2"/>
      <c r="I139" s="2"/>
      <c r="J139" s="19">
        <f t="shared" si="9"/>
        <v>0</v>
      </c>
      <c r="K139" s="2"/>
      <c r="L139" s="2">
        <f t="shared" si="10"/>
        <v>9.98</v>
      </c>
      <c r="M139" s="2"/>
      <c r="N139" s="19">
        <f t="shared" si="11"/>
        <v>0</v>
      </c>
      <c r="O139" s="11"/>
      <c r="P139" s="2">
        <v>426.22</v>
      </c>
      <c r="Q139" s="2"/>
      <c r="R139" s="19">
        <f t="shared" si="12"/>
        <v>5.0945189122629593E-5</v>
      </c>
      <c r="S139" s="2"/>
      <c r="T139" s="2"/>
      <c r="U139" s="2"/>
      <c r="V139" s="19">
        <f t="shared" si="13"/>
        <v>0</v>
      </c>
      <c r="W139" s="2"/>
      <c r="X139" s="2">
        <f t="shared" si="14"/>
        <v>426.22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"5092", " - ", "PURCHASES @ COST-GRAD MERCH")</f>
        <v xml:space="preserve">          5092 - PURCHASES @ COST-GRAD MERCH</v>
      </c>
      <c r="C140" s="11"/>
      <c r="D140" s="2">
        <v>-137.06</v>
      </c>
      <c r="E140" s="2"/>
      <c r="F140" s="19">
        <f t="shared" si="8"/>
        <v>-2.0226327677782955E-4</v>
      </c>
      <c r="G140" s="2"/>
      <c r="H140" s="2"/>
      <c r="I140" s="2"/>
      <c r="J140" s="19">
        <f t="shared" si="9"/>
        <v>0</v>
      </c>
      <c r="K140" s="2"/>
      <c r="L140" s="2">
        <f t="shared" si="10"/>
        <v>-137.06</v>
      </c>
      <c r="M140" s="2"/>
      <c r="N140" s="19">
        <f t="shared" si="11"/>
        <v>0</v>
      </c>
      <c r="O140" s="11"/>
      <c r="P140" s="2">
        <v>1909.8</v>
      </c>
      <c r="Q140" s="2"/>
      <c r="R140" s="19">
        <f t="shared" si="12"/>
        <v>2.2827441740509125E-4</v>
      </c>
      <c r="S140" s="2"/>
      <c r="T140" s="2"/>
      <c r="U140" s="2"/>
      <c r="V140" s="19">
        <f t="shared" si="13"/>
        <v>0</v>
      </c>
      <c r="W140" s="2"/>
      <c r="X140" s="2">
        <f t="shared" si="14"/>
        <v>1909.8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"5095", " - ", "PURCHASES @ COST-CUSTOMER SERV")</f>
        <v xml:space="preserve">          5095 - PURCHASES @ COST-CUSTOMER SERV</v>
      </c>
      <c r="C141" s="11"/>
      <c r="D141" s="2"/>
      <c r="E141" s="2"/>
      <c r="F141" s="19">
        <f t="shared" si="8"/>
        <v>0</v>
      </c>
      <c r="G141" s="2"/>
      <c r="H141" s="2"/>
      <c r="I141" s="2"/>
      <c r="J141" s="19">
        <f t="shared" si="9"/>
        <v>0</v>
      </c>
      <c r="K141" s="2"/>
      <c r="L141" s="2">
        <f t="shared" si="10"/>
        <v>0</v>
      </c>
      <c r="M141" s="2"/>
      <c r="N141" s="19">
        <f t="shared" si="11"/>
        <v>0</v>
      </c>
      <c r="O141" s="11"/>
      <c r="P141" s="2">
        <v>0</v>
      </c>
      <c r="Q141" s="2"/>
      <c r="R141" s="19">
        <f t="shared" si="12"/>
        <v>0</v>
      </c>
      <c r="S141" s="2"/>
      <c r="T141" s="2"/>
      <c r="U141" s="2"/>
      <c r="V141" s="19">
        <f t="shared" si="13"/>
        <v>0</v>
      </c>
      <c r="W141" s="2"/>
      <c r="X141" s="2">
        <f t="shared" si="14"/>
        <v>0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"5200", " - ", "PURCHASES OFFSET")</f>
        <v xml:space="preserve">          5200 - PURCHASES OFFSET</v>
      </c>
      <c r="C142" s="11"/>
      <c r="D142" s="2">
        <v>-148774</v>
      </c>
      <c r="E142" s="2"/>
      <c r="F142" s="19">
        <f t="shared" si="8"/>
        <v>-0.219549954321792</v>
      </c>
      <c r="G142" s="2"/>
      <c r="H142" s="2"/>
      <c r="I142" s="2"/>
      <c r="J142" s="19">
        <f t="shared" si="9"/>
        <v>0</v>
      </c>
      <c r="K142" s="2"/>
      <c r="L142" s="2">
        <f t="shared" si="10"/>
        <v>-148774</v>
      </c>
      <c r="M142" s="2"/>
      <c r="N142" s="19">
        <f t="shared" si="11"/>
        <v>0</v>
      </c>
      <c r="O142" s="11"/>
      <c r="P142" s="2">
        <v>-4174340</v>
      </c>
      <c r="Q142" s="2"/>
      <c r="R142" s="19">
        <f t="shared" si="12"/>
        <v>-0.498950168368818</v>
      </c>
      <c r="S142" s="2"/>
      <c r="T142" s="2"/>
      <c r="U142" s="2"/>
      <c r="V142" s="19">
        <f t="shared" si="13"/>
        <v>0</v>
      </c>
      <c r="W142" s="2"/>
      <c r="X142" s="2">
        <f t="shared" si="14"/>
        <v>-4174340</v>
      </c>
      <c r="Y142" s="2"/>
      <c r="Z142" s="19">
        <f t="shared" si="15"/>
        <v>0</v>
      </c>
    </row>
    <row r="143" spans="1:26" s="24" customFormat="1" hidden="1" outlineLevel="1" x14ac:dyDescent="0.25">
      <c r="A143" s="44"/>
      <c r="B143" s="11" t="str">
        <f>CONCATENATE("          ", "5300", " - ", "COG$ OFFSET")</f>
        <v xml:space="preserve">          5300 - COG$ OFFSET</v>
      </c>
      <c r="C143" s="11"/>
      <c r="D143" s="2">
        <v>480847</v>
      </c>
      <c r="E143" s="2"/>
      <c r="F143" s="19">
        <f t="shared" si="8"/>
        <v>0.70959937143432805</v>
      </c>
      <c r="G143" s="2"/>
      <c r="H143" s="2"/>
      <c r="I143" s="2"/>
      <c r="J143" s="19">
        <f t="shared" si="9"/>
        <v>0</v>
      </c>
      <c r="K143" s="2"/>
      <c r="L143" s="2">
        <f t="shared" si="10"/>
        <v>480847</v>
      </c>
      <c r="M143" s="2"/>
      <c r="N143" s="19">
        <f t="shared" si="11"/>
        <v>0</v>
      </c>
      <c r="O143" s="11"/>
      <c r="P143" s="2">
        <v>3726737.47</v>
      </c>
      <c r="Q143" s="2"/>
      <c r="R143" s="19">
        <f t="shared" si="12"/>
        <v>0.44544916995809708</v>
      </c>
      <c r="S143" s="2"/>
      <c r="T143" s="2"/>
      <c r="U143" s="2"/>
      <c r="V143" s="19">
        <f t="shared" si="13"/>
        <v>0</v>
      </c>
      <c r="W143" s="2"/>
      <c r="X143" s="2">
        <f t="shared" si="14"/>
        <v>3726737.47</v>
      </c>
      <c r="Y143" s="2"/>
      <c r="Z143" s="19">
        <f t="shared" si="15"/>
        <v>0</v>
      </c>
    </row>
    <row r="144" spans="1:26" s="24" customFormat="1" hidden="1" outlineLevel="1" x14ac:dyDescent="0.25">
      <c r="A144" s="44"/>
      <c r="B144" s="11" t="str">
        <f>CONCATENATE("          ", "5500", " - ", "FREIGHT-IN")</f>
        <v xml:space="preserve">          5500 - FREIGHT-IN</v>
      </c>
      <c r="C144" s="11"/>
      <c r="D144" s="2">
        <v>33.950000000000003</v>
      </c>
      <c r="E144" s="2"/>
      <c r="F144" s="19">
        <f t="shared" si="8"/>
        <v>5.0100964881127347E-5</v>
      </c>
      <c r="G144" s="2"/>
      <c r="H144" s="2"/>
      <c r="I144" s="2"/>
      <c r="J144" s="19">
        <f t="shared" si="9"/>
        <v>0</v>
      </c>
      <c r="K144" s="2"/>
      <c r="L144" s="2">
        <f t="shared" si="10"/>
        <v>33.950000000000003</v>
      </c>
      <c r="M144" s="2"/>
      <c r="N144" s="19">
        <f t="shared" si="11"/>
        <v>0</v>
      </c>
      <c r="O144" s="11"/>
      <c r="P144" s="2">
        <v>156.47999999999999</v>
      </c>
      <c r="Q144" s="2"/>
      <c r="R144" s="19">
        <f t="shared" si="12"/>
        <v>1.8703728576578006E-5</v>
      </c>
      <c r="S144" s="2"/>
      <c r="T144" s="2"/>
      <c r="U144" s="2"/>
      <c r="V144" s="19">
        <f t="shared" si="13"/>
        <v>0</v>
      </c>
      <c r="W144" s="2"/>
      <c r="X144" s="2">
        <f t="shared" si="14"/>
        <v>156.47999999999999</v>
      </c>
      <c r="Y144" s="2"/>
      <c r="Z144" s="19">
        <f t="shared" si="15"/>
        <v>0</v>
      </c>
    </row>
    <row r="145" spans="1:26" s="24" customFormat="1" hidden="1" outlineLevel="1" x14ac:dyDescent="0.25">
      <c r="A145" s="44"/>
      <c r="B145" s="11" t="str">
        <f>CONCATENATE("          ", "5501", " - ", "FREIGHT-IN-NEW TEXT")</f>
        <v xml:space="preserve">          5501 - FREIGHT-IN-NEW TEXT</v>
      </c>
      <c r="C145" s="11"/>
      <c r="D145" s="2">
        <v>23947.37</v>
      </c>
      <c r="E145" s="2"/>
      <c r="F145" s="19">
        <f t="shared" si="8"/>
        <v>3.5339803928287554E-2</v>
      </c>
      <c r="G145" s="2"/>
      <c r="H145" s="2"/>
      <c r="I145" s="2"/>
      <c r="J145" s="19">
        <f t="shared" si="9"/>
        <v>0</v>
      </c>
      <c r="K145" s="2"/>
      <c r="L145" s="2">
        <f t="shared" si="10"/>
        <v>23947.37</v>
      </c>
      <c r="M145" s="2"/>
      <c r="N145" s="19">
        <f t="shared" si="11"/>
        <v>0</v>
      </c>
      <c r="O145" s="11"/>
      <c r="P145" s="2">
        <v>66024.739999999991</v>
      </c>
      <c r="Q145" s="2"/>
      <c r="R145" s="19">
        <f t="shared" si="12"/>
        <v>7.8917996951631698E-3</v>
      </c>
      <c r="S145" s="2"/>
      <c r="T145" s="2"/>
      <c r="U145" s="2"/>
      <c r="V145" s="19">
        <f t="shared" si="13"/>
        <v>0</v>
      </c>
      <c r="W145" s="2"/>
      <c r="X145" s="2">
        <f t="shared" si="14"/>
        <v>66024.739999999991</v>
      </c>
      <c r="Y145" s="2"/>
      <c r="Z145" s="19">
        <f t="shared" si="15"/>
        <v>0</v>
      </c>
    </row>
    <row r="146" spans="1:26" s="24" customFormat="1" hidden="1" outlineLevel="1" x14ac:dyDescent="0.25">
      <c r="A146" s="44"/>
      <c r="B146" s="11" t="str">
        <f>CONCATENATE("          ", "5502", " - ", "FREIGHT-IN-USED TEXT")</f>
        <v xml:space="preserve">          5502 - FREIGHT-IN-USED TEXT</v>
      </c>
      <c r="C146" s="11"/>
      <c r="D146" s="2">
        <v>2979.86</v>
      </c>
      <c r="E146" s="2"/>
      <c r="F146" s="19">
        <f t="shared" si="8"/>
        <v>4.3974627749830963E-3</v>
      </c>
      <c r="G146" s="2"/>
      <c r="H146" s="2"/>
      <c r="I146" s="2"/>
      <c r="J146" s="19">
        <f t="shared" si="9"/>
        <v>0</v>
      </c>
      <c r="K146" s="2"/>
      <c r="L146" s="2">
        <f t="shared" si="10"/>
        <v>2979.86</v>
      </c>
      <c r="M146" s="2"/>
      <c r="N146" s="19">
        <f t="shared" si="11"/>
        <v>0</v>
      </c>
      <c r="O146" s="11"/>
      <c r="P146" s="2">
        <v>14758.089999999998</v>
      </c>
      <c r="Q146" s="2"/>
      <c r="R146" s="19">
        <f t="shared" si="12"/>
        <v>1.7640037683327588E-3</v>
      </c>
      <c r="S146" s="2"/>
      <c r="T146" s="2"/>
      <c r="U146" s="2"/>
      <c r="V146" s="19">
        <f t="shared" si="13"/>
        <v>0</v>
      </c>
      <c r="W146" s="2"/>
      <c r="X146" s="2">
        <f t="shared" si="14"/>
        <v>14758.089999999998</v>
      </c>
      <c r="Y146" s="2"/>
      <c r="Z146" s="19">
        <f t="shared" si="15"/>
        <v>0</v>
      </c>
    </row>
    <row r="147" spans="1:26" s="24" customFormat="1" hidden="1" outlineLevel="1" x14ac:dyDescent="0.25">
      <c r="A147" s="44"/>
      <c r="B147" s="11" t="str">
        <f>CONCATENATE("          ", "5504", " - ", "FREIGHT-IN-DIGITAL TEXT")</f>
        <v xml:space="preserve">          5504 - FREIGHT-IN-DIGITAL TEXT</v>
      </c>
      <c r="C147" s="11"/>
      <c r="D147" s="2"/>
      <c r="E147" s="2"/>
      <c r="F147" s="19">
        <f t="shared" si="8"/>
        <v>0</v>
      </c>
      <c r="G147" s="2"/>
      <c r="H147" s="2"/>
      <c r="I147" s="2"/>
      <c r="J147" s="19">
        <f t="shared" si="9"/>
        <v>0</v>
      </c>
      <c r="K147" s="2"/>
      <c r="L147" s="2">
        <f t="shared" si="10"/>
        <v>0</v>
      </c>
      <c r="M147" s="2"/>
      <c r="N147" s="19">
        <f t="shared" si="11"/>
        <v>0</v>
      </c>
      <c r="O147" s="11"/>
      <c r="P147" s="2">
        <v>105.97</v>
      </c>
      <c r="Q147" s="2"/>
      <c r="R147" s="19">
        <f t="shared" si="12"/>
        <v>1.2666373448747262E-5</v>
      </c>
      <c r="S147" s="2"/>
      <c r="T147" s="2"/>
      <c r="U147" s="2"/>
      <c r="V147" s="19">
        <f t="shared" si="13"/>
        <v>0</v>
      </c>
      <c r="W147" s="2"/>
      <c r="X147" s="2">
        <f t="shared" si="14"/>
        <v>105.97</v>
      </c>
      <c r="Y147" s="2"/>
      <c r="Z147" s="19">
        <f t="shared" si="15"/>
        <v>0</v>
      </c>
    </row>
    <row r="148" spans="1:26" s="24" customFormat="1" hidden="1" outlineLevel="1" x14ac:dyDescent="0.25">
      <c r="A148" s="44"/>
      <c r="B148" s="11" t="str">
        <f>CONCATENATE("          ", "5513", " - ", "FREIGHT-IN-TRADE BOOKS")</f>
        <v xml:space="preserve">          5513 - FREIGHT-IN-TRADE BOOKS</v>
      </c>
      <c r="C148" s="11"/>
      <c r="D148" s="2"/>
      <c r="E148" s="2"/>
      <c r="F148" s="19">
        <f t="shared" si="8"/>
        <v>0</v>
      </c>
      <c r="G148" s="2"/>
      <c r="H148" s="2"/>
      <c r="I148" s="2"/>
      <c r="J148" s="19">
        <f t="shared" si="9"/>
        <v>0</v>
      </c>
      <c r="K148" s="2"/>
      <c r="L148" s="2">
        <f t="shared" si="10"/>
        <v>0</v>
      </c>
      <c r="M148" s="2"/>
      <c r="N148" s="19">
        <f t="shared" si="11"/>
        <v>0</v>
      </c>
      <c r="O148" s="11"/>
      <c r="P148" s="2">
        <v>21.41</v>
      </c>
      <c r="Q148" s="2"/>
      <c r="R148" s="19">
        <f t="shared" si="12"/>
        <v>2.559092719993195E-6</v>
      </c>
      <c r="S148" s="2"/>
      <c r="T148" s="2"/>
      <c r="U148" s="2"/>
      <c r="V148" s="19">
        <f t="shared" si="13"/>
        <v>0</v>
      </c>
      <c r="W148" s="2"/>
      <c r="X148" s="2">
        <f t="shared" si="14"/>
        <v>21.41</v>
      </c>
      <c r="Y148" s="2"/>
      <c r="Z148" s="19">
        <f t="shared" si="15"/>
        <v>0</v>
      </c>
    </row>
    <row r="149" spans="1:26" s="24" customFormat="1" hidden="1" outlineLevel="1" x14ac:dyDescent="0.25">
      <c r="A149" s="44"/>
      <c r="B149" s="11" t="str">
        <f>CONCATENATE("          ", "5518", " - ", "FREIGHT-IN-STUDY GUIDES")</f>
        <v xml:space="preserve">          5518 - FREIGHT-IN-STUDY GUIDES</v>
      </c>
      <c r="C149" s="11"/>
      <c r="D149" s="2"/>
      <c r="E149" s="2"/>
      <c r="F149" s="19">
        <f t="shared" si="8"/>
        <v>0</v>
      </c>
      <c r="G149" s="2"/>
      <c r="H149" s="2"/>
      <c r="I149" s="2"/>
      <c r="J149" s="19">
        <f t="shared" si="9"/>
        <v>0</v>
      </c>
      <c r="K149" s="2"/>
      <c r="L149" s="2">
        <f t="shared" si="10"/>
        <v>0</v>
      </c>
      <c r="M149" s="2"/>
      <c r="N149" s="19">
        <f t="shared" si="11"/>
        <v>0</v>
      </c>
      <c r="O149" s="11"/>
      <c r="P149" s="2">
        <v>21.13</v>
      </c>
      <c r="Q149" s="2"/>
      <c r="R149" s="19">
        <f t="shared" si="12"/>
        <v>2.5256249030105653E-6</v>
      </c>
      <c r="S149" s="2"/>
      <c r="T149" s="2"/>
      <c r="U149" s="2"/>
      <c r="V149" s="19">
        <f t="shared" si="13"/>
        <v>0</v>
      </c>
      <c r="W149" s="2"/>
      <c r="X149" s="2">
        <f t="shared" si="14"/>
        <v>21.13</v>
      </c>
      <c r="Y149" s="2"/>
      <c r="Z149" s="19">
        <f t="shared" si="15"/>
        <v>0</v>
      </c>
    </row>
    <row r="150" spans="1:26" s="24" customFormat="1" hidden="1" outlineLevel="1" x14ac:dyDescent="0.25">
      <c r="A150" s="44"/>
      <c r="B150" s="11" t="str">
        <f>CONCATENATE("          ", "5525", " - ", "FREIGHT-IN-TEST FORMS")</f>
        <v xml:space="preserve">          5525 - FREIGHT-IN-TEST FORMS</v>
      </c>
      <c r="C150" s="11"/>
      <c r="D150" s="2">
        <v>532.61</v>
      </c>
      <c r="E150" s="2"/>
      <c r="F150" s="19">
        <f t="shared" si="8"/>
        <v>7.8598747880227488E-4</v>
      </c>
      <c r="G150" s="2"/>
      <c r="H150" s="2"/>
      <c r="I150" s="2"/>
      <c r="J150" s="19">
        <f t="shared" si="9"/>
        <v>0</v>
      </c>
      <c r="K150" s="2"/>
      <c r="L150" s="2">
        <f t="shared" si="10"/>
        <v>532.61</v>
      </c>
      <c r="M150" s="2"/>
      <c r="N150" s="19">
        <f t="shared" si="11"/>
        <v>0</v>
      </c>
      <c r="O150" s="11"/>
      <c r="P150" s="2">
        <v>1155.02</v>
      </c>
      <c r="Q150" s="2"/>
      <c r="R150" s="19">
        <f t="shared" si="12"/>
        <v>1.3805713561170201E-4</v>
      </c>
      <c r="S150" s="2"/>
      <c r="T150" s="2"/>
      <c r="U150" s="2"/>
      <c r="V150" s="19">
        <f t="shared" si="13"/>
        <v>0</v>
      </c>
      <c r="W150" s="2"/>
      <c r="X150" s="2">
        <f t="shared" si="14"/>
        <v>1155.02</v>
      </c>
      <c r="Y150" s="2"/>
      <c r="Z150" s="19">
        <f t="shared" si="15"/>
        <v>0</v>
      </c>
    </row>
    <row r="151" spans="1:26" s="24" customFormat="1" hidden="1" outlineLevel="1" x14ac:dyDescent="0.25">
      <c r="A151" s="44"/>
      <c r="B151" s="11" t="str">
        <f>CONCATENATE("          ", "5526", " - ", "FREIGHT-IN-WRITING INSTRUMENTS")</f>
        <v xml:space="preserve">          5526 - FREIGHT-IN-WRITING INSTRUMENTS</v>
      </c>
      <c r="C151" s="11"/>
      <c r="D151" s="2"/>
      <c r="E151" s="2"/>
      <c r="F151" s="19">
        <f t="shared" si="8"/>
        <v>0</v>
      </c>
      <c r="G151" s="2"/>
      <c r="H151" s="2"/>
      <c r="I151" s="2"/>
      <c r="J151" s="19">
        <f t="shared" si="9"/>
        <v>0</v>
      </c>
      <c r="K151" s="2"/>
      <c r="L151" s="2">
        <f t="shared" si="10"/>
        <v>0</v>
      </c>
      <c r="M151" s="2"/>
      <c r="N151" s="19">
        <f t="shared" si="11"/>
        <v>0</v>
      </c>
      <c r="O151" s="11"/>
      <c r="P151" s="2">
        <v>260.35000000000002</v>
      </c>
      <c r="Q151" s="2"/>
      <c r="R151" s="19">
        <f t="shared" si="12"/>
        <v>3.1119093397955553E-5</v>
      </c>
      <c r="S151" s="2"/>
      <c r="T151" s="2"/>
      <c r="U151" s="2"/>
      <c r="V151" s="19">
        <f t="shared" si="13"/>
        <v>0</v>
      </c>
      <c r="W151" s="2"/>
      <c r="X151" s="2">
        <f t="shared" si="14"/>
        <v>260.35000000000002</v>
      </c>
      <c r="Y151" s="2"/>
      <c r="Z151" s="19">
        <f t="shared" si="15"/>
        <v>0</v>
      </c>
    </row>
    <row r="152" spans="1:26" s="24" customFormat="1" hidden="1" outlineLevel="1" x14ac:dyDescent="0.25">
      <c r="A152" s="44"/>
      <c r="B152" s="11" t="str">
        <f>CONCATENATE("          ", "5527", " - ", "FREIGHT-IN-SCHOOL SUPPLIES")</f>
        <v xml:space="preserve">          5527 - FREIGHT-IN-SCHOOL SUPPLIES</v>
      </c>
      <c r="C152" s="11"/>
      <c r="D152" s="2">
        <v>431.76</v>
      </c>
      <c r="E152" s="2"/>
      <c r="F152" s="19">
        <f t="shared" si="8"/>
        <v>6.3716031213771835E-4</v>
      </c>
      <c r="G152" s="2"/>
      <c r="H152" s="2"/>
      <c r="I152" s="2"/>
      <c r="J152" s="19">
        <f t="shared" si="9"/>
        <v>0</v>
      </c>
      <c r="K152" s="2"/>
      <c r="L152" s="2">
        <f t="shared" si="10"/>
        <v>431.76</v>
      </c>
      <c r="M152" s="2"/>
      <c r="N152" s="19">
        <f t="shared" si="11"/>
        <v>0</v>
      </c>
      <c r="O152" s="11"/>
      <c r="P152" s="2">
        <v>1651.6</v>
      </c>
      <c r="Q152" s="2"/>
      <c r="R152" s="19">
        <f t="shared" si="12"/>
        <v>1.9741230903039516E-4</v>
      </c>
      <c r="S152" s="2"/>
      <c r="T152" s="2"/>
      <c r="U152" s="2"/>
      <c r="V152" s="19">
        <f t="shared" si="13"/>
        <v>0</v>
      </c>
      <c r="W152" s="2"/>
      <c r="X152" s="2">
        <f t="shared" si="14"/>
        <v>1651.6</v>
      </c>
      <c r="Y152" s="2"/>
      <c r="Z152" s="19">
        <f t="shared" si="15"/>
        <v>0</v>
      </c>
    </row>
    <row r="153" spans="1:26" s="24" customFormat="1" hidden="1" outlineLevel="1" x14ac:dyDescent="0.25">
      <c r="A153" s="44"/>
      <c r="B153" s="11" t="str">
        <f>CONCATENATE("          ", "5528", " - ", "FREIGHT-IN-ART/TECH")</f>
        <v xml:space="preserve">          5528 - FREIGHT-IN-ART/TECH</v>
      </c>
      <c r="C153" s="11"/>
      <c r="D153" s="2">
        <v>164.79</v>
      </c>
      <c r="E153" s="2"/>
      <c r="F153" s="19">
        <f t="shared" si="8"/>
        <v>2.4318521363066197E-4</v>
      </c>
      <c r="G153" s="2"/>
      <c r="H153" s="2"/>
      <c r="I153" s="2"/>
      <c r="J153" s="19">
        <f t="shared" si="9"/>
        <v>0</v>
      </c>
      <c r="K153" s="2"/>
      <c r="L153" s="2">
        <f t="shared" si="10"/>
        <v>164.79</v>
      </c>
      <c r="M153" s="2"/>
      <c r="N153" s="19">
        <f t="shared" si="11"/>
        <v>0</v>
      </c>
      <c r="O153" s="11"/>
      <c r="P153" s="2">
        <v>1496.25</v>
      </c>
      <c r="Q153" s="2"/>
      <c r="R153" s="19">
        <f t="shared" si="12"/>
        <v>1.7884364700092564E-4</v>
      </c>
      <c r="S153" s="2"/>
      <c r="T153" s="2"/>
      <c r="U153" s="2"/>
      <c r="V153" s="19">
        <f t="shared" si="13"/>
        <v>0</v>
      </c>
      <c r="W153" s="2"/>
      <c r="X153" s="2">
        <f t="shared" si="14"/>
        <v>1496.25</v>
      </c>
      <c r="Y153" s="2"/>
      <c r="Z153" s="19">
        <f t="shared" si="15"/>
        <v>0</v>
      </c>
    </row>
    <row r="154" spans="1:26" s="24" customFormat="1" hidden="1" outlineLevel="1" x14ac:dyDescent="0.25">
      <c r="A154" s="44"/>
      <c r="B154" s="11" t="str">
        <f>CONCATENATE("          ", "5540", " - ", "FREIGHT-IN-LOGO CLOTHING")</f>
        <v xml:space="preserve">          5540 - FREIGHT-IN-LOGO CLOTHING</v>
      </c>
      <c r="C154" s="11"/>
      <c r="D154" s="2">
        <v>2803.41</v>
      </c>
      <c r="E154" s="2"/>
      <c r="F154" s="19">
        <f t="shared" si="8"/>
        <v>4.1370705731193277E-3</v>
      </c>
      <c r="G154" s="2"/>
      <c r="H154" s="2"/>
      <c r="I154" s="2"/>
      <c r="J154" s="19">
        <f t="shared" si="9"/>
        <v>0</v>
      </c>
      <c r="K154" s="2"/>
      <c r="L154" s="2">
        <f t="shared" si="10"/>
        <v>2803.41</v>
      </c>
      <c r="M154" s="2"/>
      <c r="N154" s="19">
        <f t="shared" si="11"/>
        <v>0</v>
      </c>
      <c r="O154" s="11"/>
      <c r="P154" s="2">
        <v>28481.3</v>
      </c>
      <c r="Q154" s="2"/>
      <c r="R154" s="19">
        <f t="shared" si="12"/>
        <v>3.4043104850977196E-3</v>
      </c>
      <c r="S154" s="2"/>
      <c r="T154" s="2"/>
      <c r="U154" s="2"/>
      <c r="V154" s="19">
        <f t="shared" si="13"/>
        <v>0</v>
      </c>
      <c r="W154" s="2"/>
      <c r="X154" s="2">
        <f t="shared" si="14"/>
        <v>28481.3</v>
      </c>
      <c r="Y154" s="2"/>
      <c r="Z154" s="19">
        <f t="shared" si="15"/>
        <v>0</v>
      </c>
    </row>
    <row r="155" spans="1:26" s="24" customFormat="1" hidden="1" outlineLevel="1" x14ac:dyDescent="0.25">
      <c r="A155" s="44"/>
      <c r="B155" s="11" t="str">
        <f>CONCATENATE("          ", "5541", " - ", "FREIGHT-IN-LOGO GIFTS")</f>
        <v xml:space="preserve">          5541 - FREIGHT-IN-LOGO GIFTS</v>
      </c>
      <c r="C155" s="11"/>
      <c r="D155" s="2">
        <v>486.35</v>
      </c>
      <c r="E155" s="2"/>
      <c r="F155" s="19">
        <f t="shared" si="8"/>
        <v>7.1772030250180511E-4</v>
      </c>
      <c r="G155" s="2"/>
      <c r="H155" s="2"/>
      <c r="I155" s="2"/>
      <c r="J155" s="19">
        <f t="shared" si="9"/>
        <v>0</v>
      </c>
      <c r="K155" s="2"/>
      <c r="L155" s="2">
        <f t="shared" si="10"/>
        <v>486.35</v>
      </c>
      <c r="M155" s="2"/>
      <c r="N155" s="19">
        <f t="shared" si="11"/>
        <v>0</v>
      </c>
      <c r="O155" s="11"/>
      <c r="P155" s="2">
        <v>4073.92</v>
      </c>
      <c r="Q155" s="2"/>
      <c r="R155" s="19">
        <f t="shared" si="12"/>
        <v>4.8694717486383359E-4</v>
      </c>
      <c r="S155" s="2"/>
      <c r="T155" s="2"/>
      <c r="U155" s="2"/>
      <c r="V155" s="19">
        <f t="shared" si="13"/>
        <v>0</v>
      </c>
      <c r="W155" s="2"/>
      <c r="X155" s="2">
        <f t="shared" si="14"/>
        <v>4073.92</v>
      </c>
      <c r="Y155" s="2"/>
      <c r="Z155" s="19">
        <f t="shared" si="15"/>
        <v>0</v>
      </c>
    </row>
    <row r="156" spans="1:26" s="24" customFormat="1" hidden="1" outlineLevel="1" x14ac:dyDescent="0.25">
      <c r="A156" s="44"/>
      <c r="B156" s="11" t="str">
        <f>CONCATENATE("          ", "5542", " - ", "FREIGHT-IN-EVERYDAY GIFTS")</f>
        <v xml:space="preserve">          5542 - FREIGHT-IN-EVERYDAY GIFTS</v>
      </c>
      <c r="C156" s="11"/>
      <c r="D156" s="2">
        <v>43.37</v>
      </c>
      <c r="E156" s="2"/>
      <c r="F156" s="19">
        <f t="shared" si="8"/>
        <v>6.4002322441663987E-5</v>
      </c>
      <c r="G156" s="2"/>
      <c r="H156" s="2"/>
      <c r="I156" s="2"/>
      <c r="J156" s="19">
        <f t="shared" si="9"/>
        <v>0</v>
      </c>
      <c r="K156" s="2"/>
      <c r="L156" s="2">
        <f t="shared" si="10"/>
        <v>43.37</v>
      </c>
      <c r="M156" s="2"/>
      <c r="N156" s="19">
        <f t="shared" si="11"/>
        <v>0</v>
      </c>
      <c r="O156" s="11"/>
      <c r="P156" s="2">
        <v>1751.7</v>
      </c>
      <c r="Q156" s="2"/>
      <c r="R156" s="19">
        <f t="shared" si="12"/>
        <v>2.0937705360168517E-4</v>
      </c>
      <c r="S156" s="2"/>
      <c r="T156" s="2"/>
      <c r="U156" s="2"/>
      <c r="V156" s="19">
        <f t="shared" si="13"/>
        <v>0</v>
      </c>
      <c r="W156" s="2"/>
      <c r="X156" s="2">
        <f t="shared" si="14"/>
        <v>1751.7</v>
      </c>
      <c r="Y156" s="2"/>
      <c r="Z156" s="19">
        <f t="shared" si="15"/>
        <v>0</v>
      </c>
    </row>
    <row r="157" spans="1:26" s="24" customFormat="1" hidden="1" outlineLevel="1" x14ac:dyDescent="0.25">
      <c r="A157" s="44"/>
      <c r="B157" s="11" t="str">
        <f>CONCATENATE("          ", "5543", " - ", "FREIGHT-IN-CARDS")</f>
        <v xml:space="preserve">          5543 - FREIGHT-IN-CARDS</v>
      </c>
      <c r="C157" s="11"/>
      <c r="D157" s="2">
        <v>2779.77</v>
      </c>
      <c r="E157" s="2"/>
      <c r="F157" s="19">
        <f t="shared" si="8"/>
        <v>4.1021843636998923E-3</v>
      </c>
      <c r="G157" s="2"/>
      <c r="H157" s="2"/>
      <c r="I157" s="2"/>
      <c r="J157" s="19">
        <f t="shared" si="9"/>
        <v>0</v>
      </c>
      <c r="K157" s="2"/>
      <c r="L157" s="2">
        <f t="shared" si="10"/>
        <v>2779.77</v>
      </c>
      <c r="M157" s="2"/>
      <c r="N157" s="19">
        <f t="shared" si="11"/>
        <v>0</v>
      </c>
      <c r="O157" s="11"/>
      <c r="P157" s="2">
        <v>2901.12</v>
      </c>
      <c r="Q157" s="2"/>
      <c r="R157" s="19">
        <f t="shared" si="12"/>
        <v>3.4676483287373455E-4</v>
      </c>
      <c r="S157" s="2"/>
      <c r="T157" s="2"/>
      <c r="U157" s="2"/>
      <c r="V157" s="19">
        <f t="shared" si="13"/>
        <v>0</v>
      </c>
      <c r="W157" s="2"/>
      <c r="X157" s="2">
        <f t="shared" si="14"/>
        <v>2901.12</v>
      </c>
      <c r="Y157" s="2"/>
      <c r="Z157" s="19">
        <f t="shared" si="15"/>
        <v>0</v>
      </c>
    </row>
    <row r="158" spans="1:26" s="24" customFormat="1" hidden="1" outlineLevel="1" x14ac:dyDescent="0.25">
      <c r="A158" s="44"/>
      <c r="B158" s="11" t="str">
        <f>CONCATENATE("          ", "5544", " - ", "FREIGHT-IN-ACCESSORIES")</f>
        <v xml:space="preserve">          5544 - FREIGHT-IN-ACCESSORIES</v>
      </c>
      <c r="C158" s="11"/>
      <c r="D158" s="2">
        <v>41.13</v>
      </c>
      <c r="E158" s="2"/>
      <c r="F158" s="19">
        <f t="shared" si="8"/>
        <v>6.0696691769094776E-5</v>
      </c>
      <c r="G158" s="2"/>
      <c r="H158" s="2"/>
      <c r="I158" s="2"/>
      <c r="J158" s="19">
        <f t="shared" si="9"/>
        <v>0</v>
      </c>
      <c r="K158" s="2"/>
      <c r="L158" s="2">
        <f t="shared" si="10"/>
        <v>41.13</v>
      </c>
      <c r="M158" s="2"/>
      <c r="N158" s="19">
        <f t="shared" si="11"/>
        <v>0</v>
      </c>
      <c r="O158" s="11"/>
      <c r="P158" s="2">
        <v>483.44</v>
      </c>
      <c r="Q158" s="2"/>
      <c r="R158" s="19">
        <f t="shared" si="12"/>
        <v>5.7784576578865491E-5</v>
      </c>
      <c r="S158" s="2"/>
      <c r="T158" s="2"/>
      <c r="U158" s="2"/>
      <c r="V158" s="19">
        <f t="shared" si="13"/>
        <v>0</v>
      </c>
      <c r="W158" s="2"/>
      <c r="X158" s="2">
        <f t="shared" si="14"/>
        <v>483.44</v>
      </c>
      <c r="Y158" s="2"/>
      <c r="Z158" s="19">
        <f t="shared" si="15"/>
        <v>0</v>
      </c>
    </row>
    <row r="159" spans="1:26" s="24" customFormat="1" hidden="1" outlineLevel="1" x14ac:dyDescent="0.25">
      <c r="A159" s="44"/>
      <c r="B159" s="11" t="str">
        <f>CONCATENATE("          ", "5545", " - ", "FREIGHT-IN-SPECIAL ORDERS")</f>
        <v xml:space="preserve">          5545 - FREIGHT-IN-SPECIAL ORDERS</v>
      </c>
      <c r="C159" s="11"/>
      <c r="D159" s="2">
        <v>4.49</v>
      </c>
      <c r="E159" s="2"/>
      <c r="F159" s="19">
        <f t="shared" si="8"/>
        <v>6.6260186249267086E-6</v>
      </c>
      <c r="G159" s="2"/>
      <c r="H159" s="2"/>
      <c r="I159" s="2"/>
      <c r="J159" s="19">
        <f t="shared" si="9"/>
        <v>0</v>
      </c>
      <c r="K159" s="2"/>
      <c r="L159" s="2">
        <f t="shared" si="10"/>
        <v>4.49</v>
      </c>
      <c r="M159" s="2"/>
      <c r="N159" s="19">
        <f t="shared" si="11"/>
        <v>0</v>
      </c>
      <c r="O159" s="11"/>
      <c r="P159" s="2">
        <v>846.39</v>
      </c>
      <c r="Q159" s="2"/>
      <c r="R159" s="19">
        <f t="shared" si="12"/>
        <v>1.011672343425988E-4</v>
      </c>
      <c r="S159" s="2"/>
      <c r="T159" s="2"/>
      <c r="U159" s="2"/>
      <c r="V159" s="19">
        <f t="shared" si="13"/>
        <v>0</v>
      </c>
      <c r="W159" s="2"/>
      <c r="X159" s="2">
        <f t="shared" si="14"/>
        <v>846.39</v>
      </c>
      <c r="Y159" s="2"/>
      <c r="Z159" s="19">
        <f t="shared" si="15"/>
        <v>0</v>
      </c>
    </row>
    <row r="160" spans="1:26" s="24" customFormat="1" hidden="1" outlineLevel="1" x14ac:dyDescent="0.25">
      <c r="A160" s="44"/>
      <c r="B160" s="11" t="str">
        <f>CONCATENATE("          ", "5592", " - ", "FREIGHT-IN-GRAD MERCH")</f>
        <v xml:space="preserve">          5592 - FREIGHT-IN-GRAD MERCH</v>
      </c>
      <c r="C160" s="11"/>
      <c r="D160" s="2"/>
      <c r="E160" s="2"/>
      <c r="F160" s="19">
        <f t="shared" si="8"/>
        <v>0</v>
      </c>
      <c r="G160" s="2"/>
      <c r="H160" s="2"/>
      <c r="I160" s="2"/>
      <c r="J160" s="19">
        <f t="shared" si="9"/>
        <v>0</v>
      </c>
      <c r="K160" s="2"/>
      <c r="L160" s="2">
        <f t="shared" si="10"/>
        <v>0</v>
      </c>
      <c r="M160" s="2"/>
      <c r="N160" s="19">
        <f t="shared" si="11"/>
        <v>0</v>
      </c>
      <c r="O160" s="11"/>
      <c r="P160" s="2">
        <v>105.78</v>
      </c>
      <c r="Q160" s="2"/>
      <c r="R160" s="19">
        <f t="shared" si="12"/>
        <v>1.2643663144366191E-5</v>
      </c>
      <c r="S160" s="2"/>
      <c r="T160" s="2"/>
      <c r="U160" s="2"/>
      <c r="V160" s="19">
        <f t="shared" si="13"/>
        <v>0</v>
      </c>
      <c r="W160" s="2"/>
      <c r="X160" s="2">
        <f t="shared" si="14"/>
        <v>105.78</v>
      </c>
      <c r="Y160" s="2"/>
      <c r="Z160" s="19">
        <f t="shared" si="15"/>
        <v>0</v>
      </c>
    </row>
    <row r="161" spans="1:26" x14ac:dyDescent="0.25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x14ac:dyDescent="0.25">
      <c r="A162" s="10"/>
      <c r="B162" s="28" t="s">
        <v>6</v>
      </c>
      <c r="C162" s="28"/>
      <c r="D162" s="21">
        <f>D12-D109</f>
        <v>175344.96999999962</v>
      </c>
      <c r="E162" s="14"/>
      <c r="F162" s="22">
        <f>IF(D$12=0,0,D162/D$12)</f>
        <v>0.25876147817532569</v>
      </c>
      <c r="G162" s="14"/>
      <c r="H162" s="21">
        <f>H12-H109</f>
        <v>380994.16213000001</v>
      </c>
      <c r="I162" s="14"/>
      <c r="J162" s="22">
        <f>IF(H$12=0,0,H162/H$12)</f>
        <v>0.52439838107342729</v>
      </c>
      <c r="K162" s="15"/>
      <c r="L162" s="21">
        <f>+D162-H162</f>
        <v>-205649.19213000039</v>
      </c>
      <c r="M162" s="15"/>
      <c r="N162" s="22">
        <f>IF(H162=0,0,L162/H162)</f>
        <v>-0.5397699297550661</v>
      </c>
      <c r="O162" s="29"/>
      <c r="P162" s="21">
        <f>P12-P109</f>
        <v>3454010.2200000007</v>
      </c>
      <c r="Q162" s="14"/>
      <c r="R162" s="22">
        <f>IF(P$12=0,0,P162/P$12)</f>
        <v>0.4128506496396121</v>
      </c>
      <c r="S162" s="14"/>
      <c r="T162" s="21">
        <f>T12-T109</f>
        <v>3713750.1529100006</v>
      </c>
      <c r="U162" s="14"/>
      <c r="V162" s="22">
        <f>IF(T$12=0,0,T162/T$12)</f>
        <v>0.4129375465731685</v>
      </c>
      <c r="W162" s="15"/>
      <c r="X162" s="21">
        <f>+P162-T162</f>
        <v>-259739.93290999997</v>
      </c>
      <c r="Y162" s="15"/>
      <c r="Z162" s="22">
        <f>IF(T162=0,0,X162/T162)</f>
        <v>-6.9940066567610731E-2</v>
      </c>
    </row>
    <row r="163" spans="1:26" x14ac:dyDescent="0.25">
      <c r="A163" s="9"/>
      <c r="B163" s="10"/>
      <c r="C163" s="9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6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3" customFormat="1" x14ac:dyDescent="0.25">
      <c r="A164" s="10"/>
      <c r="B164" s="29" t="s">
        <v>9</v>
      </c>
      <c r="C164" s="10"/>
      <c r="D164" s="20">
        <f>SUM(OSRRefD22x_0)</f>
        <v>370962.18999999989</v>
      </c>
      <c r="E164" s="20"/>
      <c r="F164" s="34">
        <f t="shared" ref="F164:F175" si="16">IF(D$12=0,0,D164/D$12)</f>
        <v>0.54743928286939858</v>
      </c>
      <c r="G164" s="20"/>
      <c r="H164" s="20">
        <f>SUM(OSRRefH22x_0)</f>
        <v>387465.48644793802</v>
      </c>
      <c r="I164" s="20"/>
      <c r="J164" s="34">
        <f t="shared" ref="J164:J175" si="17">IF(H$12=0,0,H164/H$12)</f>
        <v>0.53330547817107232</v>
      </c>
      <c r="K164" s="4"/>
      <c r="L164" s="20">
        <f t="shared" ref="L164:L175" si="18">+D164-H164</f>
        <v>-16503.296447938133</v>
      </c>
      <c r="M164" s="4"/>
      <c r="N164" s="34">
        <f t="shared" ref="N164:N175" si="19">IF(H164=0,0,L164/H164)</f>
        <v>-4.2592945759455679E-2</v>
      </c>
      <c r="O164" s="10"/>
      <c r="P164" s="20">
        <f>SUM(OSRRefP22x_0)</f>
        <v>3081043.59</v>
      </c>
      <c r="Q164" s="20"/>
      <c r="R164" s="34">
        <f t="shared" ref="R164:R175" si="20">IF(P$12=0,0,P164/P$12)</f>
        <v>0.3682707249486547</v>
      </c>
      <c r="S164" s="20"/>
      <c r="T164" s="20">
        <f>SUM(OSRRefT22x_0)</f>
        <v>3290238.2453144011</v>
      </c>
      <c r="U164" s="20"/>
      <c r="V164" s="34">
        <f t="shared" ref="V164:V175" si="21">IF(T$12=0,0,T164/T$12)</f>
        <v>0.36584661130117269</v>
      </c>
      <c r="W164" s="4"/>
      <c r="X164" s="20">
        <f t="shared" ref="X164:X175" si="22">+P164-T164</f>
        <v>-209194.65531440126</v>
      </c>
      <c r="Y164" s="4"/>
      <c r="Z164" s="34">
        <f t="shared" ref="Z164:Z175" si="23">IF(T164=0,0,X164/T164)</f>
        <v>-6.358039744152677E-2</v>
      </c>
    </row>
    <row r="165" spans="1:26" s="27" customFormat="1" outlineLevel="1" collapsed="1" x14ac:dyDescent="0.25">
      <c r="A165" s="26"/>
      <c r="B165" s="13" t="str">
        <f>CONCATENATE("     ","*Benefits                                         ")</f>
        <v xml:space="preserve">     *Benefits                                         </v>
      </c>
      <c r="C165" s="13"/>
      <c r="D165" s="1">
        <f>SUM(OSRRefD22_0x_0)</f>
        <v>43768.57</v>
      </c>
      <c r="E165" s="1"/>
      <c r="F165" s="5">
        <f t="shared" si="16"/>
        <v>6.4590503342184497E-2</v>
      </c>
      <c r="G165" s="1"/>
      <c r="H165" s="1">
        <f>SUM(OSRRefH22_0x_0)</f>
        <v>45974.625718636104</v>
      </c>
      <c r="I165" s="1"/>
      <c r="J165" s="5">
        <f t="shared" si="17"/>
        <v>6.3279235467873729E-2</v>
      </c>
      <c r="K165" s="1"/>
      <c r="L165" s="1">
        <f t="shared" si="18"/>
        <v>-2206.0557186361038</v>
      </c>
      <c r="M165" s="1"/>
      <c r="N165" s="5">
        <f t="shared" si="19"/>
        <v>-4.7984201810301316E-2</v>
      </c>
      <c r="O165" s="13"/>
      <c r="P165" s="1">
        <f>SUM(OSRRefP22_0x_0)</f>
        <v>393659.25999999995</v>
      </c>
      <c r="Q165" s="1"/>
      <c r="R165" s="5">
        <f t="shared" si="20"/>
        <v>4.7053271668561804E-2</v>
      </c>
      <c r="S165" s="1"/>
      <c r="T165" s="1">
        <f>SUM(OSRRefT22_0x_0)</f>
        <v>394038.50777781481</v>
      </c>
      <c r="U165" s="1"/>
      <c r="V165" s="5">
        <f t="shared" si="21"/>
        <v>4.3813742970734093E-2</v>
      </c>
      <c r="W165" s="1"/>
      <c r="X165" s="1">
        <f t="shared" si="22"/>
        <v>-379.24777781486046</v>
      </c>
      <c r="Y165" s="1"/>
      <c r="Z165" s="5">
        <f t="shared" si="23"/>
        <v>-9.6246374485994563E-4</v>
      </c>
    </row>
    <row r="166" spans="1:26" s="24" customFormat="1" hidden="1" outlineLevel="2" x14ac:dyDescent="0.25">
      <c r="A166" s="25"/>
      <c r="B166" s="11" t="str">
        <f>CONCATENATE("          ", "6111", " - ", "F.I.C.A.")</f>
        <v xml:space="preserve">          6111 - F.I.C.A.</v>
      </c>
      <c r="C166" s="11"/>
      <c r="D166" s="6">
        <v>7388.63</v>
      </c>
      <c r="E166" s="2"/>
      <c r="F166" s="7">
        <f t="shared" si="16"/>
        <v>1.0903608016189805E-2</v>
      </c>
      <c r="G166" s="2"/>
      <c r="H166" s="6">
        <v>7625.5337285623909</v>
      </c>
      <c r="I166" s="2"/>
      <c r="J166" s="7">
        <f t="shared" si="17"/>
        <v>1.0495744920927389E-2</v>
      </c>
      <c r="K166" s="2"/>
      <c r="L166" s="6">
        <f t="shared" si="18"/>
        <v>-236.90372856239082</v>
      </c>
      <c r="M166" s="2"/>
      <c r="N166" s="7">
        <f t="shared" si="19"/>
        <v>-3.1067166836471823E-2</v>
      </c>
      <c r="O166" s="11"/>
      <c r="P166" s="6">
        <v>74998.98</v>
      </c>
      <c r="Q166" s="2"/>
      <c r="R166" s="7">
        <f t="shared" si="20"/>
        <v>8.9644719161567129E-3</v>
      </c>
      <c r="S166" s="2"/>
      <c r="T166" s="6">
        <v>74103.924476832079</v>
      </c>
      <c r="U166" s="2"/>
      <c r="V166" s="7">
        <f t="shared" si="21"/>
        <v>8.2397284429402955E-3</v>
      </c>
      <c r="W166" s="2"/>
      <c r="X166" s="6">
        <f t="shared" si="22"/>
        <v>895.05552316791727</v>
      </c>
      <c r="Y166" s="2"/>
      <c r="Z166" s="7">
        <f t="shared" si="23"/>
        <v>1.2078382211022417E-2</v>
      </c>
    </row>
    <row r="167" spans="1:26" s="24" customFormat="1" hidden="1" outlineLevel="2" x14ac:dyDescent="0.25">
      <c r="A167" s="25"/>
      <c r="B167" s="11" t="str">
        <f>CONCATENATE("          ", "6112", " - ", "COMPENSATION INSURANCE")</f>
        <v xml:space="preserve">          6112 - COMPENSATION INSURANCE</v>
      </c>
      <c r="C167" s="11"/>
      <c r="D167" s="6">
        <v>2864.77</v>
      </c>
      <c r="E167" s="2"/>
      <c r="F167" s="7">
        <f t="shared" si="16"/>
        <v>4.2276212419000642E-3</v>
      </c>
      <c r="G167" s="2"/>
      <c r="H167" s="6">
        <v>3300.3522369923076</v>
      </c>
      <c r="I167" s="2"/>
      <c r="J167" s="7">
        <f t="shared" si="17"/>
        <v>4.5425876353987127E-3</v>
      </c>
      <c r="K167" s="2"/>
      <c r="L167" s="6">
        <f t="shared" si="18"/>
        <v>-435.58223699230757</v>
      </c>
      <c r="M167" s="2"/>
      <c r="N167" s="7">
        <f t="shared" si="19"/>
        <v>-0.13198052986891617</v>
      </c>
      <c r="O167" s="11"/>
      <c r="P167" s="6">
        <v>19826.390000000003</v>
      </c>
      <c r="Q167" s="2"/>
      <c r="R167" s="7">
        <f t="shared" si="20"/>
        <v>2.3698071140936892E-3</v>
      </c>
      <c r="S167" s="2"/>
      <c r="T167" s="6">
        <v>28452.677105832681</v>
      </c>
      <c r="U167" s="2"/>
      <c r="V167" s="7">
        <f t="shared" si="21"/>
        <v>3.1636965853275691E-3</v>
      </c>
      <c r="W167" s="2"/>
      <c r="X167" s="6">
        <f t="shared" si="22"/>
        <v>-8626.2871058326782</v>
      </c>
      <c r="Y167" s="2"/>
      <c r="Z167" s="7">
        <f t="shared" si="23"/>
        <v>-0.30318015678265736</v>
      </c>
    </row>
    <row r="168" spans="1:26" s="24" customFormat="1" hidden="1" outlineLevel="2" x14ac:dyDescent="0.25">
      <c r="A168" s="25"/>
      <c r="B168" s="11" t="str">
        <f>CONCATENATE("          ", "6113", " - ", "GROUP INSURANCE")</f>
        <v xml:space="preserve">          6113 - GROUP INSURANCE</v>
      </c>
      <c r="C168" s="11"/>
      <c r="D168" s="6">
        <v>17465.82</v>
      </c>
      <c r="E168" s="2"/>
      <c r="F168" s="7">
        <f t="shared" si="16"/>
        <v>2.5774799247130824E-2</v>
      </c>
      <c r="G168" s="2"/>
      <c r="H168" s="6">
        <v>18510.81923076923</v>
      </c>
      <c r="I168" s="2"/>
      <c r="J168" s="7">
        <f t="shared" si="17"/>
        <v>2.5478195210891667E-2</v>
      </c>
      <c r="K168" s="2"/>
      <c r="L168" s="6">
        <f t="shared" si="18"/>
        <v>-1044.9992307692301</v>
      </c>
      <c r="M168" s="2"/>
      <c r="N168" s="7">
        <f t="shared" si="19"/>
        <v>-5.6453429626291282E-2</v>
      </c>
      <c r="O168" s="11"/>
      <c r="P168" s="6">
        <v>145820.94</v>
      </c>
      <c r="Q168" s="2"/>
      <c r="R168" s="7">
        <f t="shared" si="20"/>
        <v>1.7429673329124918E-2</v>
      </c>
      <c r="S168" s="2"/>
      <c r="T168" s="6">
        <v>149501.63076923077</v>
      </c>
      <c r="U168" s="2"/>
      <c r="V168" s="7">
        <f t="shared" si="21"/>
        <v>1.6623314460225608E-2</v>
      </c>
      <c r="W168" s="2"/>
      <c r="X168" s="6">
        <f t="shared" si="22"/>
        <v>-3680.6907692307723</v>
      </c>
      <c r="Y168" s="2"/>
      <c r="Z168" s="7">
        <f t="shared" si="23"/>
        <v>-2.4619736589443962E-2</v>
      </c>
    </row>
    <row r="169" spans="1:26" s="24" customFormat="1" hidden="1" outlineLevel="2" x14ac:dyDescent="0.25">
      <c r="A169" s="25"/>
      <c r="B169" s="11" t="str">
        <f>CONCATENATE("          ", "6114", " - ", "STATE UNEMPLOYMENT INSURANCE")</f>
        <v xml:space="preserve">          6114 - STATE UNEMPLOYMENT INSURANCE</v>
      </c>
      <c r="C169" s="11"/>
      <c r="D169" s="6">
        <v>475.96</v>
      </c>
      <c r="E169" s="2"/>
      <c r="F169" s="7">
        <f t="shared" si="16"/>
        <v>7.0238748880180758E-4</v>
      </c>
      <c r="G169" s="2"/>
      <c r="H169" s="6">
        <v>470.52458857870499</v>
      </c>
      <c r="I169" s="2"/>
      <c r="J169" s="7">
        <f t="shared" si="17"/>
        <v>6.4762759388875297E-4</v>
      </c>
      <c r="K169" s="2"/>
      <c r="L169" s="6">
        <f t="shared" si="18"/>
        <v>5.4354114212949867</v>
      </c>
      <c r="M169" s="2"/>
      <c r="N169" s="7">
        <f t="shared" si="19"/>
        <v>1.1551811644346831E-2</v>
      </c>
      <c r="O169" s="11"/>
      <c r="P169" s="6">
        <v>3990.03</v>
      </c>
      <c r="Q169" s="2"/>
      <c r="R169" s="7">
        <f t="shared" si="20"/>
        <v>4.7691997784000224E-4</v>
      </c>
      <c r="S169" s="2"/>
      <c r="T169" s="6">
        <v>4040.0942308444751</v>
      </c>
      <c r="U169" s="2"/>
      <c r="V169" s="7">
        <f t="shared" si="21"/>
        <v>4.4922424258995639E-4</v>
      </c>
      <c r="W169" s="2"/>
      <c r="X169" s="6">
        <f t="shared" si="22"/>
        <v>-50.064230844474878</v>
      </c>
      <c r="Y169" s="2"/>
      <c r="Z169" s="7">
        <f t="shared" si="23"/>
        <v>-1.2391847314415306E-2</v>
      </c>
    </row>
    <row r="170" spans="1:26" s="24" customFormat="1" hidden="1" outlineLevel="2" x14ac:dyDescent="0.25">
      <c r="A170" s="25"/>
      <c r="B170" s="11" t="str">
        <f>CONCATENATE("          ", "6115", " - ", "P.E.R.S.")</f>
        <v xml:space="preserve">          6115 - P.E.R.S.</v>
      </c>
      <c r="C170" s="11"/>
      <c r="D170" s="6">
        <v>5957.61</v>
      </c>
      <c r="E170" s="2"/>
      <c r="F170" s="7">
        <f t="shared" si="16"/>
        <v>8.79181176393087E-3</v>
      </c>
      <c r="G170" s="2"/>
      <c r="H170" s="6">
        <v>6067.9547279230692</v>
      </c>
      <c r="I170" s="2"/>
      <c r="J170" s="7">
        <f t="shared" si="17"/>
        <v>8.351901294130484E-3</v>
      </c>
      <c r="K170" s="2"/>
      <c r="L170" s="6">
        <f t="shared" si="18"/>
        <v>-110.34472792306951</v>
      </c>
      <c r="M170" s="2"/>
      <c r="N170" s="7">
        <f t="shared" si="19"/>
        <v>-1.8184830452886082E-2</v>
      </c>
      <c r="O170" s="11"/>
      <c r="P170" s="6">
        <v>56629.409999999996</v>
      </c>
      <c r="Q170" s="2"/>
      <c r="R170" s="7">
        <f t="shared" si="20"/>
        <v>6.7687954632652883E-3</v>
      </c>
      <c r="S170" s="2"/>
      <c r="T170" s="6">
        <v>52708.223069326865</v>
      </c>
      <c r="U170" s="2"/>
      <c r="V170" s="7">
        <f t="shared" si="21"/>
        <v>5.8607077542425553E-3</v>
      </c>
      <c r="W170" s="2"/>
      <c r="X170" s="6">
        <f t="shared" si="22"/>
        <v>3921.1869306731314</v>
      </c>
      <c r="Y170" s="2"/>
      <c r="Z170" s="7">
        <f t="shared" si="23"/>
        <v>7.4394215974908001E-2</v>
      </c>
    </row>
    <row r="171" spans="1:26" s="24" customFormat="1" hidden="1" outlineLevel="2" x14ac:dyDescent="0.25">
      <c r="A171" s="25"/>
      <c r="B171" s="11" t="str">
        <f>CONCATENATE("          ", "6116", " - ", "EDUCATIONAL BENEFITS")</f>
        <v xml:space="preserve">          6116 - EDUCATIONAL BENEFITS</v>
      </c>
      <c r="C171" s="11"/>
      <c r="D171" s="6"/>
      <c r="E171" s="2"/>
      <c r="F171" s="7">
        <f t="shared" si="16"/>
        <v>0</v>
      </c>
      <c r="G171" s="2"/>
      <c r="H171" s="6">
        <v>0</v>
      </c>
      <c r="I171" s="2"/>
      <c r="J171" s="7">
        <f t="shared" si="17"/>
        <v>0</v>
      </c>
      <c r="K171" s="2"/>
      <c r="L171" s="6">
        <f t="shared" si="18"/>
        <v>0</v>
      </c>
      <c r="M171" s="2"/>
      <c r="N171" s="7">
        <f t="shared" si="19"/>
        <v>0</v>
      </c>
      <c r="O171" s="11"/>
      <c r="P171" s="6"/>
      <c r="Q171" s="2"/>
      <c r="R171" s="7">
        <f t="shared" si="20"/>
        <v>0</v>
      </c>
      <c r="S171" s="2"/>
      <c r="T171" s="6">
        <v>0</v>
      </c>
      <c r="U171" s="2"/>
      <c r="V171" s="7">
        <f t="shared" si="21"/>
        <v>0</v>
      </c>
      <c r="W171" s="2"/>
      <c r="X171" s="6">
        <f t="shared" si="22"/>
        <v>0</v>
      </c>
      <c r="Y171" s="2"/>
      <c r="Z171" s="7">
        <f t="shared" si="23"/>
        <v>0</v>
      </c>
    </row>
    <row r="172" spans="1:26" s="24" customFormat="1" hidden="1" outlineLevel="2" x14ac:dyDescent="0.25">
      <c r="A172" s="25"/>
      <c r="B172" s="11" t="str">
        <f>CONCATENATE("          ", "6117", " - ", "RETIREMENT STAFF HOURLY")</f>
        <v xml:space="preserve">          6117 - RETIREMENT STAFF HOURLY</v>
      </c>
      <c r="C172" s="11"/>
      <c r="D172" s="6">
        <v>111.34</v>
      </c>
      <c r="E172" s="2"/>
      <c r="F172" s="7">
        <f t="shared" si="16"/>
        <v>1.6430755316243647E-4</v>
      </c>
      <c r="G172" s="2"/>
      <c r="H172" s="6"/>
      <c r="I172" s="2"/>
      <c r="J172" s="7">
        <f t="shared" si="17"/>
        <v>0</v>
      </c>
      <c r="K172" s="2"/>
      <c r="L172" s="6">
        <f t="shared" si="18"/>
        <v>111.34</v>
      </c>
      <c r="M172" s="2"/>
      <c r="N172" s="7">
        <f t="shared" si="19"/>
        <v>0</v>
      </c>
      <c r="O172" s="11"/>
      <c r="P172" s="6">
        <v>1063.57</v>
      </c>
      <c r="Q172" s="2"/>
      <c r="R172" s="7">
        <f t="shared" si="20"/>
        <v>1.2712630752933967E-4</v>
      </c>
      <c r="S172" s="2"/>
      <c r="T172" s="6"/>
      <c r="U172" s="2"/>
      <c r="V172" s="7">
        <f t="shared" si="21"/>
        <v>0</v>
      </c>
      <c r="W172" s="2"/>
      <c r="X172" s="6">
        <f t="shared" si="22"/>
        <v>1063.57</v>
      </c>
      <c r="Y172" s="2"/>
      <c r="Z172" s="7">
        <f t="shared" si="23"/>
        <v>0</v>
      </c>
    </row>
    <row r="173" spans="1:26" s="24" customFormat="1" hidden="1" outlineLevel="2" x14ac:dyDescent="0.25">
      <c r="A173" s="25"/>
      <c r="B173" s="11" t="str">
        <f>CONCATENATE("          ", "6118", " - ", "VACATION")</f>
        <v xml:space="preserve">          6118 - VACATION</v>
      </c>
      <c r="C173" s="11"/>
      <c r="D173" s="6">
        <v>3786</v>
      </c>
      <c r="E173" s="2"/>
      <c r="F173" s="7">
        <f t="shared" si="16"/>
        <v>5.587106127833523E-3</v>
      </c>
      <c r="G173" s="2"/>
      <c r="H173" s="6">
        <v>4420.3785989384578</v>
      </c>
      <c r="I173" s="2"/>
      <c r="J173" s="7">
        <f t="shared" si="17"/>
        <v>6.084186088457723E-3</v>
      </c>
      <c r="K173" s="2"/>
      <c r="L173" s="6">
        <f t="shared" si="18"/>
        <v>-634.3785989384578</v>
      </c>
      <c r="M173" s="2"/>
      <c r="N173" s="7">
        <f t="shared" si="19"/>
        <v>-0.14351227722684254</v>
      </c>
      <c r="O173" s="11"/>
      <c r="P173" s="6">
        <v>41744.800000000003</v>
      </c>
      <c r="Q173" s="2"/>
      <c r="R173" s="7">
        <f t="shared" si="20"/>
        <v>4.9896690227730937E-3</v>
      </c>
      <c r="S173" s="2"/>
      <c r="T173" s="6">
        <v>38393.768740711515</v>
      </c>
      <c r="U173" s="2"/>
      <c r="V173" s="7">
        <f t="shared" si="21"/>
        <v>4.2690617340167729E-3</v>
      </c>
      <c r="W173" s="2"/>
      <c r="X173" s="6">
        <f t="shared" si="22"/>
        <v>3351.0312592884875</v>
      </c>
      <c r="Y173" s="2"/>
      <c r="Z173" s="7">
        <f t="shared" si="23"/>
        <v>8.7280602274794714E-2</v>
      </c>
    </row>
    <row r="174" spans="1:26" s="24" customFormat="1" hidden="1" outlineLevel="2" x14ac:dyDescent="0.25">
      <c r="A174" s="25"/>
      <c r="B174" s="11" t="str">
        <f>CONCATENATE("          ", "6119", " - ", "SICK LEAVE")</f>
        <v xml:space="preserve">          6119 - SICK LEAVE</v>
      </c>
      <c r="C174" s="11"/>
      <c r="D174" s="6">
        <v>3464.9</v>
      </c>
      <c r="E174" s="2"/>
      <c r="F174" s="7">
        <f t="shared" si="16"/>
        <v>5.1132498738326402E-3</v>
      </c>
      <c r="G174" s="2"/>
      <c r="H174" s="6">
        <v>4029.0626068719412</v>
      </c>
      <c r="I174" s="2"/>
      <c r="J174" s="7">
        <f t="shared" si="17"/>
        <v>5.5455807944012623E-3</v>
      </c>
      <c r="K174" s="2"/>
      <c r="L174" s="6">
        <f t="shared" si="18"/>
        <v>-564.16260687194108</v>
      </c>
      <c r="M174" s="2"/>
      <c r="N174" s="7">
        <f t="shared" si="19"/>
        <v>-0.14002329125134697</v>
      </c>
      <c r="O174" s="11"/>
      <c r="P174" s="6">
        <v>33030.480000000003</v>
      </c>
      <c r="Q174" s="2"/>
      <c r="R174" s="7">
        <f t="shared" si="20"/>
        <v>3.9480644981728557E-3</v>
      </c>
      <c r="S174" s="2"/>
      <c r="T174" s="6">
        <v>34438.189385036421</v>
      </c>
      <c r="U174" s="2"/>
      <c r="V174" s="7">
        <f t="shared" si="21"/>
        <v>3.8292348293640587E-3</v>
      </c>
      <c r="W174" s="2"/>
      <c r="X174" s="6">
        <f t="shared" si="22"/>
        <v>-1407.7093850364181</v>
      </c>
      <c r="Y174" s="2"/>
      <c r="Z174" s="7">
        <f t="shared" si="23"/>
        <v>-4.0876405240052351E-2</v>
      </c>
    </row>
    <row r="175" spans="1:26" s="24" customFormat="1" hidden="1" outlineLevel="2" x14ac:dyDescent="0.25">
      <c r="A175" s="25"/>
      <c r="B175" s="11" t="str">
        <f>CONCATENATE("          ", "6156", " - ", "EMPLOYEE MEALS")</f>
        <v xml:space="preserve">          6156 - EMPLOYEE MEALS</v>
      </c>
      <c r="C175" s="11"/>
      <c r="D175" s="6">
        <v>2253.54</v>
      </c>
      <c r="E175" s="2"/>
      <c r="F175" s="7">
        <f t="shared" si="16"/>
        <v>3.3256120294025242E-3</v>
      </c>
      <c r="G175" s="2"/>
      <c r="H175" s="6">
        <v>1550</v>
      </c>
      <c r="I175" s="2"/>
      <c r="J175" s="7">
        <f t="shared" si="17"/>
        <v>2.1334119297777292E-3</v>
      </c>
      <c r="K175" s="2"/>
      <c r="L175" s="6">
        <f t="shared" si="18"/>
        <v>703.54</v>
      </c>
      <c r="M175" s="2"/>
      <c r="N175" s="7">
        <f t="shared" si="19"/>
        <v>0.45389677419354835</v>
      </c>
      <c r="O175" s="11"/>
      <c r="P175" s="6">
        <v>16554.66</v>
      </c>
      <c r="Q175" s="2"/>
      <c r="R175" s="7">
        <f t="shared" si="20"/>
        <v>1.9787440396059103E-3</v>
      </c>
      <c r="S175" s="2"/>
      <c r="T175" s="6">
        <v>12400</v>
      </c>
      <c r="U175" s="2"/>
      <c r="V175" s="7">
        <f t="shared" si="21"/>
        <v>1.3787749220272811E-3</v>
      </c>
      <c r="W175" s="2"/>
      <c r="X175" s="6">
        <f t="shared" si="22"/>
        <v>4154.66</v>
      </c>
      <c r="Y175" s="2"/>
      <c r="Z175" s="7">
        <f t="shared" si="23"/>
        <v>0.33505322580645158</v>
      </c>
    </row>
    <row r="176" spans="1:26" s="27" customFormat="1" outlineLevel="1" collapsed="1" x14ac:dyDescent="0.25">
      <c r="A176" s="26"/>
      <c r="B176" s="13" t="str">
        <f>CONCATENATE("     ","*Payroll                                          ")</f>
        <v xml:space="preserve">     *Payroll                                          </v>
      </c>
      <c r="C176" s="13"/>
      <c r="D176" s="1">
        <f>SUM(OSRRefD22_1x_0)</f>
        <v>158553.56</v>
      </c>
      <c r="E176" s="1"/>
      <c r="F176" s="5">
        <f t="shared" ref="F176:F186" si="24">IF(D$12=0,0,D176/D$12)</f>
        <v>0.23398192463439518</v>
      </c>
      <c r="G176" s="1"/>
      <c r="H176" s="1">
        <f>SUM(OSRRefH22_1x_0)</f>
        <v>173592.36072930193</v>
      </c>
      <c r="I176" s="1"/>
      <c r="J176" s="5">
        <f t="shared" ref="J176:J186" si="25">IF(H$12=0,0,H176/H$12)</f>
        <v>0.23893162148269143</v>
      </c>
      <c r="K176" s="1"/>
      <c r="L176" s="1">
        <f t="shared" ref="L176:L186" si="26">+D176-H176</f>
        <v>-15038.800729301933</v>
      </c>
      <c r="M176" s="1"/>
      <c r="N176" s="5">
        <f t="shared" ref="N176:N186" si="27">IF(H176=0,0,L176/H176)</f>
        <v>-8.6632848738967705E-2</v>
      </c>
      <c r="O176" s="13"/>
      <c r="P176" s="1">
        <f>SUM(OSRRefP22_1x_0)</f>
        <v>1460611.9700000002</v>
      </c>
      <c r="Q176" s="1"/>
      <c r="R176" s="5">
        <f t="shared" ref="R176:R186" si="28">IF(P$12=0,0,P176/P$12)</f>
        <v>0.17458390748070618</v>
      </c>
      <c r="S176" s="1"/>
      <c r="T176" s="1">
        <f>SUM(OSRRefT22_1x_0)</f>
        <v>1490389.7375365864</v>
      </c>
      <c r="U176" s="1"/>
      <c r="V176" s="5">
        <f t="shared" ref="V176:V186" si="29">IF(T$12=0,0,T176/T$12)</f>
        <v>0.1657187092066344</v>
      </c>
      <c r="W176" s="1"/>
      <c r="X176" s="1">
        <f t="shared" ref="X176:X186" si="30">+P176-T176</f>
        <v>-29777.767536586151</v>
      </c>
      <c r="Y176" s="1"/>
      <c r="Z176" s="5">
        <f t="shared" ref="Z176:Z186" si="31">IF(T176=0,0,X176/T176)</f>
        <v>-1.9979852777170078E-2</v>
      </c>
    </row>
    <row r="177" spans="1:26" s="24" customFormat="1" hidden="1" outlineLevel="2" x14ac:dyDescent="0.25">
      <c r="A177" s="25"/>
      <c r="B177" s="11" t="str">
        <f>CONCATENATE("          ", "6001", " - ", "ADMINISTRATIVE SALARIES")</f>
        <v xml:space="preserve">          6001 - ADMINISTRATIVE SALARIES</v>
      </c>
      <c r="C177" s="11"/>
      <c r="D177" s="6">
        <v>9109.57</v>
      </c>
      <c r="E177" s="2"/>
      <c r="F177" s="7">
        <f t="shared" si="24"/>
        <v>1.3443247324069842E-2</v>
      </c>
      <c r="G177" s="2"/>
      <c r="H177" s="6">
        <v>24506.560901846147</v>
      </c>
      <c r="I177" s="2"/>
      <c r="J177" s="7">
        <f t="shared" si="25"/>
        <v>3.3730702829563253E-2</v>
      </c>
      <c r="K177" s="2"/>
      <c r="L177" s="6">
        <f t="shared" si="26"/>
        <v>-15396.990901846148</v>
      </c>
      <c r="M177" s="2"/>
      <c r="N177" s="7">
        <f t="shared" si="27"/>
        <v>-0.62828035983972963</v>
      </c>
      <c r="O177" s="11"/>
      <c r="P177" s="6">
        <v>88416.11</v>
      </c>
      <c r="Q177" s="2"/>
      <c r="R177" s="7">
        <f t="shared" si="28"/>
        <v>1.0568193527842948E-2</v>
      </c>
      <c r="S177" s="2"/>
      <c r="T177" s="6">
        <v>214432.40789115379</v>
      </c>
      <c r="U177" s="2"/>
      <c r="V177" s="7">
        <f t="shared" si="29"/>
        <v>2.3843066650826427E-2</v>
      </c>
      <c r="W177" s="2"/>
      <c r="X177" s="6">
        <f t="shared" si="30"/>
        <v>-126016.29789115379</v>
      </c>
      <c r="Y177" s="2"/>
      <c r="Z177" s="7">
        <f t="shared" si="31"/>
        <v>-0.58767375291107982</v>
      </c>
    </row>
    <row r="178" spans="1:26" s="24" customFormat="1" hidden="1" outlineLevel="2" x14ac:dyDescent="0.25">
      <c r="A178" s="25"/>
      <c r="B178" s="11" t="str">
        <f>CONCATENATE("          ", "6002", " - ", "STAFF SALARIES")</f>
        <v xml:space="preserve">          6002 - STAFF SALARIES</v>
      </c>
      <c r="C178" s="11"/>
      <c r="D178" s="6">
        <v>50664.97</v>
      </c>
      <c r="E178" s="2"/>
      <c r="F178" s="7">
        <f t="shared" si="24"/>
        <v>7.4767713775357E-2</v>
      </c>
      <c r="G178" s="2"/>
      <c r="H178" s="6">
        <v>39749.506545646182</v>
      </c>
      <c r="I178" s="2"/>
      <c r="J178" s="7">
        <f t="shared" si="25"/>
        <v>5.4711013849844836E-2</v>
      </c>
      <c r="K178" s="2"/>
      <c r="L178" s="6">
        <f t="shared" si="26"/>
        <v>10915.46345435382</v>
      </c>
      <c r="M178" s="2"/>
      <c r="N178" s="7">
        <f t="shared" si="27"/>
        <v>0.27460626314490449</v>
      </c>
      <c r="O178" s="11"/>
      <c r="P178" s="6">
        <v>467228.15999999997</v>
      </c>
      <c r="Q178" s="2"/>
      <c r="R178" s="7">
        <f t="shared" si="28"/>
        <v>5.5846809100038093E-2</v>
      </c>
      <c r="S178" s="2"/>
      <c r="T178" s="6">
        <v>343794.61427440395</v>
      </c>
      <c r="U178" s="2"/>
      <c r="V178" s="7">
        <f t="shared" si="29"/>
        <v>3.8227047781418583E-2</v>
      </c>
      <c r="W178" s="2"/>
      <c r="X178" s="6">
        <f t="shared" si="30"/>
        <v>123433.54572559602</v>
      </c>
      <c r="Y178" s="2"/>
      <c r="Z178" s="7">
        <f t="shared" si="31"/>
        <v>0.35903280796329173</v>
      </c>
    </row>
    <row r="179" spans="1:26" s="24" customFormat="1" hidden="1" outlineLevel="2" x14ac:dyDescent="0.25">
      <c r="A179" s="25"/>
      <c r="B179" s="11" t="str">
        <f>CONCATENATE("          ", "6003", " - ", "STAFF HOURLY-9 MONTH")</f>
        <v xml:space="preserve">          6003 - STAFF HOURLY-9 MONTH</v>
      </c>
      <c r="C179" s="11"/>
      <c r="D179" s="6"/>
      <c r="E179" s="2"/>
      <c r="F179" s="7">
        <f t="shared" si="24"/>
        <v>0</v>
      </c>
      <c r="G179" s="2"/>
      <c r="H179" s="6">
        <v>0</v>
      </c>
      <c r="I179" s="2"/>
      <c r="J179" s="7">
        <f t="shared" si="25"/>
        <v>0</v>
      </c>
      <c r="K179" s="2"/>
      <c r="L179" s="6">
        <f t="shared" si="26"/>
        <v>0</v>
      </c>
      <c r="M179" s="2"/>
      <c r="N179" s="7">
        <f t="shared" si="27"/>
        <v>0</v>
      </c>
      <c r="O179" s="11"/>
      <c r="P179" s="6"/>
      <c r="Q179" s="2"/>
      <c r="R179" s="7">
        <f t="shared" si="28"/>
        <v>0</v>
      </c>
      <c r="S179" s="2"/>
      <c r="T179" s="6">
        <v>0</v>
      </c>
      <c r="U179" s="2"/>
      <c r="V179" s="7">
        <f t="shared" si="29"/>
        <v>0</v>
      </c>
      <c r="W179" s="2"/>
      <c r="X179" s="6">
        <f t="shared" si="30"/>
        <v>0</v>
      </c>
      <c r="Y179" s="2"/>
      <c r="Z179" s="7">
        <f t="shared" si="31"/>
        <v>0</v>
      </c>
    </row>
    <row r="180" spans="1:26" s="24" customFormat="1" hidden="1" outlineLevel="2" x14ac:dyDescent="0.25">
      <c r="A180" s="25"/>
      <c r="B180" s="11" t="str">
        <f>CONCATENATE("          ", "6004", " - ", "STAFF HOURLY")</f>
        <v xml:space="preserve">          6004 - STAFF HOURLY</v>
      </c>
      <c r="C180" s="11"/>
      <c r="D180" s="6">
        <v>8324.66</v>
      </c>
      <c r="E180" s="2"/>
      <c r="F180" s="7">
        <f t="shared" si="24"/>
        <v>1.2284933676209883E-2</v>
      </c>
      <c r="G180" s="2"/>
      <c r="H180" s="6">
        <v>21701.512381999997</v>
      </c>
      <c r="I180" s="2"/>
      <c r="J180" s="7">
        <f t="shared" si="25"/>
        <v>2.9869848651598644E-2</v>
      </c>
      <c r="K180" s="2"/>
      <c r="L180" s="6">
        <f t="shared" si="26"/>
        <v>-13376.852381999997</v>
      </c>
      <c r="M180" s="2"/>
      <c r="N180" s="7">
        <f t="shared" si="27"/>
        <v>-0.61640185008926995</v>
      </c>
      <c r="O180" s="11"/>
      <c r="P180" s="6">
        <v>29169.929999999997</v>
      </c>
      <c r="Q180" s="2"/>
      <c r="R180" s="7">
        <f t="shared" si="28"/>
        <v>3.4866209951289625E-3</v>
      </c>
      <c r="S180" s="2"/>
      <c r="T180" s="6">
        <v>186295.25052999999</v>
      </c>
      <c r="U180" s="2"/>
      <c r="V180" s="7">
        <f t="shared" si="29"/>
        <v>2.0714453187383349E-2</v>
      </c>
      <c r="W180" s="2"/>
      <c r="X180" s="6">
        <f t="shared" si="30"/>
        <v>-157125.32053</v>
      </c>
      <c r="Y180" s="2"/>
      <c r="Z180" s="7">
        <f t="shared" si="31"/>
        <v>-0.84342096796878552</v>
      </c>
    </row>
    <row r="181" spans="1:26" s="24" customFormat="1" hidden="1" outlineLevel="2" x14ac:dyDescent="0.25">
      <c r="A181" s="25"/>
      <c r="B181" s="11" t="str">
        <f>CONCATENATE("          ", "6005", " - ", "TEMPORARY WAGES-HOURLY")</f>
        <v xml:space="preserve">          6005 - TEMPORARY WAGES-HOURLY</v>
      </c>
      <c r="C181" s="11"/>
      <c r="D181" s="6">
        <v>18739.34</v>
      </c>
      <c r="E181" s="2"/>
      <c r="F181" s="7">
        <f t="shared" si="24"/>
        <v>2.7654168342724737E-2</v>
      </c>
      <c r="G181" s="2"/>
      <c r="H181" s="6">
        <v>2903.68</v>
      </c>
      <c r="I181" s="2"/>
      <c r="J181" s="7">
        <f t="shared" si="25"/>
        <v>3.9966100337141914E-3</v>
      </c>
      <c r="K181" s="2"/>
      <c r="L181" s="6">
        <f t="shared" si="26"/>
        <v>15835.66</v>
      </c>
      <c r="M181" s="2"/>
      <c r="N181" s="7">
        <f t="shared" si="27"/>
        <v>5.453651917566674</v>
      </c>
      <c r="O181" s="11"/>
      <c r="P181" s="6">
        <v>146614.52000000002</v>
      </c>
      <c r="Q181" s="2"/>
      <c r="R181" s="7">
        <f t="shared" si="28"/>
        <v>1.7524528294128757E-2</v>
      </c>
      <c r="S181" s="2"/>
      <c r="T181" s="6">
        <v>27333.68</v>
      </c>
      <c r="U181" s="2"/>
      <c r="V181" s="7">
        <f t="shared" si="29"/>
        <v>3.0392735895740848E-3</v>
      </c>
      <c r="W181" s="2"/>
      <c r="X181" s="6">
        <f t="shared" si="30"/>
        <v>119280.84000000003</v>
      </c>
      <c r="Y181" s="2"/>
      <c r="Z181" s="7">
        <f t="shared" si="31"/>
        <v>4.3638778239885747</v>
      </c>
    </row>
    <row r="182" spans="1:26" s="24" customFormat="1" hidden="1" outlineLevel="2" x14ac:dyDescent="0.25">
      <c r="A182" s="25"/>
      <c r="B182" s="11" t="str">
        <f>CONCATENATE("          ", "6006", " - ", "TEMPORARY PART TIME")</f>
        <v xml:space="preserve">          6006 - TEMPORARY PART TIME</v>
      </c>
      <c r="C182" s="11"/>
      <c r="D182" s="6">
        <v>3688.21</v>
      </c>
      <c r="E182" s="2"/>
      <c r="F182" s="7">
        <f t="shared" si="24"/>
        <v>5.4427946887841729E-3</v>
      </c>
      <c r="G182" s="2"/>
      <c r="H182" s="6">
        <v>0</v>
      </c>
      <c r="I182" s="2"/>
      <c r="J182" s="7">
        <f t="shared" si="25"/>
        <v>0</v>
      </c>
      <c r="K182" s="2"/>
      <c r="L182" s="6">
        <f t="shared" si="26"/>
        <v>3688.21</v>
      </c>
      <c r="M182" s="2"/>
      <c r="N182" s="7">
        <f t="shared" si="27"/>
        <v>0</v>
      </c>
      <c r="O182" s="11"/>
      <c r="P182" s="6">
        <v>25208.080000000002</v>
      </c>
      <c r="Q182" s="2"/>
      <c r="R182" s="7">
        <f t="shared" si="28"/>
        <v>3.0130693140124269E-3</v>
      </c>
      <c r="S182" s="2"/>
      <c r="T182" s="6">
        <v>0</v>
      </c>
      <c r="U182" s="2"/>
      <c r="V182" s="7">
        <f t="shared" si="29"/>
        <v>0</v>
      </c>
      <c r="W182" s="2"/>
      <c r="X182" s="6">
        <f t="shared" si="30"/>
        <v>25208.080000000002</v>
      </c>
      <c r="Y182" s="2"/>
      <c r="Z182" s="7">
        <f t="shared" si="31"/>
        <v>0</v>
      </c>
    </row>
    <row r="183" spans="1:26" s="24" customFormat="1" hidden="1" outlineLevel="2" x14ac:dyDescent="0.25">
      <c r="A183" s="25"/>
      <c r="B183" s="11" t="str">
        <f>CONCATENATE("          ", "6007", " - ", "STUDENT HOURLY")</f>
        <v xml:space="preserve">          6007 - STUDENT HOURLY</v>
      </c>
      <c r="C183" s="11"/>
      <c r="D183" s="6">
        <v>65441.869999999995</v>
      </c>
      <c r="E183" s="2"/>
      <c r="F183" s="7">
        <f t="shared" si="24"/>
        <v>9.6574398545664228E-2</v>
      </c>
      <c r="G183" s="2"/>
      <c r="H183" s="6">
        <v>6304.8898079999999</v>
      </c>
      <c r="I183" s="2"/>
      <c r="J183" s="7">
        <f t="shared" si="25"/>
        <v>8.6780175047233652E-3</v>
      </c>
      <c r="K183" s="2"/>
      <c r="L183" s="6">
        <f t="shared" si="26"/>
        <v>59136.980191999995</v>
      </c>
      <c r="M183" s="2"/>
      <c r="N183" s="7">
        <f t="shared" si="27"/>
        <v>9.3795422272033466</v>
      </c>
      <c r="O183" s="11"/>
      <c r="P183" s="6">
        <v>690387.59</v>
      </c>
      <c r="Q183" s="2"/>
      <c r="R183" s="7">
        <f t="shared" si="28"/>
        <v>8.2520591104280547E-2</v>
      </c>
      <c r="S183" s="2"/>
      <c r="T183" s="6">
        <v>160335.25958519999</v>
      </c>
      <c r="U183" s="2"/>
      <c r="V183" s="7">
        <f t="shared" si="29"/>
        <v>1.782792218006516E-2</v>
      </c>
      <c r="W183" s="2"/>
      <c r="X183" s="6">
        <f t="shared" si="30"/>
        <v>530052.33041479997</v>
      </c>
      <c r="Y183" s="2"/>
      <c r="Z183" s="7">
        <f t="shared" si="31"/>
        <v>3.3058999735060604</v>
      </c>
    </row>
    <row r="184" spans="1:26" s="24" customFormat="1" hidden="1" outlineLevel="2" x14ac:dyDescent="0.25">
      <c r="A184" s="25"/>
      <c r="B184" s="11" t="str">
        <f>CONCATENATE("          ", "6008", " - ", "STUDENT HOURLY-FICA EXEMPT")</f>
        <v xml:space="preserve">          6008 - STUDENT HOURLY-FICA EXEMPT</v>
      </c>
      <c r="C184" s="11"/>
      <c r="D184" s="6">
        <v>2584.94</v>
      </c>
      <c r="E184" s="2"/>
      <c r="F184" s="7">
        <f t="shared" si="24"/>
        <v>3.8146682815853108E-3</v>
      </c>
      <c r="G184" s="2"/>
      <c r="H184" s="6">
        <v>78426.2110918096</v>
      </c>
      <c r="I184" s="2"/>
      <c r="J184" s="7">
        <f t="shared" si="25"/>
        <v>0.10794542861324714</v>
      </c>
      <c r="K184" s="2"/>
      <c r="L184" s="6">
        <f t="shared" si="26"/>
        <v>-75841.271091809598</v>
      </c>
      <c r="M184" s="2"/>
      <c r="N184" s="7">
        <f t="shared" si="27"/>
        <v>-0.96703984593908354</v>
      </c>
      <c r="O184" s="11"/>
      <c r="P184" s="6">
        <v>13587.58</v>
      </c>
      <c r="Q184" s="2"/>
      <c r="R184" s="7">
        <f t="shared" si="28"/>
        <v>1.6240951452744109E-3</v>
      </c>
      <c r="S184" s="2"/>
      <c r="T184" s="6">
        <v>558198.52525582875</v>
      </c>
      <c r="U184" s="2"/>
      <c r="V184" s="7">
        <f t="shared" si="29"/>
        <v>6.2066945817366818E-2</v>
      </c>
      <c r="W184" s="2"/>
      <c r="X184" s="6">
        <f t="shared" si="30"/>
        <v>-544610.94525582879</v>
      </c>
      <c r="Y184" s="2"/>
      <c r="Z184" s="7">
        <f t="shared" si="31"/>
        <v>-0.97565815854892735</v>
      </c>
    </row>
    <row r="185" spans="1:26" s="24" customFormat="1" hidden="1" outlineLevel="2" x14ac:dyDescent="0.25">
      <c r="A185" s="25"/>
      <c r="B185" s="11" t="str">
        <f>CONCATENATE("          ", "6009", " - ", "TEMPORARY-SEASONAL")</f>
        <v xml:space="preserve">          6009 - TEMPORARY-SEASONAL</v>
      </c>
      <c r="C185" s="11"/>
      <c r="D185" s="6"/>
      <c r="E185" s="2"/>
      <c r="F185" s="7">
        <f t="shared" si="24"/>
        <v>0</v>
      </c>
      <c r="G185" s="2"/>
      <c r="H185" s="6">
        <v>0</v>
      </c>
      <c r="I185" s="2"/>
      <c r="J185" s="7">
        <f t="shared" si="25"/>
        <v>0</v>
      </c>
      <c r="K185" s="2"/>
      <c r="L185" s="6">
        <f t="shared" si="26"/>
        <v>0</v>
      </c>
      <c r="M185" s="2"/>
      <c r="N185" s="7">
        <f t="shared" si="27"/>
        <v>0</v>
      </c>
      <c r="O185" s="11"/>
      <c r="P185" s="6"/>
      <c r="Q185" s="2"/>
      <c r="R185" s="7">
        <f t="shared" si="28"/>
        <v>0</v>
      </c>
      <c r="S185" s="2"/>
      <c r="T185" s="6">
        <v>0</v>
      </c>
      <c r="U185" s="2"/>
      <c r="V185" s="7">
        <f t="shared" si="29"/>
        <v>0</v>
      </c>
      <c r="W185" s="2"/>
      <c r="X185" s="6">
        <f t="shared" si="30"/>
        <v>0</v>
      </c>
      <c r="Y185" s="2"/>
      <c r="Z185" s="7">
        <f t="shared" si="31"/>
        <v>0</v>
      </c>
    </row>
    <row r="186" spans="1:26" s="24" customFormat="1" hidden="1" outlineLevel="2" x14ac:dyDescent="0.25">
      <c r="A186" s="25"/>
      <c r="B186" s="11" t="str">
        <f>CONCATENATE("          ", "6010", " - ", "GRATUITY")</f>
        <v xml:space="preserve">          6010 - GRATUITY</v>
      </c>
      <c r="C186" s="11"/>
      <c r="D186" s="6"/>
      <c r="E186" s="2"/>
      <c r="F186" s="7">
        <f t="shared" si="24"/>
        <v>0</v>
      </c>
      <c r="G186" s="2"/>
      <c r="H186" s="6">
        <v>0</v>
      </c>
      <c r="I186" s="2"/>
      <c r="J186" s="7">
        <f t="shared" si="25"/>
        <v>0</v>
      </c>
      <c r="K186" s="2"/>
      <c r="L186" s="6">
        <f t="shared" si="26"/>
        <v>0</v>
      </c>
      <c r="M186" s="2"/>
      <c r="N186" s="7">
        <f t="shared" si="27"/>
        <v>0</v>
      </c>
      <c r="O186" s="11"/>
      <c r="P186" s="6"/>
      <c r="Q186" s="2"/>
      <c r="R186" s="7">
        <f t="shared" si="28"/>
        <v>0</v>
      </c>
      <c r="S186" s="2"/>
      <c r="T186" s="6">
        <v>0</v>
      </c>
      <c r="U186" s="2"/>
      <c r="V186" s="7">
        <f t="shared" si="29"/>
        <v>0</v>
      </c>
      <c r="W186" s="2"/>
      <c r="X186" s="6">
        <f t="shared" si="30"/>
        <v>0</v>
      </c>
      <c r="Y186" s="2"/>
      <c r="Z186" s="7">
        <f t="shared" si="31"/>
        <v>0</v>
      </c>
    </row>
    <row r="187" spans="1:26" s="27" customFormat="1" outlineLevel="1" collapsed="1" x14ac:dyDescent="0.25">
      <c r="A187" s="26"/>
      <c r="B187" s="13" t="str">
        <f>CONCATENATE("     ","Advertising/Promo                                 ")</f>
        <v xml:space="preserve">     Advertising/Promo                                 </v>
      </c>
      <c r="C187" s="13"/>
      <c r="D187" s="1">
        <f>SUM(OSRRefD22_2x_0)</f>
        <v>2815.83</v>
      </c>
      <c r="E187" s="1"/>
      <c r="F187" s="5">
        <f t="shared" ref="F187:F191" si="32">IF(D$12=0,0,D187/D$12)</f>
        <v>4.1553991146163413E-3</v>
      </c>
      <c r="G187" s="1"/>
      <c r="H187" s="1">
        <f>SUM(OSRRefH22_2x_0)</f>
        <v>6220</v>
      </c>
      <c r="I187" s="1"/>
      <c r="J187" s="5">
        <f t="shared" ref="J187:J191" si="33">IF(H$12=0,0,H187/H$12)</f>
        <v>8.5611756149790164E-3</v>
      </c>
      <c r="K187" s="1"/>
      <c r="L187" s="1">
        <f t="shared" ref="L187:L191" si="34">+D187-H187</f>
        <v>-3404.17</v>
      </c>
      <c r="M187" s="1"/>
      <c r="N187" s="5">
        <f t="shared" ref="N187:N191" si="35">IF(H187=0,0,L187/H187)</f>
        <v>-0.54729421221864949</v>
      </c>
      <c r="O187" s="13"/>
      <c r="P187" s="1">
        <f>SUM(OSRRefP22_2x_0)</f>
        <v>43170.86</v>
      </c>
      <c r="Q187" s="1"/>
      <c r="R187" s="5">
        <f t="shared" ref="R187:R191" si="36">IF(P$12=0,0,P187/P$12)</f>
        <v>5.1601230052239801E-3</v>
      </c>
      <c r="S187" s="1"/>
      <c r="T187" s="1">
        <f>SUM(OSRRefT22_2x_0)</f>
        <v>53610</v>
      </c>
      <c r="U187" s="1"/>
      <c r="V187" s="5">
        <f t="shared" ref="V187:V191" si="37">IF(T$12=0,0,T187/T$12)</f>
        <v>5.9609777072485914E-3</v>
      </c>
      <c r="W187" s="1"/>
      <c r="X187" s="1">
        <f t="shared" ref="X187:X191" si="38">+P187-T187</f>
        <v>-10439.14</v>
      </c>
      <c r="Y187" s="1"/>
      <c r="Z187" s="5">
        <f t="shared" ref="Z187:Z191" si="39">IF(T187=0,0,X187/T187)</f>
        <v>-0.19472374556985636</v>
      </c>
    </row>
    <row r="188" spans="1:26" s="24" customFormat="1" hidden="1" outlineLevel="2" x14ac:dyDescent="0.25">
      <c r="A188" s="25"/>
      <c r="B188" s="11" t="str">
        <f>CONCATENATE("          ", "6362", " - ", "ADVERTISING EXPENSE")</f>
        <v xml:space="preserve">          6362 - ADVERTISING EXPENSE</v>
      </c>
      <c r="C188" s="11"/>
      <c r="D188" s="6">
        <v>2815.83</v>
      </c>
      <c r="E188" s="2"/>
      <c r="F188" s="7">
        <f t="shared" si="32"/>
        <v>4.1553991146163413E-3</v>
      </c>
      <c r="G188" s="2"/>
      <c r="H188" s="6">
        <v>6220</v>
      </c>
      <c r="I188" s="2"/>
      <c r="J188" s="7">
        <f t="shared" si="33"/>
        <v>8.5611756149790164E-3</v>
      </c>
      <c r="K188" s="2"/>
      <c r="L188" s="6">
        <f t="shared" si="34"/>
        <v>-3404.17</v>
      </c>
      <c r="M188" s="2"/>
      <c r="N188" s="7">
        <f t="shared" si="35"/>
        <v>-0.54729421221864949</v>
      </c>
      <c r="O188" s="11"/>
      <c r="P188" s="6">
        <v>43170.86</v>
      </c>
      <c r="Q188" s="2"/>
      <c r="R188" s="7">
        <f t="shared" si="36"/>
        <v>5.1601230052239801E-3</v>
      </c>
      <c r="S188" s="2"/>
      <c r="T188" s="6">
        <v>53610</v>
      </c>
      <c r="U188" s="2"/>
      <c r="V188" s="7">
        <f t="shared" si="37"/>
        <v>5.9609777072485914E-3</v>
      </c>
      <c r="W188" s="2"/>
      <c r="X188" s="6">
        <f t="shared" si="38"/>
        <v>-10439.14</v>
      </c>
      <c r="Y188" s="2"/>
      <c r="Z188" s="7">
        <f t="shared" si="39"/>
        <v>-0.19472374556985636</v>
      </c>
    </row>
    <row r="189" spans="1:26" s="27" customFormat="1" outlineLevel="1" collapsed="1" x14ac:dyDescent="0.25">
      <c r="A189" s="26"/>
      <c r="B189" s="13" t="str">
        <f>CONCATENATE("     ","Bad Debts/Over/Short                              ")</f>
        <v xml:space="preserve">     Bad Debts/Over/Short                              </v>
      </c>
      <c r="C189" s="13"/>
      <c r="D189" s="1">
        <f>SUM(OSRRefD22_3x_0)</f>
        <v>-35.479999999999997</v>
      </c>
      <c r="E189" s="1"/>
      <c r="F189" s="5">
        <f t="shared" si="32"/>
        <v>-5.2358828688730425E-5</v>
      </c>
      <c r="G189" s="1"/>
      <c r="H189" s="1">
        <f>SUM(OSRRefH22_3x_0)</f>
        <v>135</v>
      </c>
      <c r="I189" s="1"/>
      <c r="J189" s="5">
        <f t="shared" si="33"/>
        <v>1.8581329710967319E-4</v>
      </c>
      <c r="K189" s="1"/>
      <c r="L189" s="1">
        <f t="shared" si="34"/>
        <v>-170.48</v>
      </c>
      <c r="M189" s="1"/>
      <c r="N189" s="5">
        <f t="shared" si="35"/>
        <v>-1.2628148148148148</v>
      </c>
      <c r="O189" s="13"/>
      <c r="P189" s="1">
        <f>SUM(OSRRefP22_3x_0)</f>
        <v>19.539999999999996</v>
      </c>
      <c r="Q189" s="1"/>
      <c r="R189" s="5">
        <f t="shared" si="36"/>
        <v>2.3355755137163482E-6</v>
      </c>
      <c r="S189" s="1"/>
      <c r="T189" s="1">
        <f>SUM(OSRRefT22_3x_0)</f>
        <v>1080</v>
      </c>
      <c r="U189" s="1"/>
      <c r="V189" s="5">
        <f t="shared" si="37"/>
        <v>1.2008684804753737E-4</v>
      </c>
      <c r="W189" s="1"/>
      <c r="X189" s="1">
        <f t="shared" si="38"/>
        <v>-1060.46</v>
      </c>
      <c r="Y189" s="1"/>
      <c r="Z189" s="5">
        <f t="shared" si="39"/>
        <v>-0.98190740740740745</v>
      </c>
    </row>
    <row r="190" spans="1:26" s="24" customFormat="1" hidden="1" outlineLevel="2" x14ac:dyDescent="0.25">
      <c r="A190" s="25"/>
      <c r="B190" s="11" t="str">
        <f>CONCATENATE("          ", "6272", " - ", "CASH (OVER/SHORT)")</f>
        <v xml:space="preserve">          6272 - CASH (OVER/SHORT)</v>
      </c>
      <c r="C190" s="11"/>
      <c r="D190" s="6">
        <v>-35.479999999999997</v>
      </c>
      <c r="E190" s="2"/>
      <c r="F190" s="7">
        <f t="shared" si="32"/>
        <v>-5.2358828688730425E-5</v>
      </c>
      <c r="G190" s="2"/>
      <c r="H190" s="6">
        <v>125</v>
      </c>
      <c r="I190" s="2"/>
      <c r="J190" s="7">
        <f t="shared" si="33"/>
        <v>1.7204934917562333E-4</v>
      </c>
      <c r="K190" s="2"/>
      <c r="L190" s="6">
        <f t="shared" si="34"/>
        <v>-160.47999999999999</v>
      </c>
      <c r="M190" s="2"/>
      <c r="N190" s="7">
        <f t="shared" si="35"/>
        <v>-1.2838399999999999</v>
      </c>
      <c r="O190" s="11"/>
      <c r="P190" s="6">
        <v>-25.26</v>
      </c>
      <c r="Q190" s="2"/>
      <c r="R190" s="7">
        <f t="shared" si="36"/>
        <v>-3.0192752035043488E-6</v>
      </c>
      <c r="S190" s="2"/>
      <c r="T190" s="6">
        <v>1000</v>
      </c>
      <c r="U190" s="2"/>
      <c r="V190" s="7">
        <f t="shared" si="37"/>
        <v>1.1119152596994201E-4</v>
      </c>
      <c r="W190" s="2"/>
      <c r="X190" s="6">
        <f t="shared" si="38"/>
        <v>-1025.26</v>
      </c>
      <c r="Y190" s="2"/>
      <c r="Z190" s="7">
        <f t="shared" si="39"/>
        <v>-1.0252600000000001</v>
      </c>
    </row>
    <row r="191" spans="1:26" s="24" customFormat="1" hidden="1" outlineLevel="2" x14ac:dyDescent="0.25">
      <c r="A191" s="25"/>
      <c r="B191" s="11" t="str">
        <f>CONCATENATE("          ", "6342", " - ", "BAD DEBT")</f>
        <v xml:space="preserve">          6342 - BAD DEBT</v>
      </c>
      <c r="C191" s="11"/>
      <c r="D191" s="6"/>
      <c r="E191" s="2"/>
      <c r="F191" s="7">
        <f t="shared" si="32"/>
        <v>0</v>
      </c>
      <c r="G191" s="2"/>
      <c r="H191" s="6">
        <v>10</v>
      </c>
      <c r="I191" s="2"/>
      <c r="J191" s="7">
        <f t="shared" si="33"/>
        <v>1.3763947934049866E-5</v>
      </c>
      <c r="K191" s="2"/>
      <c r="L191" s="6">
        <f t="shared" si="34"/>
        <v>-10</v>
      </c>
      <c r="M191" s="2"/>
      <c r="N191" s="7">
        <f t="shared" si="35"/>
        <v>-1</v>
      </c>
      <c r="O191" s="11"/>
      <c r="P191" s="6">
        <v>44.8</v>
      </c>
      <c r="Q191" s="2"/>
      <c r="R191" s="7">
        <f t="shared" si="36"/>
        <v>5.354850717220697E-6</v>
      </c>
      <c r="S191" s="2"/>
      <c r="T191" s="6">
        <v>80</v>
      </c>
      <c r="U191" s="2"/>
      <c r="V191" s="7">
        <f t="shared" si="37"/>
        <v>8.8953220775953614E-6</v>
      </c>
      <c r="W191" s="2"/>
      <c r="X191" s="6">
        <f t="shared" si="38"/>
        <v>-35.200000000000003</v>
      </c>
      <c r="Y191" s="2"/>
      <c r="Z191" s="7">
        <f t="shared" si="39"/>
        <v>-0.44000000000000006</v>
      </c>
    </row>
    <row r="192" spans="1:26" s="27" customFormat="1" outlineLevel="1" collapsed="1" x14ac:dyDescent="0.25">
      <c r="A192" s="26"/>
      <c r="B192" s="13" t="str">
        <f>CONCATENATE("     ","Bank/card Fees                                    ")</f>
        <v xml:space="preserve">     Bank/card Fees                                    </v>
      </c>
      <c r="C192" s="13"/>
      <c r="D192" s="1">
        <f>SUM(OSRRefD22_4x_0)</f>
        <v>13910.91</v>
      </c>
      <c r="E192" s="1"/>
      <c r="F192" s="5">
        <f t="shared" ref="F192:F198" si="40">IF(D$12=0,0,D192/D$12)</f>
        <v>2.0528719097924097E-2</v>
      </c>
      <c r="G192" s="1"/>
      <c r="H192" s="1">
        <f>SUM(OSRRefH22_4x_0)</f>
        <v>14600</v>
      </c>
      <c r="I192" s="1"/>
      <c r="J192" s="5">
        <f t="shared" ref="J192:J198" si="41">IF(H$12=0,0,H192/H$12)</f>
        <v>2.0095363983712804E-2</v>
      </c>
      <c r="K192" s="1"/>
      <c r="L192" s="1">
        <f t="shared" ref="L192:L198" si="42">+D192-H192</f>
        <v>-689.09000000000015</v>
      </c>
      <c r="M192" s="1"/>
      <c r="N192" s="5">
        <f t="shared" ref="N192:N198" si="43">IF(H192=0,0,L192/H192)</f>
        <v>-4.7197945205479465E-2</v>
      </c>
      <c r="O192" s="13"/>
      <c r="P192" s="1">
        <f>SUM(OSRRefP22_4x_0)</f>
        <v>131235.68</v>
      </c>
      <c r="Q192" s="1"/>
      <c r="R192" s="5">
        <f t="shared" ref="R192:R198" si="44">IF(P$12=0,0,P192/P$12)</f>
        <v>1.5686327570824686E-2</v>
      </c>
      <c r="S192" s="1"/>
      <c r="T192" s="1">
        <f>SUM(OSRRefT22_4x_0)</f>
        <v>141985</v>
      </c>
      <c r="U192" s="1"/>
      <c r="V192" s="5">
        <f t="shared" ref="V192:V198" si="45">IF(T$12=0,0,T192/T$12)</f>
        <v>1.5787528814842217E-2</v>
      </c>
      <c r="W192" s="1"/>
      <c r="X192" s="1">
        <f t="shared" ref="X192:X198" si="46">+P192-T192</f>
        <v>-10749.320000000007</v>
      </c>
      <c r="Y192" s="1"/>
      <c r="Z192" s="5">
        <f t="shared" ref="Z192:Z198" si="47">IF(T192=0,0,X192/T192)</f>
        <v>-7.5707433883861017E-2</v>
      </c>
    </row>
    <row r="193" spans="1:26" s="24" customFormat="1" hidden="1" outlineLevel="2" x14ac:dyDescent="0.25">
      <c r="A193" s="25"/>
      <c r="B193" s="11" t="str">
        <f>CONCATENATE("          ", "6381", " - ", "BANK/CREDIT CARD FEES")</f>
        <v xml:space="preserve">          6381 - BANK/CREDIT CARD FEES</v>
      </c>
      <c r="C193" s="11"/>
      <c r="D193" s="6">
        <v>13910.91</v>
      </c>
      <c r="E193" s="2"/>
      <c r="F193" s="7">
        <f t="shared" si="40"/>
        <v>2.0528719097924097E-2</v>
      </c>
      <c r="G193" s="2"/>
      <c r="H193" s="6">
        <v>14600</v>
      </c>
      <c r="I193" s="2"/>
      <c r="J193" s="7">
        <f t="shared" si="41"/>
        <v>2.0095363983712804E-2</v>
      </c>
      <c r="K193" s="2"/>
      <c r="L193" s="6">
        <f t="shared" si="42"/>
        <v>-689.09000000000015</v>
      </c>
      <c r="M193" s="2"/>
      <c r="N193" s="7">
        <f t="shared" si="43"/>
        <v>-4.7197945205479465E-2</v>
      </c>
      <c r="O193" s="11"/>
      <c r="P193" s="6">
        <v>131235.68</v>
      </c>
      <c r="Q193" s="2"/>
      <c r="R193" s="7">
        <f t="shared" si="44"/>
        <v>1.5686327570824686E-2</v>
      </c>
      <c r="S193" s="2"/>
      <c r="T193" s="6">
        <v>141985</v>
      </c>
      <c r="U193" s="2"/>
      <c r="V193" s="7">
        <f t="shared" si="45"/>
        <v>1.5787528814842217E-2</v>
      </c>
      <c r="W193" s="2"/>
      <c r="X193" s="6">
        <f t="shared" si="46"/>
        <v>-10749.320000000007</v>
      </c>
      <c r="Y193" s="2"/>
      <c r="Z193" s="7">
        <f t="shared" si="47"/>
        <v>-7.5707433883861017E-2</v>
      </c>
    </row>
    <row r="194" spans="1:26" s="27" customFormat="1" outlineLevel="1" collapsed="1" x14ac:dyDescent="0.25">
      <c r="A194" s="26"/>
      <c r="B194" s="13" t="str">
        <f>CONCATENATE("     ","Depreciation                                      ")</f>
        <v xml:space="preserve">     Depreciation                                      </v>
      </c>
      <c r="C194" s="13"/>
      <c r="D194" s="1">
        <f>SUM(OSRRefD22_5x_0)</f>
        <v>30298.21</v>
      </c>
      <c r="E194" s="1"/>
      <c r="F194" s="5">
        <f t="shared" si="40"/>
        <v>4.4711916205331992E-2</v>
      </c>
      <c r="G194" s="1"/>
      <c r="H194" s="1">
        <f>SUM(OSRRefH22_5x_0)</f>
        <v>31271</v>
      </c>
      <c r="I194" s="1"/>
      <c r="J194" s="5">
        <f t="shared" si="41"/>
        <v>4.3041241584567333E-2</v>
      </c>
      <c r="K194" s="1"/>
      <c r="L194" s="1">
        <f t="shared" si="42"/>
        <v>-972.79000000000087</v>
      </c>
      <c r="M194" s="1"/>
      <c r="N194" s="5">
        <f t="shared" si="43"/>
        <v>-3.1108375171884521E-2</v>
      </c>
      <c r="O194" s="13"/>
      <c r="P194" s="1">
        <f>SUM(OSRRefP22_5x_0)</f>
        <v>237889.98</v>
      </c>
      <c r="Q194" s="1"/>
      <c r="R194" s="5">
        <f t="shared" si="44"/>
        <v>2.8434493973719138E-2</v>
      </c>
      <c r="S194" s="1"/>
      <c r="T194" s="1">
        <f>SUM(OSRRefT22_5x_0)</f>
        <v>244585</v>
      </c>
      <c r="U194" s="1"/>
      <c r="V194" s="5">
        <f t="shared" si="45"/>
        <v>2.7195779379358267E-2</v>
      </c>
      <c r="W194" s="1"/>
      <c r="X194" s="1">
        <f t="shared" si="46"/>
        <v>-6695.0199999999895</v>
      </c>
      <c r="Y194" s="1"/>
      <c r="Z194" s="5">
        <f t="shared" si="47"/>
        <v>-2.7372978719054683E-2</v>
      </c>
    </row>
    <row r="195" spans="1:26" s="24" customFormat="1" hidden="1" outlineLevel="2" x14ac:dyDescent="0.25">
      <c r="A195" s="25"/>
      <c r="B195" s="11" t="str">
        <f>CONCATENATE("          ", "6321", " - ", "BUILDING DEPRECIATION")</f>
        <v xml:space="preserve">          6321 - BUILDING DEPRECIATION</v>
      </c>
      <c r="C195" s="11"/>
      <c r="D195" s="6">
        <v>16396.52</v>
      </c>
      <c r="E195" s="2"/>
      <c r="F195" s="7">
        <f t="shared" si="40"/>
        <v>2.4196803319372667E-2</v>
      </c>
      <c r="G195" s="2"/>
      <c r="H195" s="6">
        <v>16397</v>
      </c>
      <c r="I195" s="2"/>
      <c r="J195" s="7">
        <f t="shared" si="41"/>
        <v>2.2568745427461564E-2</v>
      </c>
      <c r="K195" s="2"/>
      <c r="L195" s="6">
        <f t="shared" si="42"/>
        <v>-0.47999999999956344</v>
      </c>
      <c r="M195" s="2"/>
      <c r="N195" s="7">
        <f t="shared" si="43"/>
        <v>-2.927364761844017E-5</v>
      </c>
      <c r="O195" s="11"/>
      <c r="P195" s="6">
        <v>131172.16</v>
      </c>
      <c r="Q195" s="2"/>
      <c r="R195" s="7">
        <f t="shared" si="44"/>
        <v>1.5678735157486343E-2</v>
      </c>
      <c r="S195" s="2"/>
      <c r="T195" s="6">
        <v>131344</v>
      </c>
      <c r="U195" s="2"/>
      <c r="V195" s="7">
        <f t="shared" si="45"/>
        <v>1.4604339786996065E-2</v>
      </c>
      <c r="W195" s="2"/>
      <c r="X195" s="6">
        <f t="shared" si="46"/>
        <v>-171.83999999999651</v>
      </c>
      <c r="Y195" s="2"/>
      <c r="Z195" s="7">
        <f t="shared" si="47"/>
        <v>-1.3083201364355928E-3</v>
      </c>
    </row>
    <row r="196" spans="1:26" s="24" customFormat="1" hidden="1" outlineLevel="2" x14ac:dyDescent="0.25">
      <c r="A196" s="25"/>
      <c r="B196" s="11" t="str">
        <f>CONCATENATE("          ", "6322", " - ", "EQUIPMENT DEPRECIATION EXPENSE")</f>
        <v xml:space="preserve">          6322 - EQUIPMENT DEPRECIATION EXPENSE</v>
      </c>
      <c r="C196" s="11"/>
      <c r="D196" s="6">
        <v>13901.69</v>
      </c>
      <c r="E196" s="2"/>
      <c r="F196" s="7">
        <f t="shared" si="40"/>
        <v>2.0515112885959325E-2</v>
      </c>
      <c r="G196" s="2"/>
      <c r="H196" s="6">
        <v>13049</v>
      </c>
      <c r="I196" s="2"/>
      <c r="J196" s="7">
        <f t="shared" si="41"/>
        <v>1.7960575659141671E-2</v>
      </c>
      <c r="K196" s="2"/>
      <c r="L196" s="6">
        <f t="shared" si="42"/>
        <v>852.69000000000051</v>
      </c>
      <c r="M196" s="2"/>
      <c r="N196" s="7">
        <f t="shared" si="43"/>
        <v>6.5345237182925939E-2</v>
      </c>
      <c r="O196" s="11"/>
      <c r="P196" s="6">
        <v>106717.82</v>
      </c>
      <c r="Q196" s="2"/>
      <c r="R196" s="7">
        <f t="shared" si="44"/>
        <v>1.2755758816232797E-2</v>
      </c>
      <c r="S196" s="2"/>
      <c r="T196" s="6">
        <v>104392</v>
      </c>
      <c r="U196" s="2"/>
      <c r="V196" s="7">
        <f t="shared" si="45"/>
        <v>1.1607505779054186E-2</v>
      </c>
      <c r="W196" s="2"/>
      <c r="X196" s="6">
        <f t="shared" si="46"/>
        <v>2325.820000000007</v>
      </c>
      <c r="Y196" s="2"/>
      <c r="Z196" s="7">
        <f t="shared" si="47"/>
        <v>2.2279676603571223E-2</v>
      </c>
    </row>
    <row r="197" spans="1:26" s="24" customFormat="1" hidden="1" outlineLevel="2" x14ac:dyDescent="0.25">
      <c r="A197" s="25"/>
      <c r="B197" s="11" t="str">
        <f>CONCATENATE("          ", "6324", " - ", "FURNITURE + FIXT DEPRECIATION")</f>
        <v xml:space="preserve">          6324 - FURNITURE + FIXT DEPRECIATION</v>
      </c>
      <c r="C197" s="11"/>
      <c r="D197" s="6"/>
      <c r="E197" s="2"/>
      <c r="F197" s="7">
        <f t="shared" si="40"/>
        <v>0</v>
      </c>
      <c r="G197" s="2"/>
      <c r="H197" s="6">
        <v>1492</v>
      </c>
      <c r="I197" s="2"/>
      <c r="J197" s="7">
        <f t="shared" si="41"/>
        <v>2.0535810317602399E-3</v>
      </c>
      <c r="K197" s="2"/>
      <c r="L197" s="6">
        <f t="shared" si="42"/>
        <v>-1492</v>
      </c>
      <c r="M197" s="2"/>
      <c r="N197" s="7">
        <f t="shared" si="43"/>
        <v>-1</v>
      </c>
      <c r="O197" s="11"/>
      <c r="P197" s="6"/>
      <c r="Q197" s="2"/>
      <c r="R197" s="7">
        <f t="shared" si="44"/>
        <v>0</v>
      </c>
      <c r="S197" s="2"/>
      <c r="T197" s="6">
        <v>7184</v>
      </c>
      <c r="U197" s="2"/>
      <c r="V197" s="7">
        <f t="shared" si="45"/>
        <v>7.987999225680635E-4</v>
      </c>
      <c r="W197" s="2"/>
      <c r="X197" s="6">
        <f t="shared" si="46"/>
        <v>-7184</v>
      </c>
      <c r="Y197" s="2"/>
      <c r="Z197" s="7">
        <f t="shared" si="47"/>
        <v>-1</v>
      </c>
    </row>
    <row r="198" spans="1:26" s="24" customFormat="1" hidden="1" outlineLevel="2" x14ac:dyDescent="0.25">
      <c r="A198" s="25"/>
      <c r="B198" s="11" t="str">
        <f>CONCATENATE("          ", "6326", " - ", "VEHICLES DEPRECIATION EXPENSE")</f>
        <v xml:space="preserve">          6326 - VEHICLES DEPRECIATION EXPENSE</v>
      </c>
      <c r="C198" s="11"/>
      <c r="D198" s="6"/>
      <c r="E198" s="2"/>
      <c r="F198" s="7">
        <f t="shared" si="40"/>
        <v>0</v>
      </c>
      <c r="G198" s="2"/>
      <c r="H198" s="6">
        <v>333</v>
      </c>
      <c r="I198" s="2"/>
      <c r="J198" s="7">
        <f t="shared" si="41"/>
        <v>4.5833946620386055E-4</v>
      </c>
      <c r="K198" s="2"/>
      <c r="L198" s="6">
        <f t="shared" si="42"/>
        <v>-333</v>
      </c>
      <c r="M198" s="2"/>
      <c r="N198" s="7">
        <f t="shared" si="43"/>
        <v>-1</v>
      </c>
      <c r="O198" s="11"/>
      <c r="P198" s="6"/>
      <c r="Q198" s="2"/>
      <c r="R198" s="7">
        <f t="shared" si="44"/>
        <v>0</v>
      </c>
      <c r="S198" s="2"/>
      <c r="T198" s="6">
        <v>1665</v>
      </c>
      <c r="U198" s="2"/>
      <c r="V198" s="7">
        <f t="shared" si="45"/>
        <v>1.8513389073995345E-4</v>
      </c>
      <c r="W198" s="2"/>
      <c r="X198" s="6">
        <f t="shared" si="46"/>
        <v>-1665</v>
      </c>
      <c r="Y198" s="2"/>
      <c r="Z198" s="7">
        <f t="shared" si="47"/>
        <v>-1</v>
      </c>
    </row>
    <row r="199" spans="1:26" s="27" customFormat="1" outlineLevel="1" collapsed="1" x14ac:dyDescent="0.25">
      <c r="A199" s="26"/>
      <c r="B199" s="13" t="str">
        <f>CONCATENATE("     ","Discounts and Markdowns                           ")</f>
        <v xml:space="preserve">     Discounts and Markdowns                           </v>
      </c>
      <c r="C199" s="13"/>
      <c r="D199" s="1">
        <f>SUM(OSRRefD22_6x_0)</f>
        <v>34206.350000000006</v>
      </c>
      <c r="E199" s="1"/>
      <c r="F199" s="5">
        <f t="shared" ref="F199:F201" si="48">IF(D$12=0,0,D199/D$12)</f>
        <v>5.0479267748499278E-2</v>
      </c>
      <c r="G199" s="1"/>
      <c r="H199" s="1">
        <f>SUM(OSRRefH22_6x_0)</f>
        <v>27225</v>
      </c>
      <c r="I199" s="1"/>
      <c r="J199" s="5">
        <f t="shared" ref="J199:J201" si="49">IF(H$12=0,0,H199/H$12)</f>
        <v>3.747234825045076E-2</v>
      </c>
      <c r="K199" s="1"/>
      <c r="L199" s="1">
        <f t="shared" ref="L199:L201" si="50">+D199-H199</f>
        <v>6981.3500000000058</v>
      </c>
      <c r="M199" s="1"/>
      <c r="N199" s="5">
        <f t="shared" ref="N199:N201" si="51">IF(H199=0,0,L199/H199)</f>
        <v>0.25643158861340704</v>
      </c>
      <c r="O199" s="13"/>
      <c r="P199" s="1">
        <f>SUM(OSRRefP22_6x_0)</f>
        <v>258867.04</v>
      </c>
      <c r="Q199" s="1"/>
      <c r="R199" s="5">
        <f t="shared" ref="R199:R201" si="52">IF(P$12=0,0,P199/P$12)</f>
        <v>3.0941838276982121E-2</v>
      </c>
      <c r="S199" s="1"/>
      <c r="T199" s="1">
        <f>SUM(OSRRefT22_6x_0)</f>
        <v>256700.00000000003</v>
      </c>
      <c r="U199" s="1"/>
      <c r="V199" s="5">
        <f t="shared" ref="V199:V201" si="53">IF(T$12=0,0,T199/T$12)</f>
        <v>2.854286471648412E-2</v>
      </c>
      <c r="W199" s="1"/>
      <c r="X199" s="1">
        <f t="shared" ref="X199:X201" si="54">+P199-T199</f>
        <v>2167.039999999979</v>
      </c>
      <c r="Y199" s="1"/>
      <c r="Z199" s="5">
        <f t="shared" ref="Z199:Z201" si="55">IF(T199=0,0,X199/T199)</f>
        <v>8.441916634203267E-3</v>
      </c>
    </row>
    <row r="200" spans="1:26" s="24" customFormat="1" hidden="1" outlineLevel="2" x14ac:dyDescent="0.25">
      <c r="A200" s="25"/>
      <c r="B200" s="11" t="str">
        <f>CONCATENATE("          ", "6382", " - ", "DISCOUNTS/MARK DOWNS")</f>
        <v xml:space="preserve">          6382 - DISCOUNTS/MARK DOWNS</v>
      </c>
      <c r="C200" s="11"/>
      <c r="D200" s="6">
        <v>34395.120000000003</v>
      </c>
      <c r="E200" s="2"/>
      <c r="F200" s="7">
        <f t="shared" si="48"/>
        <v>5.0757840919062172E-2</v>
      </c>
      <c r="G200" s="2"/>
      <c r="H200" s="6">
        <v>27225</v>
      </c>
      <c r="I200" s="2"/>
      <c r="J200" s="7">
        <f t="shared" si="49"/>
        <v>3.747234825045076E-2</v>
      </c>
      <c r="K200" s="2"/>
      <c r="L200" s="6">
        <f t="shared" si="50"/>
        <v>7170.1200000000026</v>
      </c>
      <c r="M200" s="2"/>
      <c r="N200" s="7">
        <f t="shared" si="51"/>
        <v>0.26336528925619845</v>
      </c>
      <c r="O200" s="11"/>
      <c r="P200" s="6">
        <v>261962.81</v>
      </c>
      <c r="Q200" s="2"/>
      <c r="R200" s="7">
        <f t="shared" si="52"/>
        <v>3.1311869219054669E-2</v>
      </c>
      <c r="S200" s="2"/>
      <c r="T200" s="6">
        <v>256700.00000000003</v>
      </c>
      <c r="U200" s="2"/>
      <c r="V200" s="7">
        <f t="shared" si="53"/>
        <v>2.854286471648412E-2</v>
      </c>
      <c r="W200" s="2"/>
      <c r="X200" s="6">
        <f t="shared" si="54"/>
        <v>5262.8099999999686</v>
      </c>
      <c r="Y200" s="2"/>
      <c r="Z200" s="7">
        <f t="shared" si="55"/>
        <v>2.0501791975068049E-2</v>
      </c>
    </row>
    <row r="201" spans="1:26" s="24" customFormat="1" hidden="1" outlineLevel="2" x14ac:dyDescent="0.25">
      <c r="A201" s="25"/>
      <c r="B201" s="11" t="str">
        <f>CONCATENATE("          ", "9175", " - ", "EARNED DISCOUNTS")</f>
        <v xml:space="preserve">          9175 - EARNED DISCOUNTS</v>
      </c>
      <c r="C201" s="11"/>
      <c r="D201" s="6">
        <v>-188.77</v>
      </c>
      <c r="E201" s="2"/>
      <c r="F201" s="7">
        <f t="shared" si="48"/>
        <v>-2.7857317056289861E-4</v>
      </c>
      <c r="G201" s="2"/>
      <c r="H201" s="6"/>
      <c r="I201" s="2"/>
      <c r="J201" s="7">
        <f t="shared" si="49"/>
        <v>0</v>
      </c>
      <c r="K201" s="2"/>
      <c r="L201" s="6">
        <f t="shared" si="50"/>
        <v>-188.77</v>
      </c>
      <c r="M201" s="2"/>
      <c r="N201" s="7">
        <f t="shared" si="51"/>
        <v>0</v>
      </c>
      <c r="O201" s="11"/>
      <c r="P201" s="6">
        <v>-3095.77</v>
      </c>
      <c r="Q201" s="2"/>
      <c r="R201" s="7">
        <f t="shared" si="52"/>
        <v>-3.7003094207255173E-4</v>
      </c>
      <c r="S201" s="2"/>
      <c r="T201" s="6"/>
      <c r="U201" s="2"/>
      <c r="V201" s="7">
        <f t="shared" si="53"/>
        <v>0</v>
      </c>
      <c r="W201" s="2"/>
      <c r="X201" s="6">
        <f t="shared" si="54"/>
        <v>-3095.77</v>
      </c>
      <c r="Y201" s="2"/>
      <c r="Z201" s="7">
        <f t="shared" si="55"/>
        <v>0</v>
      </c>
    </row>
    <row r="202" spans="1:26" s="27" customFormat="1" outlineLevel="1" collapsed="1" x14ac:dyDescent="0.25">
      <c r="A202" s="26"/>
      <c r="B202" s="13" t="str">
        <f>CONCATENATE("     ","Donations                                         ")</f>
        <v xml:space="preserve">     Donations                                         </v>
      </c>
      <c r="C202" s="13"/>
      <c r="D202" s="1">
        <f>SUM(OSRRefD22_7x_0)</f>
        <v>1804</v>
      </c>
      <c r="E202" s="1"/>
      <c r="F202" s="5">
        <f t="shared" ref="F202:F204" si="56">IF(D$12=0,0,D202/D$12)</f>
        <v>2.6622132738012877E-3</v>
      </c>
      <c r="G202" s="1"/>
      <c r="H202" s="1">
        <f>SUM(OSRRefH22_7x_0)</f>
        <v>1025</v>
      </c>
      <c r="I202" s="1"/>
      <c r="J202" s="5">
        <f t="shared" ref="J202:J204" si="57">IF(H$12=0,0,H202/H$12)</f>
        <v>1.4108046632401114E-3</v>
      </c>
      <c r="K202" s="1"/>
      <c r="L202" s="1">
        <f t="shared" ref="L202:L204" si="58">+D202-H202</f>
        <v>779</v>
      </c>
      <c r="M202" s="1"/>
      <c r="N202" s="5">
        <f t="shared" ref="N202:N204" si="59">IF(H202=0,0,L202/H202)</f>
        <v>0.76</v>
      </c>
      <c r="O202" s="13"/>
      <c r="P202" s="1">
        <f>SUM(OSRRefP22_7x_0)</f>
        <v>11602.22</v>
      </c>
      <c r="Q202" s="1"/>
      <c r="R202" s="5">
        <f t="shared" ref="R202:R204" si="60">IF(P$12=0,0,P202/P$12)</f>
        <v>1.3867891984007214E-3</v>
      </c>
      <c r="S202" s="1"/>
      <c r="T202" s="1">
        <f>SUM(OSRRefT22_7x_0)</f>
        <v>8275</v>
      </c>
      <c r="U202" s="1"/>
      <c r="V202" s="5">
        <f t="shared" ref="V202:V204" si="61">IF(T$12=0,0,T202/T$12)</f>
        <v>9.2010987740127025E-4</v>
      </c>
      <c r="W202" s="1"/>
      <c r="X202" s="1">
        <f t="shared" ref="X202:X204" si="62">+P202-T202</f>
        <v>3327.2199999999993</v>
      </c>
      <c r="Y202" s="1"/>
      <c r="Z202" s="5">
        <f t="shared" ref="Z202:Z204" si="63">IF(T202=0,0,X202/T202)</f>
        <v>0.40208096676737154</v>
      </c>
    </row>
    <row r="203" spans="1:26" s="24" customFormat="1" hidden="1" outlineLevel="2" x14ac:dyDescent="0.25">
      <c r="A203" s="25"/>
      <c r="B203" s="11" t="str">
        <f>CONCATENATE("          ", "6395", " - ", "DONATION-OFF CAMPUS")</f>
        <v xml:space="preserve">          6395 - DONATION-OFF CAMPUS</v>
      </c>
      <c r="C203" s="11"/>
      <c r="D203" s="6"/>
      <c r="E203" s="2"/>
      <c r="F203" s="7">
        <f t="shared" si="56"/>
        <v>0</v>
      </c>
      <c r="G203" s="2"/>
      <c r="H203" s="6">
        <v>1025</v>
      </c>
      <c r="I203" s="2"/>
      <c r="J203" s="7">
        <f t="shared" si="57"/>
        <v>1.4108046632401114E-3</v>
      </c>
      <c r="K203" s="2"/>
      <c r="L203" s="6">
        <f t="shared" si="58"/>
        <v>-1025</v>
      </c>
      <c r="M203" s="2"/>
      <c r="N203" s="7">
        <f t="shared" si="59"/>
        <v>-1</v>
      </c>
      <c r="O203" s="11"/>
      <c r="P203" s="6"/>
      <c r="Q203" s="2"/>
      <c r="R203" s="7">
        <f t="shared" si="60"/>
        <v>0</v>
      </c>
      <c r="S203" s="2"/>
      <c r="T203" s="6">
        <v>8275</v>
      </c>
      <c r="U203" s="2"/>
      <c r="V203" s="7">
        <f t="shared" si="61"/>
        <v>9.2010987740127025E-4</v>
      </c>
      <c r="W203" s="2"/>
      <c r="X203" s="6">
        <f t="shared" si="62"/>
        <v>-8275</v>
      </c>
      <c r="Y203" s="2"/>
      <c r="Z203" s="7">
        <f t="shared" si="63"/>
        <v>-1</v>
      </c>
    </row>
    <row r="204" spans="1:26" s="24" customFormat="1" hidden="1" outlineLevel="2" x14ac:dyDescent="0.25">
      <c r="A204" s="25"/>
      <c r="B204" s="11" t="str">
        <f>CONCATENATE("          ", "6399", " - ", "DONATION-ON CAMPUS")</f>
        <v xml:space="preserve">          6399 - DONATION-ON CAMPUS</v>
      </c>
      <c r="C204" s="11"/>
      <c r="D204" s="6">
        <v>1804</v>
      </c>
      <c r="E204" s="2"/>
      <c r="F204" s="7">
        <f t="shared" si="56"/>
        <v>2.6622132738012877E-3</v>
      </c>
      <c r="G204" s="2"/>
      <c r="H204" s="6"/>
      <c r="I204" s="2"/>
      <c r="J204" s="7">
        <f t="shared" si="57"/>
        <v>0</v>
      </c>
      <c r="K204" s="2"/>
      <c r="L204" s="6">
        <f t="shared" si="58"/>
        <v>1804</v>
      </c>
      <c r="M204" s="2"/>
      <c r="N204" s="7">
        <f t="shared" si="59"/>
        <v>0</v>
      </c>
      <c r="O204" s="11"/>
      <c r="P204" s="6">
        <v>11602.22</v>
      </c>
      <c r="Q204" s="2"/>
      <c r="R204" s="7">
        <f t="shared" si="60"/>
        <v>1.3867891984007214E-3</v>
      </c>
      <c r="S204" s="2"/>
      <c r="T204" s="6"/>
      <c r="U204" s="2"/>
      <c r="V204" s="7">
        <f t="shared" si="61"/>
        <v>0</v>
      </c>
      <c r="W204" s="2"/>
      <c r="X204" s="6">
        <f t="shared" si="62"/>
        <v>11602.22</v>
      </c>
      <c r="Y204" s="2"/>
      <c r="Z204" s="7">
        <f t="shared" si="63"/>
        <v>0</v>
      </c>
    </row>
    <row r="205" spans="1:26" s="27" customFormat="1" outlineLevel="1" collapsed="1" x14ac:dyDescent="0.25">
      <c r="A205" s="26"/>
      <c r="B205" s="13" t="str">
        <f>CONCATENATE("     ","Employees' Appreciation                           ")</f>
        <v xml:space="preserve">     Employees' Appreciation                           </v>
      </c>
      <c r="C205" s="13"/>
      <c r="D205" s="1">
        <f>SUM(OSRRefD22_8x_0)</f>
        <v>90.54</v>
      </c>
      <c r="E205" s="1"/>
      <c r="F205" s="5">
        <f t="shared" ref="F205:F211" si="64">IF(D$12=0,0,D205/D$12)</f>
        <v>1.3361241120286507E-4</v>
      </c>
      <c r="G205" s="1"/>
      <c r="H205" s="1">
        <f>SUM(OSRRefH22_8x_0)</f>
        <v>700</v>
      </c>
      <c r="I205" s="1"/>
      <c r="J205" s="5">
        <f t="shared" ref="J205:J211" si="65">IF(H$12=0,0,H205/H$12)</f>
        <v>9.6347635538349065E-4</v>
      </c>
      <c r="K205" s="1"/>
      <c r="L205" s="1">
        <f t="shared" ref="L205:L211" si="66">+D205-H205</f>
        <v>-609.46</v>
      </c>
      <c r="M205" s="1"/>
      <c r="N205" s="5">
        <f t="shared" ref="N205:N211" si="67">IF(H205=0,0,L205/H205)</f>
        <v>-0.87065714285714291</v>
      </c>
      <c r="O205" s="13"/>
      <c r="P205" s="1">
        <f>SUM(OSRRefP22_8x_0)</f>
        <v>1284.58</v>
      </c>
      <c r="Q205" s="1"/>
      <c r="R205" s="5">
        <f t="shared" ref="R205:R211" si="68">IF(P$12=0,0,P205/P$12)</f>
        <v>1.5354317264123577E-4</v>
      </c>
      <c r="S205" s="1"/>
      <c r="T205" s="1">
        <f>SUM(OSRRefT22_8x_0)</f>
        <v>5775</v>
      </c>
      <c r="U205" s="1"/>
      <c r="V205" s="5">
        <f t="shared" ref="V205:V211" si="69">IF(T$12=0,0,T205/T$12)</f>
        <v>6.421310624764152E-4</v>
      </c>
      <c r="W205" s="1"/>
      <c r="X205" s="1">
        <f t="shared" ref="X205:X211" si="70">+P205-T205</f>
        <v>-4490.42</v>
      </c>
      <c r="Y205" s="1"/>
      <c r="Z205" s="5">
        <f t="shared" ref="Z205:Z211" si="71">IF(T205=0,0,X205/T205)</f>
        <v>-0.77756190476190479</v>
      </c>
    </row>
    <row r="206" spans="1:26" s="24" customFormat="1" hidden="1" outlineLevel="2" x14ac:dyDescent="0.25">
      <c r="A206" s="25"/>
      <c r="B206" s="11" t="str">
        <f>CONCATENATE("          ", "6277", " - ", "EMPLOYEE APPRECIATION")</f>
        <v xml:space="preserve">          6277 - EMPLOYEE APPRECIATION</v>
      </c>
      <c r="C206" s="11"/>
      <c r="D206" s="6">
        <v>90.54</v>
      </c>
      <c r="E206" s="2"/>
      <c r="F206" s="7">
        <f t="shared" si="64"/>
        <v>1.3361241120286507E-4</v>
      </c>
      <c r="G206" s="2"/>
      <c r="H206" s="6">
        <v>700</v>
      </c>
      <c r="I206" s="2"/>
      <c r="J206" s="7">
        <f t="shared" si="65"/>
        <v>9.6347635538349065E-4</v>
      </c>
      <c r="K206" s="2"/>
      <c r="L206" s="6">
        <f t="shared" si="66"/>
        <v>-609.46</v>
      </c>
      <c r="M206" s="2"/>
      <c r="N206" s="7">
        <f t="shared" si="67"/>
        <v>-0.87065714285714291</v>
      </c>
      <c r="O206" s="11"/>
      <c r="P206" s="6">
        <v>1284.58</v>
      </c>
      <c r="Q206" s="2"/>
      <c r="R206" s="7">
        <f t="shared" si="68"/>
        <v>1.5354317264123577E-4</v>
      </c>
      <c r="S206" s="2"/>
      <c r="T206" s="6">
        <v>5775</v>
      </c>
      <c r="U206" s="2"/>
      <c r="V206" s="7">
        <f t="shared" si="69"/>
        <v>6.421310624764152E-4</v>
      </c>
      <c r="W206" s="2"/>
      <c r="X206" s="6">
        <f t="shared" si="70"/>
        <v>-4490.42</v>
      </c>
      <c r="Y206" s="2"/>
      <c r="Z206" s="7">
        <f t="shared" si="71"/>
        <v>-0.77756190476190479</v>
      </c>
    </row>
    <row r="207" spans="1:26" s="27" customFormat="1" outlineLevel="1" collapsed="1" x14ac:dyDescent="0.25">
      <c r="A207" s="26"/>
      <c r="B207" s="13" t="str">
        <f>CONCATENATE("     ","Equipment Rental                                  ")</f>
        <v xml:space="preserve">     Equipment Rental                                  </v>
      </c>
      <c r="C207" s="13"/>
      <c r="D207" s="1">
        <f>SUM(OSRRefD22_9x_0)</f>
        <v>1388.16</v>
      </c>
      <c r="E207" s="1"/>
      <c r="F207" s="5">
        <f t="shared" si="64"/>
        <v>2.0485465510864721E-3</v>
      </c>
      <c r="G207" s="1"/>
      <c r="H207" s="1">
        <f>SUM(OSRRefH22_9x_0)</f>
        <v>3225</v>
      </c>
      <c r="I207" s="1"/>
      <c r="J207" s="5">
        <f t="shared" si="65"/>
        <v>4.4388732087310822E-3</v>
      </c>
      <c r="K207" s="1"/>
      <c r="L207" s="1">
        <f t="shared" si="66"/>
        <v>-1836.84</v>
      </c>
      <c r="M207" s="1"/>
      <c r="N207" s="5">
        <f t="shared" si="67"/>
        <v>-0.56956279069767435</v>
      </c>
      <c r="O207" s="13"/>
      <c r="P207" s="1">
        <f>SUM(OSRRefP22_9x_0)</f>
        <v>13866.46</v>
      </c>
      <c r="Q207" s="1"/>
      <c r="R207" s="5">
        <f t="shared" si="68"/>
        <v>1.6574290909891095E-3</v>
      </c>
      <c r="S207" s="1"/>
      <c r="T207" s="1">
        <f>SUM(OSRRefT22_9x_0)</f>
        <v>25800</v>
      </c>
      <c r="U207" s="1"/>
      <c r="V207" s="5">
        <f t="shared" si="69"/>
        <v>2.8687413700245043E-3</v>
      </c>
      <c r="W207" s="1"/>
      <c r="X207" s="1">
        <f t="shared" si="70"/>
        <v>-11933.54</v>
      </c>
      <c r="Y207" s="1"/>
      <c r="Z207" s="5">
        <f t="shared" si="71"/>
        <v>-0.46254031007751939</v>
      </c>
    </row>
    <row r="208" spans="1:26" s="24" customFormat="1" hidden="1" outlineLevel="2" x14ac:dyDescent="0.25">
      <c r="A208" s="25"/>
      <c r="B208" s="11" t="str">
        <f>CONCATENATE("          ", "6351", " - ", "EQUIPMENT RENTAL")</f>
        <v xml:space="preserve">          6351 - EQUIPMENT RENTAL</v>
      </c>
      <c r="C208" s="11"/>
      <c r="D208" s="6">
        <v>1388.16</v>
      </c>
      <c r="E208" s="2"/>
      <c r="F208" s="7">
        <f t="shared" si="64"/>
        <v>2.0485465510864721E-3</v>
      </c>
      <c r="G208" s="2"/>
      <c r="H208" s="6">
        <v>3225</v>
      </c>
      <c r="I208" s="2"/>
      <c r="J208" s="7">
        <f t="shared" si="65"/>
        <v>4.4388732087310822E-3</v>
      </c>
      <c r="K208" s="2"/>
      <c r="L208" s="6">
        <f t="shared" si="66"/>
        <v>-1836.84</v>
      </c>
      <c r="M208" s="2"/>
      <c r="N208" s="7">
        <f t="shared" si="67"/>
        <v>-0.56956279069767435</v>
      </c>
      <c r="O208" s="11"/>
      <c r="P208" s="6">
        <v>13866.46</v>
      </c>
      <c r="Q208" s="2"/>
      <c r="R208" s="7">
        <f t="shared" si="68"/>
        <v>1.6574290909891095E-3</v>
      </c>
      <c r="S208" s="2"/>
      <c r="T208" s="6">
        <v>25800</v>
      </c>
      <c r="U208" s="2"/>
      <c r="V208" s="7">
        <f t="shared" si="69"/>
        <v>2.8687413700245043E-3</v>
      </c>
      <c r="W208" s="2"/>
      <c r="X208" s="6">
        <f t="shared" si="70"/>
        <v>-11933.54</v>
      </c>
      <c r="Y208" s="2"/>
      <c r="Z208" s="7">
        <f t="shared" si="71"/>
        <v>-0.46254031007751939</v>
      </c>
    </row>
    <row r="209" spans="1:26" s="27" customFormat="1" outlineLevel="1" collapsed="1" x14ac:dyDescent="0.25">
      <c r="A209" s="26"/>
      <c r="B209" s="13" t="str">
        <f>CONCATENATE("     ","Freight out/Postage                               ")</f>
        <v xml:space="preserve">     Freight out/Postage                               </v>
      </c>
      <c r="C209" s="13"/>
      <c r="D209" s="1">
        <f>SUM(OSRRefD22_10x_0)</f>
        <v>5419.8700000000008</v>
      </c>
      <c r="E209" s="1"/>
      <c r="F209" s="5">
        <f t="shared" si="64"/>
        <v>7.9982538005972208E-3</v>
      </c>
      <c r="G209" s="1"/>
      <c r="H209" s="1">
        <f>SUM(OSRRefH22_10x_0)</f>
        <v>-1210</v>
      </c>
      <c r="I209" s="1"/>
      <c r="J209" s="5">
        <f t="shared" si="65"/>
        <v>-1.6654377000200338E-3</v>
      </c>
      <c r="K209" s="1"/>
      <c r="L209" s="1">
        <f t="shared" si="66"/>
        <v>6629.8700000000008</v>
      </c>
      <c r="M209" s="1"/>
      <c r="N209" s="5">
        <f t="shared" si="67"/>
        <v>-5.4792314049586786</v>
      </c>
      <c r="O209" s="13"/>
      <c r="P209" s="1">
        <f>SUM(OSRRefP22_10x_0)</f>
        <v>-1237.8300000000017</v>
      </c>
      <c r="Q209" s="1"/>
      <c r="R209" s="5">
        <f t="shared" si="68"/>
        <v>-1.4795524248431484E-4</v>
      </c>
      <c r="S209" s="1"/>
      <c r="T209" s="1">
        <f>SUM(OSRRefT22_10x_0)</f>
        <v>-54380</v>
      </c>
      <c r="U209" s="1"/>
      <c r="V209" s="5">
        <f t="shared" si="69"/>
        <v>-6.0465951822454471E-3</v>
      </c>
      <c r="W209" s="1"/>
      <c r="X209" s="1">
        <f t="shared" si="70"/>
        <v>53142.17</v>
      </c>
      <c r="Y209" s="1"/>
      <c r="Z209" s="5">
        <f t="shared" si="71"/>
        <v>-0.97723740345715338</v>
      </c>
    </row>
    <row r="210" spans="1:26" s="24" customFormat="1" hidden="1" outlineLevel="2" x14ac:dyDescent="0.25">
      <c r="A210" s="25"/>
      <c r="B210" s="11" t="str">
        <f>CONCATENATE("          ", "6305", " - ", "FREIGHT OUT")</f>
        <v xml:space="preserve">          6305 - FREIGHT OUT</v>
      </c>
      <c r="C210" s="11"/>
      <c r="D210" s="6">
        <v>8964.69</v>
      </c>
      <c r="E210" s="2"/>
      <c r="F210" s="7">
        <f t="shared" si="64"/>
        <v>1.3229443854497598E-2</v>
      </c>
      <c r="G210" s="2"/>
      <c r="H210" s="6">
        <v>-1250</v>
      </c>
      <c r="I210" s="2"/>
      <c r="J210" s="7">
        <f t="shared" si="65"/>
        <v>-1.7204934917562332E-3</v>
      </c>
      <c r="K210" s="2"/>
      <c r="L210" s="6">
        <f t="shared" si="66"/>
        <v>10214.69</v>
      </c>
      <c r="M210" s="2"/>
      <c r="N210" s="7">
        <f t="shared" si="67"/>
        <v>-8.1717519999999997</v>
      </c>
      <c r="O210" s="11"/>
      <c r="P210" s="6">
        <v>45984.800000000003</v>
      </c>
      <c r="Q210" s="2"/>
      <c r="R210" s="7">
        <f t="shared" si="68"/>
        <v>5.4964673942243377E-3</v>
      </c>
      <c r="S210" s="2"/>
      <c r="T210" s="6">
        <v>-54700</v>
      </c>
      <c r="U210" s="2"/>
      <c r="V210" s="7">
        <f t="shared" si="69"/>
        <v>-6.0821764705558286E-3</v>
      </c>
      <c r="W210" s="2"/>
      <c r="X210" s="6">
        <f t="shared" si="70"/>
        <v>100684.8</v>
      </c>
      <c r="Y210" s="2"/>
      <c r="Z210" s="7">
        <f t="shared" si="71"/>
        <v>-1.8406727605118831</v>
      </c>
    </row>
    <row r="211" spans="1:26" s="24" customFormat="1" hidden="1" outlineLevel="2" x14ac:dyDescent="0.25">
      <c r="A211" s="25"/>
      <c r="B211" s="11" t="str">
        <f>CONCATENATE("          ", "6307", " - ", "POSTAGE")</f>
        <v xml:space="preserve">          6307 - POSTAGE</v>
      </c>
      <c r="C211" s="11"/>
      <c r="D211" s="6">
        <v>-3544.82</v>
      </c>
      <c r="E211" s="2"/>
      <c r="F211" s="7">
        <f t="shared" si="64"/>
        <v>-5.2311900539003774E-3</v>
      </c>
      <c r="G211" s="2"/>
      <c r="H211" s="6">
        <v>40</v>
      </c>
      <c r="I211" s="2"/>
      <c r="J211" s="7">
        <f t="shared" si="65"/>
        <v>5.5055791736199463E-5</v>
      </c>
      <c r="K211" s="2"/>
      <c r="L211" s="6">
        <f t="shared" si="66"/>
        <v>-3584.82</v>
      </c>
      <c r="M211" s="2"/>
      <c r="N211" s="7">
        <f t="shared" si="67"/>
        <v>-89.620500000000007</v>
      </c>
      <c r="O211" s="11"/>
      <c r="P211" s="6">
        <v>-47222.630000000005</v>
      </c>
      <c r="Q211" s="2"/>
      <c r="R211" s="7">
        <f t="shared" si="68"/>
        <v>-5.6444226367086524E-3</v>
      </c>
      <c r="S211" s="2"/>
      <c r="T211" s="6">
        <v>320</v>
      </c>
      <c r="U211" s="2"/>
      <c r="V211" s="7">
        <f t="shared" si="69"/>
        <v>3.5581288310381446E-5</v>
      </c>
      <c r="W211" s="2"/>
      <c r="X211" s="6">
        <f t="shared" si="70"/>
        <v>-47542.630000000005</v>
      </c>
      <c r="Y211" s="2"/>
      <c r="Z211" s="7">
        <f t="shared" si="71"/>
        <v>-148.57071875000003</v>
      </c>
    </row>
    <row r="212" spans="1:26" s="27" customFormat="1" outlineLevel="1" collapsed="1" x14ac:dyDescent="0.25">
      <c r="A212" s="26"/>
      <c r="B212" s="13" t="str">
        <f>CONCATENATE("     ","General                                           ")</f>
        <v xml:space="preserve">     General                                           </v>
      </c>
      <c r="C212" s="13"/>
      <c r="D212" s="1">
        <f>SUM(OSRRefD22_11x_0)</f>
        <v>0</v>
      </c>
      <c r="E212" s="1"/>
      <c r="F212" s="5">
        <f t="shared" ref="F212:F226" si="72">IF(D$12=0,0,D212/D$12)</f>
        <v>0</v>
      </c>
      <c r="G212" s="1"/>
      <c r="H212" s="1">
        <f>SUM(OSRRefH22_11x_0)</f>
        <v>480</v>
      </c>
      <c r="I212" s="1"/>
      <c r="J212" s="5">
        <f t="shared" ref="J212:J226" si="73">IF(H$12=0,0,H212/H$12)</f>
        <v>6.6066950083439361E-4</v>
      </c>
      <c r="K212" s="1"/>
      <c r="L212" s="1">
        <f t="shared" ref="L212:L226" si="74">+D212-H212</f>
        <v>-480</v>
      </c>
      <c r="M212" s="1"/>
      <c r="N212" s="5">
        <f t="shared" ref="N212:N226" si="75">IF(H212=0,0,L212/H212)</f>
        <v>-1</v>
      </c>
      <c r="O212" s="13"/>
      <c r="P212" s="1">
        <f>SUM(OSRRefP22_11x_0)</f>
        <v>-1031.5899999999999</v>
      </c>
      <c r="Q212" s="1"/>
      <c r="R212" s="5">
        <f t="shared" ref="R212:R226" si="76">IF(P$12=0,0,P212/P$12)</f>
        <v>-1.2330380471825219E-4</v>
      </c>
      <c r="S212" s="1"/>
      <c r="T212" s="1">
        <f>SUM(OSRRefT22_11x_0)</f>
        <v>18605</v>
      </c>
      <c r="U212" s="1"/>
      <c r="V212" s="5">
        <f t="shared" ref="V212:V226" si="77">IF(T$12=0,0,T212/T$12)</f>
        <v>2.0687183406707713E-3</v>
      </c>
      <c r="W212" s="1"/>
      <c r="X212" s="1">
        <f t="shared" ref="X212:X226" si="78">+P212-T212</f>
        <v>-19636.59</v>
      </c>
      <c r="Y212" s="1"/>
      <c r="Z212" s="5">
        <f t="shared" ref="Z212:Z226" si="79">IF(T212=0,0,X212/T212)</f>
        <v>-1.0554469228701961</v>
      </c>
    </row>
    <row r="213" spans="1:26" s="24" customFormat="1" hidden="1" outlineLevel="2" x14ac:dyDescent="0.25">
      <c r="A213" s="25"/>
      <c r="B213" s="11" t="str">
        <f>CONCATENATE("          ", "6279", " - ", "GENERAL EXPENSE")</f>
        <v xml:space="preserve">          6279 - GENERAL EXPENSE</v>
      </c>
      <c r="C213" s="11"/>
      <c r="D213" s="6"/>
      <c r="E213" s="2"/>
      <c r="F213" s="7">
        <f t="shared" si="72"/>
        <v>0</v>
      </c>
      <c r="G213" s="2"/>
      <c r="H213" s="6">
        <v>480</v>
      </c>
      <c r="I213" s="2"/>
      <c r="J213" s="7">
        <f t="shared" si="73"/>
        <v>6.6066950083439361E-4</v>
      </c>
      <c r="K213" s="2"/>
      <c r="L213" s="6">
        <f t="shared" si="74"/>
        <v>-480</v>
      </c>
      <c r="M213" s="2"/>
      <c r="N213" s="7">
        <f t="shared" si="75"/>
        <v>-1</v>
      </c>
      <c r="O213" s="11"/>
      <c r="P213" s="6">
        <v>-1031.5899999999999</v>
      </c>
      <c r="Q213" s="2"/>
      <c r="R213" s="7">
        <f t="shared" si="76"/>
        <v>-1.2330380471825219E-4</v>
      </c>
      <c r="S213" s="2"/>
      <c r="T213" s="6">
        <v>18605</v>
      </c>
      <c r="U213" s="2"/>
      <c r="V213" s="7">
        <f t="shared" si="77"/>
        <v>2.0687183406707713E-3</v>
      </c>
      <c r="W213" s="2"/>
      <c r="X213" s="6">
        <f t="shared" si="78"/>
        <v>-19636.59</v>
      </c>
      <c r="Y213" s="2"/>
      <c r="Z213" s="7">
        <f t="shared" si="79"/>
        <v>-1.0554469228701961</v>
      </c>
    </row>
    <row r="214" spans="1:26" s="27" customFormat="1" outlineLevel="1" collapsed="1" x14ac:dyDescent="0.25">
      <c r="A214" s="26"/>
      <c r="B214" s="13" t="str">
        <f>CONCATENATE("     ","Insurance                                         ")</f>
        <v xml:space="preserve">     Insurance                                         </v>
      </c>
      <c r="C214" s="13"/>
      <c r="D214" s="1">
        <f>SUM(OSRRefD22_12x_0)</f>
        <v>4044.74</v>
      </c>
      <c r="E214" s="1"/>
      <c r="F214" s="5">
        <f t="shared" si="72"/>
        <v>5.9689359850748445E-3</v>
      </c>
      <c r="G214" s="1"/>
      <c r="H214" s="1">
        <f>SUM(OSRRefH22_12x_0)</f>
        <v>3815</v>
      </c>
      <c r="I214" s="1"/>
      <c r="J214" s="5">
        <f t="shared" si="73"/>
        <v>5.2509461368400239E-3</v>
      </c>
      <c r="K214" s="1"/>
      <c r="L214" s="1">
        <f t="shared" si="74"/>
        <v>229.73999999999978</v>
      </c>
      <c r="M214" s="1"/>
      <c r="N214" s="5">
        <f t="shared" si="75"/>
        <v>6.0220183486238477E-2</v>
      </c>
      <c r="O214" s="13"/>
      <c r="P214" s="1">
        <f>SUM(OSRRefP22_12x_0)</f>
        <v>32357.919999999998</v>
      </c>
      <c r="Q214" s="1"/>
      <c r="R214" s="5">
        <f t="shared" si="76"/>
        <v>3.8676748017805792E-3</v>
      </c>
      <c r="S214" s="1"/>
      <c r="T214" s="1">
        <f>SUM(OSRRefT22_12x_0)</f>
        <v>30520</v>
      </c>
      <c r="U214" s="1"/>
      <c r="V214" s="5">
        <f t="shared" si="77"/>
        <v>3.3935653726026305E-3</v>
      </c>
      <c r="W214" s="1"/>
      <c r="X214" s="1">
        <f t="shared" si="78"/>
        <v>1837.9199999999983</v>
      </c>
      <c r="Y214" s="1"/>
      <c r="Z214" s="5">
        <f t="shared" si="79"/>
        <v>6.0220183486238477E-2</v>
      </c>
    </row>
    <row r="215" spans="1:26" s="24" customFormat="1" hidden="1" outlineLevel="2" x14ac:dyDescent="0.25">
      <c r="A215" s="25"/>
      <c r="B215" s="11" t="str">
        <f>CONCATENATE("          ", "6314", " - ", "LIABILITY INSURANCE")</f>
        <v xml:space="preserve">          6314 - LIABILITY INSURANCE</v>
      </c>
      <c r="C215" s="11"/>
      <c r="D215" s="6">
        <v>4044.74</v>
      </c>
      <c r="E215" s="2"/>
      <c r="F215" s="7">
        <f t="shared" si="72"/>
        <v>5.9689359850748445E-3</v>
      </c>
      <c r="G215" s="2"/>
      <c r="H215" s="6">
        <v>3815</v>
      </c>
      <c r="I215" s="2"/>
      <c r="J215" s="7">
        <f t="shared" si="73"/>
        <v>5.2509461368400239E-3</v>
      </c>
      <c r="K215" s="2"/>
      <c r="L215" s="6">
        <f t="shared" si="74"/>
        <v>229.73999999999978</v>
      </c>
      <c r="M215" s="2"/>
      <c r="N215" s="7">
        <f t="shared" si="75"/>
        <v>6.0220183486238477E-2</v>
      </c>
      <c r="O215" s="11"/>
      <c r="P215" s="6">
        <v>32357.919999999998</v>
      </c>
      <c r="Q215" s="2"/>
      <c r="R215" s="7">
        <f t="shared" si="76"/>
        <v>3.8676748017805792E-3</v>
      </c>
      <c r="S215" s="2"/>
      <c r="T215" s="6">
        <v>30520</v>
      </c>
      <c r="U215" s="2"/>
      <c r="V215" s="7">
        <f t="shared" si="77"/>
        <v>3.3935653726026305E-3</v>
      </c>
      <c r="W215" s="2"/>
      <c r="X215" s="6">
        <f t="shared" si="78"/>
        <v>1837.9199999999983</v>
      </c>
      <c r="Y215" s="2"/>
      <c r="Z215" s="7">
        <f t="shared" si="79"/>
        <v>6.0220183486238477E-2</v>
      </c>
    </row>
    <row r="216" spans="1:26" s="27" customFormat="1" outlineLevel="1" collapsed="1" x14ac:dyDescent="0.25">
      <c r="A216" s="26"/>
      <c r="B216" s="13" t="str">
        <f>CONCATENATE("     ","Inventory Adjustment                              ")</f>
        <v xml:space="preserve">     Inventory Adjustment                              </v>
      </c>
      <c r="C216" s="13"/>
      <c r="D216" s="1">
        <f>SUM(OSRRefD22_13x_0)</f>
        <v>4250</v>
      </c>
      <c r="E216" s="1"/>
      <c r="F216" s="5">
        <f t="shared" si="72"/>
        <v>6.2718439100085772E-3</v>
      </c>
      <c r="G216" s="1"/>
      <c r="H216" s="1">
        <f>SUM(OSRRefH22_13x_0)</f>
        <v>4250</v>
      </c>
      <c r="I216" s="1"/>
      <c r="J216" s="5">
        <f t="shared" si="73"/>
        <v>5.8496778719711933E-3</v>
      </c>
      <c r="K216" s="1"/>
      <c r="L216" s="1">
        <f t="shared" si="74"/>
        <v>0</v>
      </c>
      <c r="M216" s="1"/>
      <c r="N216" s="5">
        <f t="shared" si="75"/>
        <v>0</v>
      </c>
      <c r="O216" s="13"/>
      <c r="P216" s="1">
        <f>SUM(OSRRefP22_13x_0)</f>
        <v>39700</v>
      </c>
      <c r="Q216" s="1"/>
      <c r="R216" s="5">
        <f t="shared" si="76"/>
        <v>4.7452583364656631E-3</v>
      </c>
      <c r="S216" s="1"/>
      <c r="T216" s="1">
        <f>SUM(OSRRefT22_13x_0)</f>
        <v>39700</v>
      </c>
      <c r="U216" s="1"/>
      <c r="V216" s="5">
        <f t="shared" si="77"/>
        <v>4.4143035810066981E-3</v>
      </c>
      <c r="W216" s="1"/>
      <c r="X216" s="1">
        <f t="shared" si="78"/>
        <v>0</v>
      </c>
      <c r="Y216" s="1"/>
      <c r="Z216" s="5">
        <f t="shared" si="79"/>
        <v>0</v>
      </c>
    </row>
    <row r="217" spans="1:26" s="24" customFormat="1" hidden="1" outlineLevel="2" x14ac:dyDescent="0.25">
      <c r="A217" s="25"/>
      <c r="B217" s="11" t="str">
        <f>CONCATENATE("          ", "6408", " - ", "INVENTORY ADJUSTMENT")</f>
        <v xml:space="preserve">          6408 - INVENTORY ADJUSTMENT</v>
      </c>
      <c r="C217" s="11"/>
      <c r="D217" s="6">
        <v>4250</v>
      </c>
      <c r="E217" s="2"/>
      <c r="F217" s="7">
        <f t="shared" si="72"/>
        <v>6.2718439100085772E-3</v>
      </c>
      <c r="G217" s="2"/>
      <c r="H217" s="6">
        <v>4250</v>
      </c>
      <c r="I217" s="2"/>
      <c r="J217" s="7">
        <f t="shared" si="73"/>
        <v>5.8496778719711933E-3</v>
      </c>
      <c r="K217" s="2"/>
      <c r="L217" s="6">
        <f t="shared" si="74"/>
        <v>0</v>
      </c>
      <c r="M217" s="2"/>
      <c r="N217" s="7">
        <f t="shared" si="75"/>
        <v>0</v>
      </c>
      <c r="O217" s="11"/>
      <c r="P217" s="6">
        <v>39700</v>
      </c>
      <c r="Q217" s="2"/>
      <c r="R217" s="7">
        <f t="shared" si="76"/>
        <v>4.7452583364656631E-3</v>
      </c>
      <c r="S217" s="2"/>
      <c r="T217" s="6">
        <v>39700</v>
      </c>
      <c r="U217" s="2"/>
      <c r="V217" s="7">
        <f t="shared" si="77"/>
        <v>4.4143035810066981E-3</v>
      </c>
      <c r="W217" s="2"/>
      <c r="X217" s="6">
        <f t="shared" si="78"/>
        <v>0</v>
      </c>
      <c r="Y217" s="2"/>
      <c r="Z217" s="7">
        <f t="shared" si="79"/>
        <v>0</v>
      </c>
    </row>
    <row r="218" spans="1:26" s="27" customFormat="1" outlineLevel="1" collapsed="1" x14ac:dyDescent="0.25">
      <c r="A218" s="26"/>
      <c r="B218" s="13" t="str">
        <f>CONCATENATE("     ","Professional Services                             ")</f>
        <v xml:space="preserve">     Professional Services                             </v>
      </c>
      <c r="C218" s="13"/>
      <c r="D218" s="1">
        <f>SUM(OSRRefD22_14x_0)</f>
        <v>0</v>
      </c>
      <c r="E218" s="1"/>
      <c r="F218" s="5">
        <f t="shared" si="72"/>
        <v>0</v>
      </c>
      <c r="G218" s="1"/>
      <c r="H218" s="1">
        <f>SUM(OSRRefH22_14x_0)</f>
        <v>1015</v>
      </c>
      <c r="I218" s="1"/>
      <c r="J218" s="5">
        <f t="shared" si="73"/>
        <v>1.3970407153060613E-3</v>
      </c>
      <c r="K218" s="1"/>
      <c r="L218" s="1">
        <f t="shared" si="74"/>
        <v>-1015</v>
      </c>
      <c r="M218" s="1"/>
      <c r="N218" s="5">
        <f t="shared" si="75"/>
        <v>-1</v>
      </c>
      <c r="O218" s="13"/>
      <c r="P218" s="1">
        <f>SUM(OSRRefP22_14x_0)</f>
        <v>6199.56</v>
      </c>
      <c r="Q218" s="1"/>
      <c r="R218" s="5">
        <f t="shared" si="76"/>
        <v>7.410204980458203E-4</v>
      </c>
      <c r="S218" s="1"/>
      <c r="T218" s="1">
        <f>SUM(OSRRefT22_14x_0)</f>
        <v>11020</v>
      </c>
      <c r="U218" s="1"/>
      <c r="V218" s="5">
        <f t="shared" si="77"/>
        <v>1.225330616188761E-3</v>
      </c>
      <c r="W218" s="1"/>
      <c r="X218" s="1">
        <f t="shared" si="78"/>
        <v>-4820.4399999999996</v>
      </c>
      <c r="Y218" s="1"/>
      <c r="Z218" s="5">
        <f t="shared" si="79"/>
        <v>-0.43742649727767691</v>
      </c>
    </row>
    <row r="219" spans="1:26" s="24" customFormat="1" hidden="1" outlineLevel="2" x14ac:dyDescent="0.25">
      <c r="A219" s="25"/>
      <c r="B219" s="11" t="str">
        <f>CONCATENATE("          ", "6336", " - ", "PROFESSIONAL SERVICES")</f>
        <v xml:space="preserve">          6336 - PROFESSIONAL SERVICES</v>
      </c>
      <c r="C219" s="11"/>
      <c r="D219" s="6"/>
      <c r="E219" s="2"/>
      <c r="F219" s="7">
        <f t="shared" si="72"/>
        <v>0</v>
      </c>
      <c r="G219" s="2"/>
      <c r="H219" s="6">
        <v>1015</v>
      </c>
      <c r="I219" s="2"/>
      <c r="J219" s="7">
        <f t="shared" si="73"/>
        <v>1.3970407153060613E-3</v>
      </c>
      <c r="K219" s="2"/>
      <c r="L219" s="6">
        <f t="shared" si="74"/>
        <v>-1015</v>
      </c>
      <c r="M219" s="2"/>
      <c r="N219" s="7">
        <f t="shared" si="75"/>
        <v>-1</v>
      </c>
      <c r="O219" s="11"/>
      <c r="P219" s="6">
        <v>6199.56</v>
      </c>
      <c r="Q219" s="2"/>
      <c r="R219" s="7">
        <f t="shared" si="76"/>
        <v>7.410204980458203E-4</v>
      </c>
      <c r="S219" s="2"/>
      <c r="T219" s="6">
        <v>11020</v>
      </c>
      <c r="U219" s="2"/>
      <c r="V219" s="7">
        <f t="shared" si="77"/>
        <v>1.225330616188761E-3</v>
      </c>
      <c r="W219" s="2"/>
      <c r="X219" s="6">
        <f t="shared" si="78"/>
        <v>-4820.4399999999996</v>
      </c>
      <c r="Y219" s="2"/>
      <c r="Z219" s="7">
        <f t="shared" si="79"/>
        <v>-0.43742649727767691</v>
      </c>
    </row>
    <row r="220" spans="1:26" s="27" customFormat="1" outlineLevel="1" collapsed="1" x14ac:dyDescent="0.25">
      <c r="A220" s="26"/>
      <c r="B220" s="13" t="str">
        <f>CONCATENATE("     ","Rent                                              ")</f>
        <v xml:space="preserve">     Rent                                              </v>
      </c>
      <c r="C220" s="13"/>
      <c r="D220" s="1">
        <f>SUM(OSRRefD22_15x_0)</f>
        <v>6100</v>
      </c>
      <c r="E220" s="1"/>
      <c r="F220" s="5">
        <f t="shared" si="72"/>
        <v>9.0019406708358399E-3</v>
      </c>
      <c r="G220" s="1"/>
      <c r="H220" s="1">
        <f>SUM(OSRRefH22_15x_0)</f>
        <v>6400</v>
      </c>
      <c r="I220" s="1"/>
      <c r="J220" s="5">
        <f t="shared" si="73"/>
        <v>8.8089266777919145E-3</v>
      </c>
      <c r="K220" s="1"/>
      <c r="L220" s="1">
        <f t="shared" si="74"/>
        <v>-300</v>
      </c>
      <c r="M220" s="1"/>
      <c r="N220" s="5">
        <f t="shared" si="75"/>
        <v>-4.6875E-2</v>
      </c>
      <c r="O220" s="13"/>
      <c r="P220" s="1">
        <f>SUM(OSRRefP22_15x_0)</f>
        <v>50400</v>
      </c>
      <c r="Q220" s="1"/>
      <c r="R220" s="5">
        <f t="shared" si="76"/>
        <v>6.0242070568732849E-3</v>
      </c>
      <c r="S220" s="1"/>
      <c r="T220" s="1">
        <f>SUM(OSRRefT22_15x_0)</f>
        <v>51200</v>
      </c>
      <c r="U220" s="1"/>
      <c r="V220" s="5">
        <f t="shared" si="77"/>
        <v>5.6930061296610315E-3</v>
      </c>
      <c r="W220" s="1"/>
      <c r="X220" s="1">
        <f t="shared" si="78"/>
        <v>-800</v>
      </c>
      <c r="Y220" s="1"/>
      <c r="Z220" s="5">
        <f t="shared" si="79"/>
        <v>-1.5625E-2</v>
      </c>
    </row>
    <row r="221" spans="1:26" s="24" customFormat="1" hidden="1" outlineLevel="2" x14ac:dyDescent="0.25">
      <c r="A221" s="25"/>
      <c r="B221" s="11" t="str">
        <f>CONCATENATE("          ", "6273", " - ", "RENT")</f>
        <v xml:space="preserve">          6273 - RENT</v>
      </c>
      <c r="C221" s="11"/>
      <c r="D221" s="6">
        <v>6100</v>
      </c>
      <c r="E221" s="2"/>
      <c r="F221" s="7">
        <f t="shared" si="72"/>
        <v>9.0019406708358399E-3</v>
      </c>
      <c r="G221" s="2"/>
      <c r="H221" s="6">
        <v>6400</v>
      </c>
      <c r="I221" s="2"/>
      <c r="J221" s="7">
        <f t="shared" si="73"/>
        <v>8.8089266777919145E-3</v>
      </c>
      <c r="K221" s="2"/>
      <c r="L221" s="6">
        <f t="shared" si="74"/>
        <v>-300</v>
      </c>
      <c r="M221" s="2"/>
      <c r="N221" s="7">
        <f t="shared" si="75"/>
        <v>-4.6875E-2</v>
      </c>
      <c r="O221" s="11"/>
      <c r="P221" s="6">
        <v>50400</v>
      </c>
      <c r="Q221" s="2"/>
      <c r="R221" s="7">
        <f t="shared" si="76"/>
        <v>6.0242070568732849E-3</v>
      </c>
      <c r="S221" s="2"/>
      <c r="T221" s="6">
        <v>51200</v>
      </c>
      <c r="U221" s="2"/>
      <c r="V221" s="7">
        <f t="shared" si="77"/>
        <v>5.6930061296610315E-3</v>
      </c>
      <c r="W221" s="2"/>
      <c r="X221" s="6">
        <f t="shared" si="78"/>
        <v>-800</v>
      </c>
      <c r="Y221" s="2"/>
      <c r="Z221" s="7">
        <f t="shared" si="79"/>
        <v>-1.5625E-2</v>
      </c>
    </row>
    <row r="222" spans="1:26" s="27" customFormat="1" outlineLevel="1" collapsed="1" x14ac:dyDescent="0.25">
      <c r="A222" s="26"/>
      <c r="B222" s="13" t="str">
        <f>CONCATENATE("     ","Repair and Maintenance                            ")</f>
        <v xml:space="preserve">     Repair and Maintenance                            </v>
      </c>
      <c r="C222" s="13"/>
      <c r="D222" s="1">
        <f>SUM(OSRRefD22_16x_0)</f>
        <v>6641.84</v>
      </c>
      <c r="E222" s="1"/>
      <c r="F222" s="5">
        <f t="shared" si="72"/>
        <v>9.8015491188826742E-3</v>
      </c>
      <c r="G222" s="1"/>
      <c r="H222" s="1">
        <f>SUM(OSRRefH22_16x_0)</f>
        <v>14540</v>
      </c>
      <c r="I222" s="1"/>
      <c r="J222" s="5">
        <f t="shared" si="73"/>
        <v>2.0012780296108507E-2</v>
      </c>
      <c r="K222" s="1"/>
      <c r="L222" s="1">
        <f t="shared" si="74"/>
        <v>-7898.16</v>
      </c>
      <c r="M222" s="1"/>
      <c r="N222" s="5">
        <f t="shared" si="75"/>
        <v>-0.54320220082530946</v>
      </c>
      <c r="O222" s="13"/>
      <c r="P222" s="1">
        <f>SUM(OSRRefP22_16x_0)</f>
        <v>108155.62</v>
      </c>
      <c r="Q222" s="1"/>
      <c r="R222" s="5">
        <f t="shared" si="76"/>
        <v>1.2927616056438598E-2</v>
      </c>
      <c r="S222" s="1"/>
      <c r="T222" s="1">
        <f>SUM(OSRRefT22_16x_0)</f>
        <v>160955</v>
      </c>
      <c r="U222" s="1"/>
      <c r="V222" s="5">
        <f t="shared" si="77"/>
        <v>1.7896832062492016E-2</v>
      </c>
      <c r="W222" s="1"/>
      <c r="X222" s="1">
        <f t="shared" si="78"/>
        <v>-52799.380000000005</v>
      </c>
      <c r="Y222" s="1"/>
      <c r="Z222" s="5">
        <f t="shared" si="79"/>
        <v>-0.32803814730825387</v>
      </c>
    </row>
    <row r="223" spans="1:26" s="24" customFormat="1" hidden="1" outlineLevel="2" x14ac:dyDescent="0.25">
      <c r="A223" s="25"/>
      <c r="B223" s="11" t="str">
        <f>CONCATENATE("          ", "6371", " - ", "COMPUTER SOFTWARE MAINTENANCE")</f>
        <v xml:space="preserve">          6371 - COMPUTER SOFTWARE MAINTENANCE</v>
      </c>
      <c r="C223" s="11"/>
      <c r="D223" s="6">
        <v>601</v>
      </c>
      <c r="E223" s="2"/>
      <c r="F223" s="7">
        <f t="shared" si="72"/>
        <v>8.8691251527415408E-4</v>
      </c>
      <c r="G223" s="2"/>
      <c r="H223" s="6"/>
      <c r="I223" s="2"/>
      <c r="J223" s="7">
        <f t="shared" si="73"/>
        <v>0</v>
      </c>
      <c r="K223" s="2"/>
      <c r="L223" s="6">
        <f t="shared" si="74"/>
        <v>601</v>
      </c>
      <c r="M223" s="2"/>
      <c r="N223" s="7">
        <f t="shared" si="75"/>
        <v>0</v>
      </c>
      <c r="O223" s="11"/>
      <c r="P223" s="6">
        <v>15155.4</v>
      </c>
      <c r="Q223" s="2"/>
      <c r="R223" s="7">
        <f t="shared" si="76"/>
        <v>1.8114934053519321E-3</v>
      </c>
      <c r="S223" s="2"/>
      <c r="T223" s="6">
        <v>48535</v>
      </c>
      <c r="U223" s="2"/>
      <c r="V223" s="7">
        <f t="shared" si="77"/>
        <v>5.3966807129511357E-3</v>
      </c>
      <c r="W223" s="2"/>
      <c r="X223" s="6">
        <f t="shared" si="78"/>
        <v>-33379.599999999999</v>
      </c>
      <c r="Y223" s="2"/>
      <c r="Z223" s="7">
        <f t="shared" si="79"/>
        <v>-0.68774286597300915</v>
      </c>
    </row>
    <row r="224" spans="1:26" s="24" customFormat="1" hidden="1" outlineLevel="2" x14ac:dyDescent="0.25">
      <c r="A224" s="25"/>
      <c r="B224" s="11" t="str">
        <f>CONCATENATE("          ", "6372", " - ", "COMPUTER HARDWARE MAINTENANCE")</f>
        <v xml:space="preserve">          6372 - COMPUTER HARDWARE MAINTENANCE</v>
      </c>
      <c r="C224" s="11"/>
      <c r="D224" s="6"/>
      <c r="E224" s="2"/>
      <c r="F224" s="7">
        <f t="shared" si="72"/>
        <v>0</v>
      </c>
      <c r="G224" s="2"/>
      <c r="H224" s="6"/>
      <c r="I224" s="2"/>
      <c r="J224" s="7">
        <f t="shared" si="73"/>
        <v>0</v>
      </c>
      <c r="K224" s="2"/>
      <c r="L224" s="6">
        <f t="shared" si="74"/>
        <v>0</v>
      </c>
      <c r="M224" s="2"/>
      <c r="N224" s="7">
        <f t="shared" si="75"/>
        <v>0</v>
      </c>
      <c r="O224" s="11"/>
      <c r="P224" s="6">
        <v>52.32</v>
      </c>
      <c r="Q224" s="2"/>
      <c r="R224" s="7">
        <f t="shared" si="76"/>
        <v>6.2537006590398858E-6</v>
      </c>
      <c r="S224" s="2"/>
      <c r="T224" s="6">
        <v>2000</v>
      </c>
      <c r="U224" s="2"/>
      <c r="V224" s="7">
        <f t="shared" si="77"/>
        <v>2.2238305193988402E-4</v>
      </c>
      <c r="W224" s="2"/>
      <c r="X224" s="6">
        <f t="shared" si="78"/>
        <v>-1947.68</v>
      </c>
      <c r="Y224" s="2"/>
      <c r="Z224" s="7">
        <f t="shared" si="79"/>
        <v>-0.97384000000000004</v>
      </c>
    </row>
    <row r="225" spans="1:26" s="24" customFormat="1" hidden="1" outlineLevel="2" x14ac:dyDescent="0.25">
      <c r="A225" s="25"/>
      <c r="B225" s="11" t="str">
        <f>CONCATENATE("          ", "6373", " - ", "MAINTENANCE CONTRACTS")</f>
        <v xml:space="preserve">          6373 - MAINTENANCE CONTRACTS</v>
      </c>
      <c r="C225" s="11"/>
      <c r="D225" s="6">
        <v>4914.58</v>
      </c>
      <c r="E225" s="2"/>
      <c r="F225" s="7">
        <f t="shared" si="72"/>
        <v>7.2525832101764595E-3</v>
      </c>
      <c r="G225" s="2"/>
      <c r="H225" s="6">
        <v>7040</v>
      </c>
      <c r="I225" s="2"/>
      <c r="J225" s="7">
        <f t="shared" si="73"/>
        <v>9.6898193455711053E-3</v>
      </c>
      <c r="K225" s="2"/>
      <c r="L225" s="6">
        <f t="shared" si="74"/>
        <v>-2125.42</v>
      </c>
      <c r="M225" s="2"/>
      <c r="N225" s="7">
        <f t="shared" si="75"/>
        <v>-0.30190624999999999</v>
      </c>
      <c r="O225" s="11"/>
      <c r="P225" s="6">
        <v>57454.080000000002</v>
      </c>
      <c r="Q225" s="2"/>
      <c r="R225" s="7">
        <f t="shared" si="76"/>
        <v>6.8673665512333781E-3</v>
      </c>
      <c r="S225" s="2"/>
      <c r="T225" s="6">
        <v>56395</v>
      </c>
      <c r="U225" s="2"/>
      <c r="V225" s="7">
        <f t="shared" si="77"/>
        <v>6.2706461070748797E-3</v>
      </c>
      <c r="W225" s="2"/>
      <c r="X225" s="6">
        <f t="shared" si="78"/>
        <v>1059.0800000000017</v>
      </c>
      <c r="Y225" s="2"/>
      <c r="Z225" s="7">
        <f t="shared" si="79"/>
        <v>1.8779679049561161E-2</v>
      </c>
    </row>
    <row r="226" spans="1:26" s="24" customFormat="1" hidden="1" outlineLevel="2" x14ac:dyDescent="0.25">
      <c r="A226" s="25"/>
      <c r="B226" s="11" t="str">
        <f>CONCATENATE("          ", "6375", " - ", "OUTSIDE REPAIRS &amp; MAINTENANCE")</f>
        <v xml:space="preserve">          6375 - OUTSIDE REPAIRS &amp; MAINTENANCE</v>
      </c>
      <c r="C226" s="11"/>
      <c r="D226" s="6">
        <v>1126.26</v>
      </c>
      <c r="E226" s="2"/>
      <c r="F226" s="7">
        <f t="shared" si="72"/>
        <v>1.6620533934320612E-3</v>
      </c>
      <c r="G226" s="2"/>
      <c r="H226" s="6">
        <v>7500</v>
      </c>
      <c r="I226" s="2"/>
      <c r="J226" s="7">
        <f t="shared" si="73"/>
        <v>1.03229609505374E-2</v>
      </c>
      <c r="K226" s="2"/>
      <c r="L226" s="6">
        <f t="shared" si="74"/>
        <v>-6373.74</v>
      </c>
      <c r="M226" s="2"/>
      <c r="N226" s="7">
        <f t="shared" si="75"/>
        <v>-0.84983199999999992</v>
      </c>
      <c r="O226" s="11"/>
      <c r="P226" s="6">
        <v>35493.82</v>
      </c>
      <c r="Q226" s="2"/>
      <c r="R226" s="7">
        <f t="shared" si="76"/>
        <v>4.2425023991942484E-3</v>
      </c>
      <c r="S226" s="2"/>
      <c r="T226" s="6">
        <v>54025</v>
      </c>
      <c r="U226" s="2"/>
      <c r="V226" s="7">
        <f t="shared" si="77"/>
        <v>6.0071221905261176E-3</v>
      </c>
      <c r="W226" s="2"/>
      <c r="X226" s="6">
        <f t="shared" si="78"/>
        <v>-18531.18</v>
      </c>
      <c r="Y226" s="2"/>
      <c r="Z226" s="7">
        <f t="shared" si="79"/>
        <v>-0.34301119851920409</v>
      </c>
    </row>
    <row r="227" spans="1:26" s="27" customFormat="1" outlineLevel="1" collapsed="1" x14ac:dyDescent="0.25">
      <c r="A227" s="26"/>
      <c r="B227" s="13" t="str">
        <f>CONCATENATE("     ","Royalty &amp; Commissions                             ")</f>
        <v xml:space="preserve">     Royalty &amp; Commissions                             </v>
      </c>
      <c r="C227" s="13"/>
      <c r="D227" s="1">
        <f>SUM(OSRRefD22_17x_0)</f>
        <v>24310.91</v>
      </c>
      <c r="E227" s="1"/>
      <c r="F227" s="5">
        <f t="shared" ref="F227:F231" si="80">IF(D$12=0,0,D227/D$12)</f>
        <v>3.5876290077709795E-2</v>
      </c>
      <c r="G227" s="1"/>
      <c r="H227" s="1">
        <f>SUM(OSRRefH22_17x_0)</f>
        <v>16485</v>
      </c>
      <c r="I227" s="1"/>
      <c r="J227" s="5">
        <f t="shared" ref="J227:J231" si="81">IF(H$12=0,0,H227/H$12)</f>
        <v>2.2689868169281206E-2</v>
      </c>
      <c r="K227" s="1"/>
      <c r="L227" s="1">
        <f t="shared" ref="L227:L231" si="82">+D227-H227</f>
        <v>7825.91</v>
      </c>
      <c r="M227" s="1"/>
      <c r="N227" s="5">
        <f t="shared" ref="N227:N231" si="83">IF(H227=0,0,L227/H227)</f>
        <v>0.47472914771003943</v>
      </c>
      <c r="O227" s="13"/>
      <c r="P227" s="1">
        <f>SUM(OSRRefP22_17x_0)</f>
        <v>96403.07</v>
      </c>
      <c r="Q227" s="1"/>
      <c r="R227" s="5">
        <f t="shared" ref="R227:R231" si="84">IF(P$12=0,0,P227/P$12)</f>
        <v>1.152285822615574E-2</v>
      </c>
      <c r="S227" s="1"/>
      <c r="T227" s="1">
        <f>SUM(OSRRefT22_17x_0)</f>
        <v>131880</v>
      </c>
      <c r="U227" s="1"/>
      <c r="V227" s="5">
        <f t="shared" ref="V227:V231" si="85">IF(T$12=0,0,T227/T$12)</f>
        <v>1.4663938444915953E-2</v>
      </c>
      <c r="W227" s="1"/>
      <c r="X227" s="1">
        <f t="shared" ref="X227:X231" si="86">+P227-T227</f>
        <v>-35476.929999999993</v>
      </c>
      <c r="Y227" s="1"/>
      <c r="Z227" s="5">
        <f t="shared" ref="Z227:Z231" si="87">IF(T227=0,0,X227/T227)</f>
        <v>-0.26900917500758259</v>
      </c>
    </row>
    <row r="228" spans="1:26" s="24" customFormat="1" hidden="1" outlineLevel="2" x14ac:dyDescent="0.25">
      <c r="A228" s="25"/>
      <c r="B228" s="11" t="str">
        <f>CONCATENATE("          ", "6252", " - ", "ROYALTY DUE CSTV")</f>
        <v xml:space="preserve">          6252 - ROYALTY DUE CSTV</v>
      </c>
      <c r="C228" s="11"/>
      <c r="D228" s="6"/>
      <c r="E228" s="2"/>
      <c r="F228" s="7">
        <f t="shared" si="80"/>
        <v>0</v>
      </c>
      <c r="G228" s="2"/>
      <c r="H228" s="6">
        <v>1085</v>
      </c>
      <c r="I228" s="2"/>
      <c r="J228" s="7">
        <f t="shared" si="81"/>
        <v>1.4933883508444104E-3</v>
      </c>
      <c r="K228" s="2"/>
      <c r="L228" s="6">
        <f t="shared" si="82"/>
        <v>-1085</v>
      </c>
      <c r="M228" s="2"/>
      <c r="N228" s="7">
        <f t="shared" si="83"/>
        <v>-1</v>
      </c>
      <c r="O228" s="11"/>
      <c r="P228" s="6"/>
      <c r="Q228" s="2"/>
      <c r="R228" s="7">
        <f t="shared" si="84"/>
        <v>0</v>
      </c>
      <c r="S228" s="2"/>
      <c r="T228" s="6">
        <v>8680</v>
      </c>
      <c r="U228" s="2"/>
      <c r="V228" s="7">
        <f t="shared" si="85"/>
        <v>9.6514244541909668E-4</v>
      </c>
      <c r="W228" s="2"/>
      <c r="X228" s="6">
        <f t="shared" si="86"/>
        <v>-8680</v>
      </c>
      <c r="Y228" s="2"/>
      <c r="Z228" s="7">
        <f t="shared" si="87"/>
        <v>-1</v>
      </c>
    </row>
    <row r="229" spans="1:26" s="24" customFormat="1" hidden="1" outlineLevel="2" x14ac:dyDescent="0.25">
      <c r="A229" s="25"/>
      <c r="B229" s="11" t="str">
        <f>CONCATENATE("          ", "6253", " - ", "ROYALTY DUE ATHLETICS-LRG")</f>
        <v xml:space="preserve">          6253 - ROYALTY DUE ATHLETICS-LRG</v>
      </c>
      <c r="C229" s="11"/>
      <c r="D229" s="6">
        <v>12278.49</v>
      </c>
      <c r="E229" s="2"/>
      <c r="F229" s="7">
        <f t="shared" si="80"/>
        <v>1.8119711230729696E-2</v>
      </c>
      <c r="G229" s="2"/>
      <c r="H229" s="6">
        <v>3700</v>
      </c>
      <c r="I229" s="2"/>
      <c r="J229" s="7">
        <f t="shared" si="81"/>
        <v>5.0926607355984508E-3</v>
      </c>
      <c r="K229" s="2"/>
      <c r="L229" s="6">
        <f t="shared" si="82"/>
        <v>8578.49</v>
      </c>
      <c r="M229" s="2"/>
      <c r="N229" s="7">
        <f t="shared" si="83"/>
        <v>2.3185108108108108</v>
      </c>
      <c r="O229" s="11"/>
      <c r="P229" s="6">
        <v>16645.439999999999</v>
      </c>
      <c r="Q229" s="2"/>
      <c r="R229" s="7">
        <f t="shared" si="84"/>
        <v>1.9895947839833499E-3</v>
      </c>
      <c r="S229" s="2"/>
      <c r="T229" s="6">
        <v>29600</v>
      </c>
      <c r="U229" s="2"/>
      <c r="V229" s="7">
        <f t="shared" si="85"/>
        <v>3.2912691687102839E-3</v>
      </c>
      <c r="W229" s="2"/>
      <c r="X229" s="6">
        <f t="shared" si="86"/>
        <v>-12954.560000000001</v>
      </c>
      <c r="Y229" s="2"/>
      <c r="Z229" s="7">
        <f t="shared" si="87"/>
        <v>-0.43765405405405411</v>
      </c>
    </row>
    <row r="230" spans="1:26" s="24" customFormat="1" hidden="1" outlineLevel="2" x14ac:dyDescent="0.25">
      <c r="A230" s="25"/>
      <c r="B230" s="11" t="str">
        <f>CONCATENATE("          ", "6254", " - ", "ROYALTY &amp; COMMISSIONS")</f>
        <v xml:space="preserve">          6254 - ROYALTY &amp; COMMISSIONS</v>
      </c>
      <c r="C230" s="11"/>
      <c r="D230" s="6">
        <v>3471.1</v>
      </c>
      <c r="E230" s="2"/>
      <c r="F230" s="7">
        <f t="shared" si="80"/>
        <v>5.1223993873013582E-3</v>
      </c>
      <c r="G230" s="2"/>
      <c r="H230" s="6">
        <v>11700</v>
      </c>
      <c r="I230" s="2"/>
      <c r="J230" s="7">
        <f t="shared" si="81"/>
        <v>1.6103819082838342E-2</v>
      </c>
      <c r="K230" s="2"/>
      <c r="L230" s="6">
        <f t="shared" si="82"/>
        <v>-8228.9</v>
      </c>
      <c r="M230" s="2"/>
      <c r="N230" s="7">
        <f t="shared" si="83"/>
        <v>-0.70332478632478634</v>
      </c>
      <c r="O230" s="11"/>
      <c r="P230" s="6">
        <v>6795.75</v>
      </c>
      <c r="Q230" s="2"/>
      <c r="R230" s="7">
        <f t="shared" si="84"/>
        <v>8.1228184735608383E-4</v>
      </c>
      <c r="S230" s="2"/>
      <c r="T230" s="6">
        <v>93600</v>
      </c>
      <c r="U230" s="2"/>
      <c r="V230" s="7">
        <f t="shared" si="85"/>
        <v>1.0407526830786573E-2</v>
      </c>
      <c r="W230" s="2"/>
      <c r="X230" s="6">
        <f t="shared" si="86"/>
        <v>-86804.25</v>
      </c>
      <c r="Y230" s="2"/>
      <c r="Z230" s="7">
        <f t="shared" si="87"/>
        <v>-0.92739583333333331</v>
      </c>
    </row>
    <row r="231" spans="1:26" s="24" customFormat="1" hidden="1" outlineLevel="2" x14ac:dyDescent="0.25">
      <c r="A231" s="25"/>
      <c r="B231" s="11" t="str">
        <f>CONCATENATE("          ", "6259", " - ", "ROYALTY &amp; COMMISSIONS")</f>
        <v xml:space="preserve">          6259 - ROYALTY &amp; COMMISSIONS</v>
      </c>
      <c r="C231" s="11"/>
      <c r="D231" s="6">
        <v>8561.32</v>
      </c>
      <c r="E231" s="2"/>
      <c r="F231" s="7">
        <f t="shared" si="80"/>
        <v>1.2634179459678737E-2</v>
      </c>
      <c r="G231" s="2"/>
      <c r="H231" s="6"/>
      <c r="I231" s="2"/>
      <c r="J231" s="7">
        <f t="shared" si="81"/>
        <v>0</v>
      </c>
      <c r="K231" s="2"/>
      <c r="L231" s="6">
        <f t="shared" si="82"/>
        <v>8561.32</v>
      </c>
      <c r="M231" s="2"/>
      <c r="N231" s="7">
        <f t="shared" si="83"/>
        <v>0</v>
      </c>
      <c r="O231" s="11"/>
      <c r="P231" s="6">
        <v>72961.88</v>
      </c>
      <c r="Q231" s="2"/>
      <c r="R231" s="7">
        <f t="shared" si="84"/>
        <v>8.7209815948163048E-3</v>
      </c>
      <c r="S231" s="2"/>
      <c r="T231" s="6"/>
      <c r="U231" s="2"/>
      <c r="V231" s="7">
        <f t="shared" si="85"/>
        <v>0</v>
      </c>
      <c r="W231" s="2"/>
      <c r="X231" s="6">
        <f t="shared" si="86"/>
        <v>72961.88</v>
      </c>
      <c r="Y231" s="2"/>
      <c r="Z231" s="7">
        <f t="shared" si="87"/>
        <v>0</v>
      </c>
    </row>
    <row r="232" spans="1:26" s="27" customFormat="1" outlineLevel="1" collapsed="1" x14ac:dyDescent="0.25">
      <c r="A232" s="26"/>
      <c r="B232" s="13" t="str">
        <f>CONCATENATE("     ","Services                                          ")</f>
        <v xml:space="preserve">     Services                                          </v>
      </c>
      <c r="C232" s="13"/>
      <c r="D232" s="1">
        <f>SUM(OSRRefD22_18x_0)</f>
        <v>4769.88</v>
      </c>
      <c r="E232" s="1"/>
      <c r="F232" s="5">
        <f t="shared" ref="F232:F236" si="88">IF(D$12=0,0,D232/D$12)</f>
        <v>7.0390453716404032E-3</v>
      </c>
      <c r="G232" s="1"/>
      <c r="H232" s="1">
        <f>SUM(OSRRefH22_18x_0)</f>
        <v>4442.5</v>
      </c>
      <c r="I232" s="1"/>
      <c r="J232" s="5">
        <f t="shared" ref="J232:J236" si="89">IF(H$12=0,0,H232/H$12)</f>
        <v>6.1146338697016531E-3</v>
      </c>
      <c r="K232" s="1"/>
      <c r="L232" s="1">
        <f t="shared" ref="L232:L236" si="90">+D232-H232</f>
        <v>327.38000000000011</v>
      </c>
      <c r="M232" s="1"/>
      <c r="N232" s="5">
        <f t="shared" ref="N232:N236" si="91">IF(H232=0,0,L232/H232)</f>
        <v>7.3692740574001145E-2</v>
      </c>
      <c r="O232" s="13"/>
      <c r="P232" s="1">
        <f>SUM(OSRRefP22_18x_0)</f>
        <v>37020.06</v>
      </c>
      <c r="Q232" s="1"/>
      <c r="R232" s="5">
        <f t="shared" ref="R232:R236" si="92">IF(P$12=0,0,P232/P$12)</f>
        <v>4.4249306884498489E-3</v>
      </c>
      <c r="S232" s="1"/>
      <c r="T232" s="1">
        <f>SUM(OSRRefT22_18x_0)</f>
        <v>35805</v>
      </c>
      <c r="U232" s="1"/>
      <c r="V232" s="5">
        <f t="shared" ref="V232:V236" si="93">IF(T$12=0,0,T232/T$12)</f>
        <v>3.9812125873537737E-3</v>
      </c>
      <c r="W232" s="1"/>
      <c r="X232" s="1">
        <f t="shared" ref="X232:X236" si="94">+P232-T232</f>
        <v>1215.0599999999977</v>
      </c>
      <c r="Y232" s="1"/>
      <c r="Z232" s="5">
        <f t="shared" ref="Z232:Z236" si="95">IF(T232=0,0,X232/T232)</f>
        <v>3.3935483870967675E-2</v>
      </c>
    </row>
    <row r="233" spans="1:26" s="24" customFormat="1" hidden="1" outlineLevel="2" x14ac:dyDescent="0.25">
      <c r="A233" s="25"/>
      <c r="B233" s="11" t="str">
        <f>CONCATENATE("          ", "6282", " - ", "JANITORIAL/EXTERMINATOR EXPENS")</f>
        <v xml:space="preserve">          6282 - JANITORIAL/EXTERMINATOR EXPENS</v>
      </c>
      <c r="C233" s="11"/>
      <c r="D233" s="6">
        <v>266.5</v>
      </c>
      <c r="E233" s="2"/>
      <c r="F233" s="7">
        <f t="shared" si="88"/>
        <v>3.932815063570084E-4</v>
      </c>
      <c r="G233" s="2"/>
      <c r="H233" s="6">
        <v>50</v>
      </c>
      <c r="I233" s="2"/>
      <c r="J233" s="7">
        <f t="shared" si="89"/>
        <v>6.8819739670249332E-5</v>
      </c>
      <c r="K233" s="2"/>
      <c r="L233" s="6">
        <f t="shared" si="90"/>
        <v>216.5</v>
      </c>
      <c r="M233" s="2"/>
      <c r="N233" s="7">
        <f t="shared" si="91"/>
        <v>4.33</v>
      </c>
      <c r="O233" s="11"/>
      <c r="P233" s="6">
        <v>2153.02</v>
      </c>
      <c r="Q233" s="2"/>
      <c r="R233" s="7">
        <f t="shared" si="92"/>
        <v>2.5734599757121663E-4</v>
      </c>
      <c r="S233" s="2"/>
      <c r="T233" s="6">
        <v>400</v>
      </c>
      <c r="U233" s="2"/>
      <c r="V233" s="7">
        <f t="shared" si="93"/>
        <v>4.4476610387976809E-5</v>
      </c>
      <c r="W233" s="2"/>
      <c r="X233" s="6">
        <f t="shared" si="94"/>
        <v>1753.02</v>
      </c>
      <c r="Y233" s="2"/>
      <c r="Z233" s="7">
        <f t="shared" si="95"/>
        <v>4.3825500000000002</v>
      </c>
    </row>
    <row r="234" spans="1:26" s="24" customFormat="1" hidden="1" outlineLevel="2" x14ac:dyDescent="0.25">
      <c r="A234" s="25"/>
      <c r="B234" s="11" t="str">
        <f>CONCATENATE("          ", "6283", " - ", "PLANT SERVICE")</f>
        <v xml:space="preserve">          6283 - PLANT SERVICE</v>
      </c>
      <c r="C234" s="11"/>
      <c r="D234" s="6"/>
      <c r="E234" s="2"/>
      <c r="F234" s="7">
        <f t="shared" si="88"/>
        <v>0</v>
      </c>
      <c r="G234" s="2"/>
      <c r="H234" s="6">
        <v>60</v>
      </c>
      <c r="I234" s="2"/>
      <c r="J234" s="7">
        <f t="shared" si="89"/>
        <v>8.2583687604299201E-5</v>
      </c>
      <c r="K234" s="2"/>
      <c r="L234" s="6">
        <f t="shared" si="90"/>
        <v>-60</v>
      </c>
      <c r="M234" s="2"/>
      <c r="N234" s="7">
        <f t="shared" si="91"/>
        <v>-1</v>
      </c>
      <c r="O234" s="11"/>
      <c r="P234" s="6">
        <v>541.98</v>
      </c>
      <c r="Q234" s="2"/>
      <c r="R234" s="7">
        <f t="shared" si="92"/>
        <v>6.478174088659093E-5</v>
      </c>
      <c r="S234" s="2"/>
      <c r="T234" s="6">
        <v>480</v>
      </c>
      <c r="U234" s="2"/>
      <c r="V234" s="7">
        <f t="shared" si="93"/>
        <v>5.3371932465572172E-5</v>
      </c>
      <c r="W234" s="2"/>
      <c r="X234" s="6">
        <f t="shared" si="94"/>
        <v>61.980000000000018</v>
      </c>
      <c r="Y234" s="2"/>
      <c r="Z234" s="7">
        <f t="shared" si="95"/>
        <v>0.12912500000000005</v>
      </c>
    </row>
    <row r="235" spans="1:26" s="24" customFormat="1" hidden="1" outlineLevel="2" x14ac:dyDescent="0.25">
      <c r="A235" s="25"/>
      <c r="B235" s="11" t="str">
        <f>CONCATENATE("          ", "6284", " - ", "TRASH REMOVAL EXPENSE")</f>
        <v xml:space="preserve">          6284 - TRASH REMOVAL EXPENSE</v>
      </c>
      <c r="C235" s="11"/>
      <c r="D235" s="6">
        <v>134.82</v>
      </c>
      <c r="E235" s="2"/>
      <c r="F235" s="7">
        <f t="shared" si="88"/>
        <v>1.9895764610526032E-4</v>
      </c>
      <c r="G235" s="2"/>
      <c r="H235" s="6">
        <v>62.5</v>
      </c>
      <c r="I235" s="2"/>
      <c r="J235" s="7">
        <f t="shared" si="89"/>
        <v>8.6024674587811665E-5</v>
      </c>
      <c r="K235" s="2"/>
      <c r="L235" s="6">
        <f t="shared" si="90"/>
        <v>72.319999999999993</v>
      </c>
      <c r="M235" s="2"/>
      <c r="N235" s="7">
        <f t="shared" si="91"/>
        <v>1.1571199999999999</v>
      </c>
      <c r="O235" s="11"/>
      <c r="P235" s="6">
        <v>1078.56</v>
      </c>
      <c r="Q235" s="2"/>
      <c r="R235" s="7">
        <f t="shared" si="92"/>
        <v>1.2891803101708829E-4</v>
      </c>
      <c r="S235" s="2"/>
      <c r="T235" s="6">
        <v>500</v>
      </c>
      <c r="U235" s="2"/>
      <c r="V235" s="7">
        <f t="shared" si="93"/>
        <v>5.5595762984971006E-5</v>
      </c>
      <c r="W235" s="2"/>
      <c r="X235" s="6">
        <f t="shared" si="94"/>
        <v>578.55999999999995</v>
      </c>
      <c r="Y235" s="2"/>
      <c r="Z235" s="7">
        <f t="shared" si="95"/>
        <v>1.1571199999999999</v>
      </c>
    </row>
    <row r="236" spans="1:26" s="24" customFormat="1" hidden="1" outlineLevel="2" x14ac:dyDescent="0.25">
      <c r="A236" s="25"/>
      <c r="B236" s="11" t="str">
        <f>CONCATENATE("          ", "6285", " - ", "JANITORIAL SERVICES")</f>
        <v xml:space="preserve">          6285 - JANITORIAL SERVICES</v>
      </c>
      <c r="C236" s="11"/>
      <c r="D236" s="6">
        <v>4368.5600000000004</v>
      </c>
      <c r="E236" s="2"/>
      <c r="F236" s="7">
        <f t="shared" si="88"/>
        <v>6.4468062191781342E-3</v>
      </c>
      <c r="G236" s="2"/>
      <c r="H236" s="6">
        <v>4270</v>
      </c>
      <c r="I236" s="2"/>
      <c r="J236" s="7">
        <f t="shared" si="89"/>
        <v>5.8772057678392929E-3</v>
      </c>
      <c r="K236" s="2"/>
      <c r="L236" s="6">
        <f t="shared" si="90"/>
        <v>98.5600000000004</v>
      </c>
      <c r="M236" s="2"/>
      <c r="N236" s="7">
        <f t="shared" si="91"/>
        <v>2.3081967213114847E-2</v>
      </c>
      <c r="O236" s="11"/>
      <c r="P236" s="6">
        <v>33246.5</v>
      </c>
      <c r="Q236" s="2"/>
      <c r="R236" s="7">
        <f t="shared" si="92"/>
        <v>3.9738849189749539E-3</v>
      </c>
      <c r="S236" s="2"/>
      <c r="T236" s="6">
        <v>34425</v>
      </c>
      <c r="U236" s="2"/>
      <c r="V236" s="7">
        <f t="shared" si="93"/>
        <v>3.8277682815152539E-3</v>
      </c>
      <c r="W236" s="2"/>
      <c r="X236" s="6">
        <f t="shared" si="94"/>
        <v>-1178.5</v>
      </c>
      <c r="Y236" s="2"/>
      <c r="Z236" s="7">
        <f t="shared" si="95"/>
        <v>-3.4233841684822075E-2</v>
      </c>
    </row>
    <row r="237" spans="1:26" s="27" customFormat="1" outlineLevel="1" collapsed="1" x14ac:dyDescent="0.25">
      <c r="A237" s="26"/>
      <c r="B237" s="13" t="str">
        <f>CONCATENATE("     ","Subscriptions &amp; Dues                              ")</f>
        <v xml:space="preserve">     Subscriptions &amp; Dues                              </v>
      </c>
      <c r="C237" s="13"/>
      <c r="D237" s="1">
        <f>SUM(OSRRefD22_19x_0)</f>
        <v>1504.37</v>
      </c>
      <c r="E237" s="1"/>
      <c r="F237" s="5">
        <f t="shared" ref="F237:F239" si="96">IF(D$12=0,0,D237/D$12)</f>
        <v>2.2200408995057888E-3</v>
      </c>
      <c r="G237" s="1"/>
      <c r="H237" s="1">
        <f>SUM(OSRRefH22_19x_0)</f>
        <v>1015</v>
      </c>
      <c r="I237" s="1"/>
      <c r="J237" s="5">
        <f t="shared" ref="J237:J239" si="97">IF(H$12=0,0,H237/H$12)</f>
        <v>1.3970407153060613E-3</v>
      </c>
      <c r="K237" s="1"/>
      <c r="L237" s="1">
        <f t="shared" ref="L237:L239" si="98">+D237-H237</f>
        <v>489.36999999999989</v>
      </c>
      <c r="M237" s="1"/>
      <c r="N237" s="5">
        <f t="shared" ref="N237:N239" si="99">IF(H237=0,0,L237/H237)</f>
        <v>0.48213793103448266</v>
      </c>
      <c r="O237" s="13"/>
      <c r="P237" s="1">
        <f>SUM(OSRRefP22_19x_0)</f>
        <v>4305.2299999999996</v>
      </c>
      <c r="Q237" s="1"/>
      <c r="R237" s="5">
        <f t="shared" ref="R237:R239" si="100">IF(P$12=0,0,P237/P$12)</f>
        <v>5.1459517752901922E-4</v>
      </c>
      <c r="S237" s="1"/>
      <c r="T237" s="1">
        <f>SUM(OSRRefT22_19x_0)</f>
        <v>17735</v>
      </c>
      <c r="U237" s="1"/>
      <c r="V237" s="5">
        <f t="shared" ref="V237:V239" si="101">IF(T$12=0,0,T237/T$12)</f>
        <v>1.9719817130769215E-3</v>
      </c>
      <c r="W237" s="1"/>
      <c r="X237" s="1">
        <f t="shared" ref="X237:X239" si="102">+P237-T237</f>
        <v>-13429.77</v>
      </c>
      <c r="Y237" s="1"/>
      <c r="Z237" s="5">
        <f t="shared" ref="Z237:Z239" si="103">IF(T237=0,0,X237/T237)</f>
        <v>-0.75724668734141531</v>
      </c>
    </row>
    <row r="238" spans="1:26" s="24" customFormat="1" hidden="1" outlineLevel="2" x14ac:dyDescent="0.25">
      <c r="A238" s="25"/>
      <c r="B238" s="11" t="str">
        <f>CONCATENATE("          ", "6258", " - ", "MEMBERSHIP DUES")</f>
        <v xml:space="preserve">          6258 - MEMBERSHIP DUES</v>
      </c>
      <c r="C238" s="11"/>
      <c r="D238" s="6">
        <v>1504.37</v>
      </c>
      <c r="E238" s="2"/>
      <c r="F238" s="7">
        <f t="shared" si="96"/>
        <v>2.2200408995057888E-3</v>
      </c>
      <c r="G238" s="2"/>
      <c r="H238" s="6">
        <v>400</v>
      </c>
      <c r="I238" s="2"/>
      <c r="J238" s="7">
        <f t="shared" si="97"/>
        <v>5.5055791736199466E-4</v>
      </c>
      <c r="K238" s="2"/>
      <c r="L238" s="6">
        <f t="shared" si="98"/>
        <v>1104.3699999999999</v>
      </c>
      <c r="M238" s="2"/>
      <c r="N238" s="7">
        <f t="shared" si="99"/>
        <v>2.7609249999999999</v>
      </c>
      <c r="O238" s="11"/>
      <c r="P238" s="6">
        <v>3439.87</v>
      </c>
      <c r="Q238" s="2"/>
      <c r="R238" s="7">
        <f t="shared" si="100"/>
        <v>4.1116049858584729E-4</v>
      </c>
      <c r="S238" s="2"/>
      <c r="T238" s="6">
        <v>14240</v>
      </c>
      <c r="U238" s="2"/>
      <c r="V238" s="7">
        <f t="shared" si="101"/>
        <v>1.5833673298119744E-3</v>
      </c>
      <c r="W238" s="2"/>
      <c r="X238" s="6">
        <f t="shared" si="102"/>
        <v>-10800.130000000001</v>
      </c>
      <c r="Y238" s="2"/>
      <c r="Z238" s="7">
        <f t="shared" si="103"/>
        <v>-0.75843609550561808</v>
      </c>
    </row>
    <row r="239" spans="1:26" s="24" customFormat="1" hidden="1" outlineLevel="2" x14ac:dyDescent="0.25">
      <c r="A239" s="25"/>
      <c r="B239" s="11" t="str">
        <f>CONCATENATE("          ", "6275", " - ", "SUBSCRIPTIONS")</f>
        <v xml:space="preserve">          6275 - SUBSCRIPTIONS</v>
      </c>
      <c r="C239" s="11"/>
      <c r="D239" s="6"/>
      <c r="E239" s="2"/>
      <c r="F239" s="7">
        <f t="shared" si="96"/>
        <v>0</v>
      </c>
      <c r="G239" s="2"/>
      <c r="H239" s="6">
        <v>615</v>
      </c>
      <c r="I239" s="2"/>
      <c r="J239" s="7">
        <f t="shared" si="97"/>
        <v>8.464827979440668E-4</v>
      </c>
      <c r="K239" s="2"/>
      <c r="L239" s="6">
        <f t="shared" si="98"/>
        <v>-615</v>
      </c>
      <c r="M239" s="2"/>
      <c r="N239" s="7">
        <f t="shared" si="99"/>
        <v>-1</v>
      </c>
      <c r="O239" s="11"/>
      <c r="P239" s="6">
        <v>865.36</v>
      </c>
      <c r="Q239" s="2"/>
      <c r="R239" s="7">
        <f t="shared" si="100"/>
        <v>1.0343467894317193E-4</v>
      </c>
      <c r="S239" s="2"/>
      <c r="T239" s="6">
        <v>3495</v>
      </c>
      <c r="U239" s="2"/>
      <c r="V239" s="7">
        <f t="shared" si="101"/>
        <v>3.8861438326494736E-4</v>
      </c>
      <c r="W239" s="2"/>
      <c r="X239" s="6">
        <f t="shared" si="102"/>
        <v>-2629.64</v>
      </c>
      <c r="Y239" s="2"/>
      <c r="Z239" s="7">
        <f t="shared" si="103"/>
        <v>-0.75240057224606582</v>
      </c>
    </row>
    <row r="240" spans="1:26" s="27" customFormat="1" outlineLevel="1" collapsed="1" x14ac:dyDescent="0.25">
      <c r="A240" s="26"/>
      <c r="B240" s="13" t="str">
        <f>CONCATENATE("     ","Supplies                                          ")</f>
        <v xml:space="preserve">     Supplies                                          </v>
      </c>
      <c r="C240" s="13"/>
      <c r="D240" s="1">
        <f>SUM(OSRRefD22_20x_0)</f>
        <v>9402.73</v>
      </c>
      <c r="E240" s="1"/>
      <c r="F240" s="5">
        <f t="shared" ref="F240:F247" si="104">IF(D$12=0,0,D240/D$12)</f>
        <v>1.387587173834234E-2</v>
      </c>
      <c r="G240" s="1"/>
      <c r="H240" s="1">
        <f>SUM(OSRRefH22_20x_0)</f>
        <v>17350</v>
      </c>
      <c r="I240" s="1"/>
      <c r="J240" s="5">
        <f t="shared" ref="J240:J247" si="105">IF(H$12=0,0,H240/H$12)</f>
        <v>2.3880449665576519E-2</v>
      </c>
      <c r="K240" s="1"/>
      <c r="L240" s="1">
        <f t="shared" ref="L240:L247" si="106">+D240-H240</f>
        <v>-7947.27</v>
      </c>
      <c r="M240" s="1"/>
      <c r="N240" s="5">
        <f t="shared" ref="N240:N247" si="107">IF(H240=0,0,L240/H240)</f>
        <v>-0.45805590778097988</v>
      </c>
      <c r="O240" s="13"/>
      <c r="P240" s="1">
        <f>SUM(OSRRefP22_20x_0)</f>
        <v>71276.070000000007</v>
      </c>
      <c r="Q240" s="1"/>
      <c r="R240" s="5">
        <f t="shared" ref="R240:R247" si="108">IF(P$12=0,0,P240/P$12)</f>
        <v>8.5194802357181406E-3</v>
      </c>
      <c r="S240" s="1"/>
      <c r="T240" s="1">
        <f>SUM(OSRRefT22_20x_0)</f>
        <v>136305</v>
      </c>
      <c r="U240" s="1"/>
      <c r="V240" s="5">
        <f t="shared" ref="V240:V247" si="109">IF(T$12=0,0,T240/T$12)</f>
        <v>1.5155960947332946E-2</v>
      </c>
      <c r="W240" s="1"/>
      <c r="X240" s="1">
        <f t="shared" ref="X240:X247" si="110">+P240-T240</f>
        <v>-65028.929999999993</v>
      </c>
      <c r="Y240" s="1"/>
      <c r="Z240" s="5">
        <f t="shared" ref="Z240:Z247" si="111">IF(T240=0,0,X240/T240)</f>
        <v>-0.47708396610542531</v>
      </c>
    </row>
    <row r="241" spans="1:26" s="24" customFormat="1" hidden="1" outlineLevel="2" x14ac:dyDescent="0.25">
      <c r="A241" s="25"/>
      <c r="B241" s="11" t="str">
        <f>CONCATENATE("          ", "6234", " - ", "EXPENDABLE SUPPLIES &amp; EQUIPMEN")</f>
        <v xml:space="preserve">          6234 - EXPENDABLE SUPPLIES &amp; EQUIPMEN</v>
      </c>
      <c r="C241" s="11"/>
      <c r="D241" s="6"/>
      <c r="E241" s="2"/>
      <c r="F241" s="7">
        <f t="shared" si="104"/>
        <v>0</v>
      </c>
      <c r="G241" s="2"/>
      <c r="H241" s="6">
        <v>400</v>
      </c>
      <c r="I241" s="2"/>
      <c r="J241" s="7">
        <f t="shared" si="105"/>
        <v>5.5055791736199466E-4</v>
      </c>
      <c r="K241" s="2"/>
      <c r="L241" s="6">
        <f t="shared" si="106"/>
        <v>-400</v>
      </c>
      <c r="M241" s="2"/>
      <c r="N241" s="7">
        <f t="shared" si="107"/>
        <v>-1</v>
      </c>
      <c r="O241" s="11"/>
      <c r="P241" s="6">
        <v>3160.95</v>
      </c>
      <c r="Q241" s="2"/>
      <c r="R241" s="7">
        <f t="shared" si="108"/>
        <v>3.7782177175443664E-4</v>
      </c>
      <c r="S241" s="2"/>
      <c r="T241" s="6">
        <v>6250</v>
      </c>
      <c r="U241" s="2"/>
      <c r="V241" s="7">
        <f t="shared" si="109"/>
        <v>6.9494703731213766E-4</v>
      </c>
      <c r="W241" s="2"/>
      <c r="X241" s="6">
        <f t="shared" si="110"/>
        <v>-3089.05</v>
      </c>
      <c r="Y241" s="2"/>
      <c r="Z241" s="7">
        <f t="shared" si="111"/>
        <v>-0.49424800000000002</v>
      </c>
    </row>
    <row r="242" spans="1:26" s="24" customFormat="1" hidden="1" outlineLevel="2" x14ac:dyDescent="0.25">
      <c r="A242" s="25"/>
      <c r="B242" s="11" t="str">
        <f>CONCATENATE("          ", "6237", " - ", "JANITORIAL SUPPLIES")</f>
        <v xml:space="preserve">          6237 - JANITORIAL SUPPLIES</v>
      </c>
      <c r="C242" s="11"/>
      <c r="D242" s="6">
        <v>570</v>
      </c>
      <c r="E242" s="2"/>
      <c r="F242" s="7">
        <f t="shared" si="104"/>
        <v>8.411649479305621E-4</v>
      </c>
      <c r="G242" s="2"/>
      <c r="H242" s="6">
        <v>50</v>
      </c>
      <c r="I242" s="2"/>
      <c r="J242" s="7">
        <f t="shared" si="105"/>
        <v>6.8819739670249332E-5</v>
      </c>
      <c r="K242" s="2"/>
      <c r="L242" s="6">
        <f t="shared" si="106"/>
        <v>520</v>
      </c>
      <c r="M242" s="2"/>
      <c r="N242" s="7">
        <f t="shared" si="107"/>
        <v>10.4</v>
      </c>
      <c r="O242" s="11"/>
      <c r="P242" s="6">
        <v>4352.13</v>
      </c>
      <c r="Q242" s="2"/>
      <c r="R242" s="7">
        <f t="shared" si="108"/>
        <v>5.2020103687360972E-4</v>
      </c>
      <c r="S242" s="2"/>
      <c r="T242" s="6">
        <v>355</v>
      </c>
      <c r="U242" s="2"/>
      <c r="V242" s="7">
        <f t="shared" si="109"/>
        <v>3.9472991719329417E-5</v>
      </c>
      <c r="W242" s="2"/>
      <c r="X242" s="6">
        <f t="shared" si="110"/>
        <v>3997.13</v>
      </c>
      <c r="Y242" s="2"/>
      <c r="Z242" s="7">
        <f t="shared" si="111"/>
        <v>11.259521126760564</v>
      </c>
    </row>
    <row r="243" spans="1:26" s="24" customFormat="1" hidden="1" outlineLevel="2" x14ac:dyDescent="0.25">
      <c r="A243" s="25"/>
      <c r="B243" s="11" t="str">
        <f>CONCATENATE("          ", "6241", " - ", "OFFICE EXPENSE")</f>
        <v xml:space="preserve">          6241 - OFFICE EXPENSE</v>
      </c>
      <c r="C243" s="11"/>
      <c r="D243" s="6">
        <v>221.01</v>
      </c>
      <c r="E243" s="2"/>
      <c r="F243" s="7">
        <f t="shared" si="104"/>
        <v>3.2615064060023425E-4</v>
      </c>
      <c r="G243" s="2"/>
      <c r="H243" s="6">
        <v>2775</v>
      </c>
      <c r="I243" s="2"/>
      <c r="J243" s="7">
        <f t="shared" si="105"/>
        <v>3.8194955516988377E-3</v>
      </c>
      <c r="K243" s="2"/>
      <c r="L243" s="6">
        <f t="shared" si="106"/>
        <v>-2553.9899999999998</v>
      </c>
      <c r="M243" s="2"/>
      <c r="N243" s="7">
        <f t="shared" si="107"/>
        <v>-0.92035675675675666</v>
      </c>
      <c r="O243" s="11"/>
      <c r="P243" s="6">
        <v>21734.53</v>
      </c>
      <c r="Q243" s="2"/>
      <c r="R243" s="7">
        <f t="shared" si="108"/>
        <v>2.59788311515524E-3</v>
      </c>
      <c r="S243" s="2"/>
      <c r="T243" s="6">
        <v>13750</v>
      </c>
      <c r="U243" s="2"/>
      <c r="V243" s="7">
        <f t="shared" si="109"/>
        <v>1.5288834820867028E-3</v>
      </c>
      <c r="W243" s="2"/>
      <c r="X243" s="6">
        <f t="shared" si="110"/>
        <v>7984.5299999999988</v>
      </c>
      <c r="Y243" s="2"/>
      <c r="Z243" s="7">
        <f t="shared" si="111"/>
        <v>0.58069309090909083</v>
      </c>
    </row>
    <row r="244" spans="1:26" s="24" customFormat="1" hidden="1" outlineLevel="2" x14ac:dyDescent="0.25">
      <c r="A244" s="25"/>
      <c r="B244" s="11" t="str">
        <f>CONCATENATE("          ", "6243", " - ", "PAPER SUPPLIES")</f>
        <v xml:space="preserve">          6243 - PAPER SUPPLIES</v>
      </c>
      <c r="C244" s="11"/>
      <c r="D244" s="6">
        <v>-285.27999999999997</v>
      </c>
      <c r="E244" s="2"/>
      <c r="F244" s="7">
        <f t="shared" si="104"/>
        <v>-4.2099567779935214E-4</v>
      </c>
      <c r="G244" s="2"/>
      <c r="H244" s="6">
        <v>250</v>
      </c>
      <c r="I244" s="2"/>
      <c r="J244" s="7">
        <f t="shared" si="105"/>
        <v>3.4409869835124666E-4</v>
      </c>
      <c r="K244" s="2"/>
      <c r="L244" s="6">
        <f t="shared" si="106"/>
        <v>-535.28</v>
      </c>
      <c r="M244" s="2"/>
      <c r="N244" s="7">
        <f t="shared" si="107"/>
        <v>-2.1411199999999999</v>
      </c>
      <c r="O244" s="11"/>
      <c r="P244" s="6">
        <v>11567.55</v>
      </c>
      <c r="Q244" s="2"/>
      <c r="R244" s="7">
        <f t="shared" si="108"/>
        <v>1.382645165490765E-3</v>
      </c>
      <c r="S244" s="2"/>
      <c r="T244" s="6">
        <v>3000</v>
      </c>
      <c r="U244" s="2"/>
      <c r="V244" s="7">
        <f t="shared" si="109"/>
        <v>3.3357457790982606E-4</v>
      </c>
      <c r="W244" s="2"/>
      <c r="X244" s="6">
        <f t="shared" si="110"/>
        <v>8567.5499999999993</v>
      </c>
      <c r="Y244" s="2"/>
      <c r="Z244" s="7">
        <f t="shared" si="111"/>
        <v>2.8558499999999998</v>
      </c>
    </row>
    <row r="245" spans="1:26" s="24" customFormat="1" hidden="1" outlineLevel="2" x14ac:dyDescent="0.25">
      <c r="A245" s="25"/>
      <c r="B245" s="11" t="str">
        <f>CONCATENATE("          ", "6245", " - ", "PRINTING")</f>
        <v xml:space="preserve">          6245 - PRINTING</v>
      </c>
      <c r="C245" s="11"/>
      <c r="D245" s="6">
        <v>3266.4</v>
      </c>
      <c r="E245" s="2"/>
      <c r="F245" s="7">
        <f t="shared" si="104"/>
        <v>4.8203178700357684E-3</v>
      </c>
      <c r="G245" s="2"/>
      <c r="H245" s="6">
        <v>100</v>
      </c>
      <c r="I245" s="2"/>
      <c r="J245" s="7">
        <f t="shared" si="105"/>
        <v>1.3763947934049866E-4</v>
      </c>
      <c r="K245" s="2"/>
      <c r="L245" s="6">
        <f t="shared" si="106"/>
        <v>3166.4</v>
      </c>
      <c r="M245" s="2"/>
      <c r="N245" s="7">
        <f t="shared" si="107"/>
        <v>31.664000000000001</v>
      </c>
      <c r="O245" s="11"/>
      <c r="P245" s="6">
        <v>9786.6</v>
      </c>
      <c r="Q245" s="2"/>
      <c r="R245" s="7">
        <f t="shared" si="108"/>
        <v>1.1697719202935731E-3</v>
      </c>
      <c r="S245" s="2"/>
      <c r="T245" s="6">
        <v>2000</v>
      </c>
      <c r="U245" s="2"/>
      <c r="V245" s="7">
        <f t="shared" si="109"/>
        <v>2.2238305193988402E-4</v>
      </c>
      <c r="W245" s="2"/>
      <c r="X245" s="6">
        <f t="shared" si="110"/>
        <v>7786.6</v>
      </c>
      <c r="Y245" s="2"/>
      <c r="Z245" s="7">
        <f t="shared" si="111"/>
        <v>3.8933</v>
      </c>
    </row>
    <row r="246" spans="1:26" s="24" customFormat="1" hidden="1" outlineLevel="2" x14ac:dyDescent="0.25">
      <c r="A246" s="25"/>
      <c r="B246" s="11" t="str">
        <f>CONCATENATE("          ", "6247", " - ", "STORE SUPPLIES")</f>
        <v xml:space="preserve">          6247 - STORE SUPPLIES</v>
      </c>
      <c r="C246" s="11"/>
      <c r="D246" s="6">
        <v>5630.6</v>
      </c>
      <c r="E246" s="2"/>
      <c r="F246" s="7">
        <f t="shared" si="104"/>
        <v>8.3092339575751278E-3</v>
      </c>
      <c r="G246" s="2"/>
      <c r="H246" s="6">
        <v>12775</v>
      </c>
      <c r="I246" s="2"/>
      <c r="J246" s="7">
        <f t="shared" si="105"/>
        <v>1.7583443485748702E-2</v>
      </c>
      <c r="K246" s="2"/>
      <c r="L246" s="6">
        <f t="shared" si="106"/>
        <v>-7144.4</v>
      </c>
      <c r="M246" s="2"/>
      <c r="N246" s="7">
        <f t="shared" si="107"/>
        <v>-0.55924853228962812</v>
      </c>
      <c r="O246" s="11"/>
      <c r="P246" s="6">
        <v>20674.310000000001</v>
      </c>
      <c r="Q246" s="2"/>
      <c r="R246" s="7">
        <f t="shared" si="108"/>
        <v>2.4711572261505144E-3</v>
      </c>
      <c r="S246" s="2"/>
      <c r="T246" s="6">
        <v>102450</v>
      </c>
      <c r="U246" s="2"/>
      <c r="V246" s="7">
        <f t="shared" si="109"/>
        <v>1.139157183562056E-2</v>
      </c>
      <c r="W246" s="2"/>
      <c r="X246" s="6">
        <f t="shared" si="110"/>
        <v>-81775.69</v>
      </c>
      <c r="Y246" s="2"/>
      <c r="Z246" s="7">
        <f t="shared" si="111"/>
        <v>-0.79820097608589557</v>
      </c>
    </row>
    <row r="247" spans="1:26" s="24" customFormat="1" hidden="1" outlineLevel="2" x14ac:dyDescent="0.25">
      <c r="A247" s="25"/>
      <c r="B247" s="11" t="str">
        <f>CONCATENATE("          ", "6248", " - ", "UNIFORMS")</f>
        <v xml:space="preserve">          6248 - UNIFORMS</v>
      </c>
      <c r="C247" s="11"/>
      <c r="D247" s="6"/>
      <c r="E247" s="2"/>
      <c r="F247" s="7">
        <f t="shared" si="104"/>
        <v>0</v>
      </c>
      <c r="G247" s="2"/>
      <c r="H247" s="6">
        <v>1000</v>
      </c>
      <c r="I247" s="2"/>
      <c r="J247" s="7">
        <f t="shared" si="105"/>
        <v>1.3763947934049866E-3</v>
      </c>
      <c r="K247" s="2"/>
      <c r="L247" s="6">
        <f t="shared" si="106"/>
        <v>-1000</v>
      </c>
      <c r="M247" s="2"/>
      <c r="N247" s="7">
        <f t="shared" si="107"/>
        <v>-1</v>
      </c>
      <c r="O247" s="11"/>
      <c r="P247" s="6"/>
      <c r="Q247" s="2"/>
      <c r="R247" s="7">
        <f t="shared" si="108"/>
        <v>0</v>
      </c>
      <c r="S247" s="2"/>
      <c r="T247" s="6">
        <v>8500</v>
      </c>
      <c r="U247" s="2"/>
      <c r="V247" s="7">
        <f t="shared" si="109"/>
        <v>9.4512797074450716E-4</v>
      </c>
      <c r="W247" s="2"/>
      <c r="X247" s="6">
        <f t="shared" si="110"/>
        <v>-8500</v>
      </c>
      <c r="Y247" s="2"/>
      <c r="Z247" s="7">
        <f t="shared" si="111"/>
        <v>-1</v>
      </c>
    </row>
    <row r="248" spans="1:26" s="27" customFormat="1" outlineLevel="1" collapsed="1" x14ac:dyDescent="0.25">
      <c r="A248" s="26"/>
      <c r="B248" s="13" t="str">
        <f>CONCATENATE("     ","Telephone/Data Lines                              ")</f>
        <v xml:space="preserve">     Telephone/Data Lines                              </v>
      </c>
      <c r="C248" s="13"/>
      <c r="D248" s="1">
        <f>SUM(OSRRefD22_21x_0)</f>
        <v>2815.26</v>
      </c>
      <c r="E248" s="1"/>
      <c r="F248" s="5">
        <f t="shared" ref="F248:F250" si="112">IF(D$12=0,0,D248/D$12)</f>
        <v>4.1545579496684113E-3</v>
      </c>
      <c r="G248" s="1"/>
      <c r="H248" s="1">
        <f>SUM(OSRRefH22_21x_0)</f>
        <v>3140</v>
      </c>
      <c r="I248" s="1"/>
      <c r="J248" s="5">
        <f t="shared" ref="J248:J250" si="113">IF(H$12=0,0,H248/H$12)</f>
        <v>4.3218796512916576E-3</v>
      </c>
      <c r="K248" s="1"/>
      <c r="L248" s="1">
        <f t="shared" ref="L248:L250" si="114">+D248-H248</f>
        <v>-324.73999999999978</v>
      </c>
      <c r="M248" s="1"/>
      <c r="N248" s="5">
        <f t="shared" ref="N248:N250" si="115">IF(H248=0,0,L248/H248)</f>
        <v>-0.10342038216560502</v>
      </c>
      <c r="O248" s="13"/>
      <c r="P248" s="1">
        <f>SUM(OSRRefP22_21x_0)</f>
        <v>21463.200000000001</v>
      </c>
      <c r="Q248" s="1"/>
      <c r="R248" s="5">
        <f t="shared" ref="R248:R250" si="116">IF(P$12=0,0,P248/P$12)</f>
        <v>2.5654516052198944E-3</v>
      </c>
      <c r="S248" s="1"/>
      <c r="T248" s="1">
        <f>SUM(OSRRefT22_21x_0)</f>
        <v>23995</v>
      </c>
      <c r="U248" s="1"/>
      <c r="V248" s="5">
        <f t="shared" ref="V248:V250" si="117">IF(T$12=0,0,T248/T$12)</f>
        <v>2.6680406656487588E-3</v>
      </c>
      <c r="W248" s="1"/>
      <c r="X248" s="1">
        <f t="shared" ref="X248:X250" si="118">+P248-T248</f>
        <v>-2531.7999999999993</v>
      </c>
      <c r="Y248" s="1"/>
      <c r="Z248" s="5">
        <f t="shared" ref="Z248:Z250" si="119">IF(T248=0,0,X248/T248)</f>
        <v>-0.10551364867680764</v>
      </c>
    </row>
    <row r="249" spans="1:26" s="24" customFormat="1" hidden="1" outlineLevel="2" x14ac:dyDescent="0.25">
      <c r="A249" s="25"/>
      <c r="B249" s="11" t="str">
        <f>CONCATENATE("          ", "6303", " - ", "DATA PHONE LINES")</f>
        <v xml:space="preserve">          6303 - DATA PHONE LINES</v>
      </c>
      <c r="C249" s="11"/>
      <c r="D249" s="6">
        <v>295</v>
      </c>
      <c r="E249" s="2"/>
      <c r="F249" s="7">
        <f t="shared" si="112"/>
        <v>4.353397537535365E-4</v>
      </c>
      <c r="G249" s="2"/>
      <c r="H249" s="6">
        <v>1350</v>
      </c>
      <c r="I249" s="2"/>
      <c r="J249" s="7">
        <f t="shared" si="113"/>
        <v>1.8581329710967319E-3</v>
      </c>
      <c r="K249" s="2"/>
      <c r="L249" s="6">
        <f t="shared" si="114"/>
        <v>-1055</v>
      </c>
      <c r="M249" s="2"/>
      <c r="N249" s="7">
        <f t="shared" si="115"/>
        <v>-0.78148148148148144</v>
      </c>
      <c r="O249" s="11"/>
      <c r="P249" s="6">
        <v>2360</v>
      </c>
      <c r="Q249" s="2"/>
      <c r="R249" s="7">
        <f t="shared" si="116"/>
        <v>2.8208588599644744E-4</v>
      </c>
      <c r="S249" s="2"/>
      <c r="T249" s="6">
        <v>8725</v>
      </c>
      <c r="U249" s="2"/>
      <c r="V249" s="7">
        <f t="shared" si="117"/>
        <v>9.7014606408774408E-4</v>
      </c>
      <c r="W249" s="2"/>
      <c r="X249" s="6">
        <f t="shared" si="118"/>
        <v>-6365</v>
      </c>
      <c r="Y249" s="2"/>
      <c r="Z249" s="7">
        <f t="shared" si="119"/>
        <v>-0.72951289398280805</v>
      </c>
    </row>
    <row r="250" spans="1:26" s="24" customFormat="1" hidden="1" outlineLevel="2" x14ac:dyDescent="0.25">
      <c r="A250" s="25"/>
      <c r="B250" s="11" t="str">
        <f>CONCATENATE("          ", "6309", " - ", "TELEPHONE")</f>
        <v xml:space="preserve">          6309 - TELEPHONE</v>
      </c>
      <c r="C250" s="11"/>
      <c r="D250" s="6">
        <v>2520.2600000000002</v>
      </c>
      <c r="E250" s="2"/>
      <c r="F250" s="7">
        <f t="shared" si="112"/>
        <v>3.7192181959148749E-3</v>
      </c>
      <c r="G250" s="2"/>
      <c r="H250" s="6">
        <v>1790</v>
      </c>
      <c r="I250" s="2"/>
      <c r="J250" s="7">
        <f t="shared" si="113"/>
        <v>2.4637466801949262E-3</v>
      </c>
      <c r="K250" s="2"/>
      <c r="L250" s="6">
        <f t="shared" si="114"/>
        <v>730.26000000000022</v>
      </c>
      <c r="M250" s="2"/>
      <c r="N250" s="7">
        <f t="shared" si="115"/>
        <v>0.40796648044692752</v>
      </c>
      <c r="O250" s="11"/>
      <c r="P250" s="6">
        <v>19103.2</v>
      </c>
      <c r="Q250" s="2"/>
      <c r="R250" s="7">
        <f t="shared" si="116"/>
        <v>2.2833657192234472E-3</v>
      </c>
      <c r="S250" s="2"/>
      <c r="T250" s="6">
        <v>15270</v>
      </c>
      <c r="U250" s="2"/>
      <c r="V250" s="7">
        <f t="shared" si="117"/>
        <v>1.6978946015610147E-3</v>
      </c>
      <c r="W250" s="2"/>
      <c r="X250" s="6">
        <f t="shared" si="118"/>
        <v>3833.2000000000007</v>
      </c>
      <c r="Y250" s="2"/>
      <c r="Z250" s="7">
        <f t="shared" si="119"/>
        <v>0.2510281597904388</v>
      </c>
    </row>
    <row r="251" spans="1:26" s="27" customFormat="1" outlineLevel="1" collapsed="1" x14ac:dyDescent="0.25">
      <c r="A251" s="26"/>
      <c r="B251" s="13" t="str">
        <f>CONCATENATE("     ","Training                                          ")</f>
        <v xml:space="preserve">     Training                                          </v>
      </c>
      <c r="C251" s="13"/>
      <c r="D251" s="1">
        <f>SUM(OSRRefD22_22x_0)</f>
        <v>6273.84</v>
      </c>
      <c r="E251" s="1"/>
      <c r="F251" s="5">
        <f t="shared" ref="F251:F256" si="120">IF(D$12=0,0,D251/D$12)</f>
        <v>9.258481222674874E-3</v>
      </c>
      <c r="G251" s="1"/>
      <c r="H251" s="1">
        <f>SUM(OSRRefH22_22x_0)</f>
        <v>3600</v>
      </c>
      <c r="I251" s="1"/>
      <c r="J251" s="5">
        <f t="shared" ref="J251:J256" si="121">IF(H$12=0,0,H251/H$12)</f>
        <v>4.9550212562579519E-3</v>
      </c>
      <c r="K251" s="1"/>
      <c r="L251" s="1">
        <f t="shared" ref="L251:L256" si="122">+D251-H251</f>
        <v>2673.84</v>
      </c>
      <c r="M251" s="1"/>
      <c r="N251" s="5">
        <f t="shared" ref="N251:N256" si="123">IF(H251=0,0,L251/H251)</f>
        <v>0.74273333333333336</v>
      </c>
      <c r="O251" s="13"/>
      <c r="P251" s="1">
        <f>SUM(OSRRefP22_22x_0)</f>
        <v>15893.729999999998</v>
      </c>
      <c r="Q251" s="1"/>
      <c r="R251" s="5">
        <f t="shared" ref="R251:R256" si="124">IF(P$12=0,0,P251/P$12)</f>
        <v>1.8997444528975915E-3</v>
      </c>
      <c r="S251" s="1"/>
      <c r="T251" s="1">
        <f>SUM(OSRRefT22_22x_0)</f>
        <v>19650</v>
      </c>
      <c r="U251" s="1"/>
      <c r="V251" s="5">
        <f t="shared" ref="V251:V256" si="125">IF(T$12=0,0,T251/T$12)</f>
        <v>2.1849134853093605E-3</v>
      </c>
      <c r="W251" s="1"/>
      <c r="X251" s="1">
        <f t="shared" ref="X251:X256" si="126">+P251-T251</f>
        <v>-3756.2700000000023</v>
      </c>
      <c r="Y251" s="1"/>
      <c r="Z251" s="5">
        <f t="shared" ref="Z251:Z256" si="127">IF(T251=0,0,X251/T251)</f>
        <v>-0.19115877862595432</v>
      </c>
    </row>
    <row r="252" spans="1:26" s="24" customFormat="1" hidden="1" outlineLevel="2" x14ac:dyDescent="0.25">
      <c r="A252" s="25"/>
      <c r="B252" s="11" t="str">
        <f>CONCATENATE("          ", "6376", " - ", "TRAINING")</f>
        <v xml:space="preserve">          6376 - TRAINING</v>
      </c>
      <c r="C252" s="11"/>
      <c r="D252" s="6">
        <v>6273.84</v>
      </c>
      <c r="E252" s="2"/>
      <c r="F252" s="7">
        <f t="shared" si="120"/>
        <v>9.258481222674874E-3</v>
      </c>
      <c r="G252" s="2"/>
      <c r="H252" s="6">
        <v>3600</v>
      </c>
      <c r="I252" s="2"/>
      <c r="J252" s="7">
        <f t="shared" si="121"/>
        <v>4.9550212562579519E-3</v>
      </c>
      <c r="K252" s="2"/>
      <c r="L252" s="6">
        <f t="shared" si="122"/>
        <v>2673.84</v>
      </c>
      <c r="M252" s="2"/>
      <c r="N252" s="7">
        <f t="shared" si="123"/>
        <v>0.74273333333333336</v>
      </c>
      <c r="O252" s="11"/>
      <c r="P252" s="6">
        <v>15893.729999999998</v>
      </c>
      <c r="Q252" s="2"/>
      <c r="R252" s="7">
        <f t="shared" si="124"/>
        <v>1.8997444528975915E-3</v>
      </c>
      <c r="S252" s="2"/>
      <c r="T252" s="6">
        <v>19650</v>
      </c>
      <c r="U252" s="2"/>
      <c r="V252" s="7">
        <f t="shared" si="125"/>
        <v>2.1849134853093605E-3</v>
      </c>
      <c r="W252" s="2"/>
      <c r="X252" s="6">
        <f t="shared" si="126"/>
        <v>-3756.2700000000023</v>
      </c>
      <c r="Y252" s="2"/>
      <c r="Z252" s="7">
        <f t="shared" si="127"/>
        <v>-0.19115877862595432</v>
      </c>
    </row>
    <row r="253" spans="1:26" s="27" customFormat="1" outlineLevel="1" collapsed="1" x14ac:dyDescent="0.25">
      <c r="A253" s="26"/>
      <c r="B253" s="13" t="str">
        <f>CONCATENATE("     ","Travel                                            ")</f>
        <v xml:space="preserve">     Travel                                            </v>
      </c>
      <c r="C253" s="13"/>
      <c r="D253" s="1">
        <f>SUM(OSRRefD22_23x_0)</f>
        <v>102.13</v>
      </c>
      <c r="E253" s="1"/>
      <c r="F253" s="5">
        <f t="shared" si="120"/>
        <v>1.5071609847745317E-4</v>
      </c>
      <c r="G253" s="1"/>
      <c r="H253" s="1">
        <f>SUM(OSRRefH22_23x_0)</f>
        <v>175</v>
      </c>
      <c r="I253" s="1"/>
      <c r="J253" s="5">
        <f t="shared" si="121"/>
        <v>2.4086908884587266E-4</v>
      </c>
      <c r="K253" s="1"/>
      <c r="L253" s="1">
        <f t="shared" si="122"/>
        <v>-72.87</v>
      </c>
      <c r="M253" s="1"/>
      <c r="N253" s="5">
        <f t="shared" si="123"/>
        <v>-0.41640000000000005</v>
      </c>
      <c r="O253" s="13"/>
      <c r="P253" s="1">
        <f>SUM(OSRRefP22_23x_0)</f>
        <v>1072.17</v>
      </c>
      <c r="Q253" s="1"/>
      <c r="R253" s="5">
        <f t="shared" si="124"/>
        <v>1.2815424762237758E-4</v>
      </c>
      <c r="S253" s="1"/>
      <c r="T253" s="1">
        <f>SUM(OSRRefT22_23x_0)</f>
        <v>1335</v>
      </c>
      <c r="U253" s="1"/>
      <c r="V253" s="5">
        <f t="shared" si="125"/>
        <v>1.4844068716987258E-4</v>
      </c>
      <c r="W253" s="1"/>
      <c r="X253" s="1">
        <f t="shared" si="126"/>
        <v>-262.82999999999993</v>
      </c>
      <c r="Y253" s="1"/>
      <c r="Z253" s="5">
        <f t="shared" si="127"/>
        <v>-0.19687640449438196</v>
      </c>
    </row>
    <row r="254" spans="1:26" s="24" customFormat="1" hidden="1" outlineLevel="2" x14ac:dyDescent="0.25">
      <c r="A254" s="25"/>
      <c r="B254" s="11" t="str">
        <f>CONCATENATE("          ", "6292", " - ", "TRAVEL/CONFERENCE")</f>
        <v xml:space="preserve">          6292 - TRAVEL/CONFERENCE</v>
      </c>
      <c r="C254" s="11"/>
      <c r="D254" s="6">
        <v>47.96</v>
      </c>
      <c r="E254" s="2"/>
      <c r="F254" s="7">
        <f t="shared" si="120"/>
        <v>7.0775913864473257E-5</v>
      </c>
      <c r="G254" s="2"/>
      <c r="H254" s="6"/>
      <c r="I254" s="2"/>
      <c r="J254" s="7">
        <f t="shared" si="121"/>
        <v>0</v>
      </c>
      <c r="K254" s="2"/>
      <c r="L254" s="6">
        <f t="shared" si="122"/>
        <v>47.96</v>
      </c>
      <c r="M254" s="2"/>
      <c r="N254" s="7">
        <f t="shared" si="123"/>
        <v>0</v>
      </c>
      <c r="O254" s="11"/>
      <c r="P254" s="6">
        <v>413.56</v>
      </c>
      <c r="Q254" s="2"/>
      <c r="R254" s="7">
        <f t="shared" si="124"/>
        <v>4.943196568334356E-5</v>
      </c>
      <c r="S254" s="2"/>
      <c r="T254" s="6"/>
      <c r="U254" s="2"/>
      <c r="V254" s="7">
        <f t="shared" si="125"/>
        <v>0</v>
      </c>
      <c r="W254" s="2"/>
      <c r="X254" s="6">
        <f t="shared" si="126"/>
        <v>413.56</v>
      </c>
      <c r="Y254" s="2"/>
      <c r="Z254" s="7">
        <f t="shared" si="127"/>
        <v>0</v>
      </c>
    </row>
    <row r="255" spans="1:26" s="24" customFormat="1" hidden="1" outlineLevel="2" x14ac:dyDescent="0.25">
      <c r="A255" s="25"/>
      <c r="B255" s="11" t="str">
        <f>CONCATENATE("          ", "6294", " - ", "TRAVEL OPERATIONAL")</f>
        <v xml:space="preserve">          6294 - TRAVEL OPERATIONAL</v>
      </c>
      <c r="C255" s="11"/>
      <c r="D255" s="6">
        <v>35.29</v>
      </c>
      <c r="E255" s="2"/>
      <c r="F255" s="7">
        <f t="shared" si="120"/>
        <v>5.2078440372753574E-5</v>
      </c>
      <c r="G255" s="2"/>
      <c r="H255" s="6">
        <v>75</v>
      </c>
      <c r="I255" s="2"/>
      <c r="J255" s="7">
        <f t="shared" si="121"/>
        <v>1.03229609505374E-4</v>
      </c>
      <c r="K255" s="2"/>
      <c r="L255" s="6">
        <f t="shared" si="122"/>
        <v>-39.71</v>
      </c>
      <c r="M255" s="2"/>
      <c r="N255" s="7">
        <f t="shared" si="123"/>
        <v>-0.52946666666666664</v>
      </c>
      <c r="O255" s="11"/>
      <c r="P255" s="6">
        <v>347.48</v>
      </c>
      <c r="Q255" s="2"/>
      <c r="R255" s="7">
        <f t="shared" si="124"/>
        <v>4.1533560875443038E-5</v>
      </c>
      <c r="S255" s="2"/>
      <c r="T255" s="6">
        <v>785</v>
      </c>
      <c r="U255" s="2"/>
      <c r="V255" s="7">
        <f t="shared" si="125"/>
        <v>8.7285347886404487E-5</v>
      </c>
      <c r="W255" s="2"/>
      <c r="X255" s="6">
        <f t="shared" si="126"/>
        <v>-437.52</v>
      </c>
      <c r="Y255" s="2"/>
      <c r="Z255" s="7">
        <f t="shared" si="127"/>
        <v>-0.55735031847133754</v>
      </c>
    </row>
    <row r="256" spans="1:26" s="24" customFormat="1" hidden="1" outlineLevel="2" x14ac:dyDescent="0.25">
      <c r="A256" s="25"/>
      <c r="B256" s="11" t="str">
        <f>CONCATENATE("          ", "6298", " - ", "VEHICLE MILEAGE")</f>
        <v xml:space="preserve">          6298 - VEHICLE MILEAGE</v>
      </c>
      <c r="C256" s="11"/>
      <c r="D256" s="6">
        <v>18.88</v>
      </c>
      <c r="E256" s="2"/>
      <c r="F256" s="7">
        <f t="shared" si="120"/>
        <v>2.7861744240226335E-5</v>
      </c>
      <c r="G256" s="2"/>
      <c r="H256" s="6">
        <v>100</v>
      </c>
      <c r="I256" s="2"/>
      <c r="J256" s="7">
        <f t="shared" si="121"/>
        <v>1.3763947934049866E-4</v>
      </c>
      <c r="K256" s="2"/>
      <c r="L256" s="6">
        <f t="shared" si="122"/>
        <v>-81.12</v>
      </c>
      <c r="M256" s="2"/>
      <c r="N256" s="7">
        <f t="shared" si="123"/>
        <v>-0.81120000000000003</v>
      </c>
      <c r="O256" s="11"/>
      <c r="P256" s="6">
        <v>311.13</v>
      </c>
      <c r="Q256" s="2"/>
      <c r="R256" s="7">
        <f t="shared" si="124"/>
        <v>3.7188721063590974E-5</v>
      </c>
      <c r="S256" s="2"/>
      <c r="T256" s="6">
        <v>550</v>
      </c>
      <c r="U256" s="2"/>
      <c r="V256" s="7">
        <f t="shared" si="125"/>
        <v>6.1155339283468108E-5</v>
      </c>
      <c r="W256" s="2"/>
      <c r="X256" s="6">
        <f t="shared" si="126"/>
        <v>-238.87</v>
      </c>
      <c r="Y256" s="2"/>
      <c r="Z256" s="7">
        <f t="shared" si="127"/>
        <v>-0.43430909090909092</v>
      </c>
    </row>
    <row r="257" spans="1:26" s="27" customFormat="1" outlineLevel="1" collapsed="1" x14ac:dyDescent="0.25">
      <c r="A257" s="26"/>
      <c r="B257" s="13" t="str">
        <f>CONCATENATE("     ","Utilities                                         ")</f>
        <v xml:space="preserve">     Utilities                                         </v>
      </c>
      <c r="C257" s="13"/>
      <c r="D257" s="1">
        <f>SUM(OSRRefD22_24x_0)</f>
        <v>8525.9699999999993</v>
      </c>
      <c r="E257" s="1"/>
      <c r="F257" s="5">
        <f t="shared" ref="F257:F258" si="128">IF(D$12=0,0,D257/D$12)</f>
        <v>1.2582012475627253E-2</v>
      </c>
      <c r="G257" s="1"/>
      <c r="H257" s="1">
        <f>SUM(OSRRefH22_24x_0)</f>
        <v>8000</v>
      </c>
      <c r="I257" s="1"/>
      <c r="J257" s="5">
        <f t="shared" ref="J257:J258" si="129">IF(H$12=0,0,H257/H$12)</f>
        <v>1.1011158347239893E-2</v>
      </c>
      <c r="K257" s="1"/>
      <c r="L257" s="1">
        <f t="shared" ref="L257:L258" si="130">+D257-H257</f>
        <v>525.96999999999935</v>
      </c>
      <c r="M257" s="1"/>
      <c r="N257" s="5">
        <f t="shared" ref="N257:N258" si="131">IF(H257=0,0,L257/H257)</f>
        <v>6.5746249999999923E-2</v>
      </c>
      <c r="O257" s="13"/>
      <c r="P257" s="1">
        <f>SUM(OSRRefP22_24x_0)</f>
        <v>46858.79</v>
      </c>
      <c r="Q257" s="1"/>
      <c r="R257" s="5">
        <f t="shared" ref="R257:R258" si="132">IF(P$12=0,0,P257/P$12)</f>
        <v>5.6009335990980817E-3</v>
      </c>
      <c r="S257" s="1"/>
      <c r="T257" s="1">
        <f>SUM(OSRRefT22_24x_0)</f>
        <v>43675</v>
      </c>
      <c r="U257" s="1"/>
      <c r="V257" s="5">
        <f t="shared" ref="V257:V258" si="133">IF(T$12=0,0,T257/T$12)</f>
        <v>4.8562898967372172E-3</v>
      </c>
      <c r="W257" s="1"/>
      <c r="X257" s="1">
        <f t="shared" ref="X257:X258" si="134">+P257-T257</f>
        <v>3183.7900000000009</v>
      </c>
      <c r="Y257" s="1"/>
      <c r="Z257" s="5">
        <f t="shared" ref="Z257:Z258" si="135">IF(T257=0,0,X257/T257)</f>
        <v>7.2897309673726401E-2</v>
      </c>
    </row>
    <row r="258" spans="1:26" s="24" customFormat="1" hidden="1" outlineLevel="2" x14ac:dyDescent="0.25">
      <c r="A258" s="25"/>
      <c r="B258" s="11" t="str">
        <f>CONCATENATE("          ", "6274", " - ", "UTILITIES")</f>
        <v xml:space="preserve">          6274 - UTILITIES</v>
      </c>
      <c r="C258" s="11"/>
      <c r="D258" s="6">
        <v>8525.9699999999993</v>
      </c>
      <c r="E258" s="2"/>
      <c r="F258" s="7">
        <f t="shared" si="128"/>
        <v>1.2582012475627253E-2</v>
      </c>
      <c r="G258" s="2"/>
      <c r="H258" s="6">
        <v>8000</v>
      </c>
      <c r="I258" s="2"/>
      <c r="J258" s="7">
        <f t="shared" si="129"/>
        <v>1.1011158347239893E-2</v>
      </c>
      <c r="K258" s="2"/>
      <c r="L258" s="6">
        <f t="shared" si="130"/>
        <v>525.96999999999935</v>
      </c>
      <c r="M258" s="2"/>
      <c r="N258" s="7">
        <f t="shared" si="131"/>
        <v>6.5746249999999923E-2</v>
      </c>
      <c r="O258" s="11"/>
      <c r="P258" s="6">
        <v>46858.79</v>
      </c>
      <c r="Q258" s="2"/>
      <c r="R258" s="7">
        <f t="shared" si="132"/>
        <v>5.6009335990980817E-3</v>
      </c>
      <c r="S258" s="2"/>
      <c r="T258" s="6">
        <v>43675</v>
      </c>
      <c r="U258" s="2"/>
      <c r="V258" s="7">
        <f t="shared" si="133"/>
        <v>4.8562898967372172E-3</v>
      </c>
      <c r="W258" s="2"/>
      <c r="X258" s="6">
        <f t="shared" si="134"/>
        <v>3183.7900000000009</v>
      </c>
      <c r="Y258" s="2"/>
      <c r="Z258" s="7">
        <f t="shared" si="135"/>
        <v>7.2897309673726401E-2</v>
      </c>
    </row>
    <row r="259" spans="1:26" s="53" customFormat="1" x14ac:dyDescent="0.25">
      <c r="A259" s="36"/>
      <c r="B259" s="36"/>
      <c r="C259" s="36"/>
      <c r="D259" s="1"/>
      <c r="E259" s="1"/>
      <c r="F259" s="5"/>
      <c r="G259" s="1"/>
      <c r="H259" s="1"/>
      <c r="I259" s="1"/>
      <c r="J259" s="5"/>
      <c r="K259" s="1"/>
      <c r="L259" s="1"/>
      <c r="M259" s="1"/>
      <c r="N259" s="5"/>
      <c r="O259" s="36"/>
      <c r="P259" s="1"/>
      <c r="Q259" s="1"/>
      <c r="R259" s="5"/>
      <c r="S259" s="1"/>
      <c r="T259" s="1"/>
      <c r="U259" s="1"/>
      <c r="V259" s="5"/>
      <c r="W259" s="1"/>
      <c r="X259" s="1"/>
      <c r="Y259" s="1"/>
      <c r="Z259" s="5"/>
    </row>
    <row r="260" spans="1:26" s="23" customFormat="1" collapsed="1" x14ac:dyDescent="0.25">
      <c r="A260" s="10"/>
      <c r="B260" s="29" t="s">
        <v>0</v>
      </c>
      <c r="C260" s="10"/>
      <c r="D260" s="4">
        <f>SUM(OSRRefD25x_0)</f>
        <v>170622.77000000002</v>
      </c>
      <c r="E260" s="4"/>
      <c r="F260" s="12">
        <f t="shared" ref="F260:F269" si="136">IF(D$12=0,0,D260/D$12)</f>
        <v>0.25179279551371631</v>
      </c>
      <c r="G260" s="4"/>
      <c r="H260" s="4">
        <f>SUM(OSRRefH25x_0)</f>
        <v>133875</v>
      </c>
      <c r="I260" s="4"/>
      <c r="J260" s="12">
        <f t="shared" ref="J260:J269" si="137">IF(H$12=0,0,H260/H$12)</f>
        <v>0.18426485296709258</v>
      </c>
      <c r="K260" s="4"/>
      <c r="L260" s="4">
        <f t="shared" ref="L260:L269" si="138">+D260-H260</f>
        <v>36747.770000000019</v>
      </c>
      <c r="M260" s="4"/>
      <c r="N260" s="12">
        <f t="shared" ref="N260:N269" si="139">IF(H260=0,0,L260/H260)</f>
        <v>0.27449314659197027</v>
      </c>
      <c r="O260" s="10"/>
      <c r="P260" s="4">
        <f>SUM(OSRRefP25x_0)</f>
        <v>637369.49</v>
      </c>
      <c r="Q260" s="4"/>
      <c r="R260" s="12">
        <f t="shared" ref="R260:R269" si="140">IF(P$12=0,0,P260/P$12)</f>
        <v>7.6183448005827908E-2</v>
      </c>
      <c r="S260" s="4"/>
      <c r="T260" s="4">
        <f>SUM(OSRRefT25x_0)</f>
        <v>642150</v>
      </c>
      <c r="U260" s="4"/>
      <c r="V260" s="12">
        <f t="shared" ref="V260:V269" si="141">IF(T$12=0,0,T260/T$12)</f>
        <v>7.1401638401598272E-2</v>
      </c>
      <c r="W260" s="4"/>
      <c r="X260" s="4">
        <f t="shared" ref="X260:X269" si="142">+P260-T260</f>
        <v>-4780.5100000000093</v>
      </c>
      <c r="Y260" s="4"/>
      <c r="Z260" s="12">
        <f t="shared" ref="Z260:Z269" si="143">IF(T260=0,0,X260/T260)</f>
        <v>-7.4445378805575169E-3</v>
      </c>
    </row>
    <row r="261" spans="1:26" s="24" customFormat="1" hidden="1" outlineLevel="1" x14ac:dyDescent="0.25">
      <c r="A261" s="44"/>
      <c r="B261" s="11" t="str">
        <f>CONCATENATE("          ", "4098", " - ", "TAXABLE SALES-GRAD RENTALS")</f>
        <v xml:space="preserve">          4098 - TAXABLE SALES-GRAD RENTALS</v>
      </c>
      <c r="C261" s="11"/>
      <c r="D261" s="2">
        <f>--110</f>
        <v>110</v>
      </c>
      <c r="E261" s="2"/>
      <c r="F261" s="19">
        <f t="shared" si="136"/>
        <v>1.6233007767081024E-4</v>
      </c>
      <c r="G261" s="2"/>
      <c r="H261" s="2"/>
      <c r="I261" s="2"/>
      <c r="J261" s="19">
        <f t="shared" si="137"/>
        <v>0</v>
      </c>
      <c r="K261" s="2"/>
      <c r="L261" s="2">
        <f t="shared" si="138"/>
        <v>110</v>
      </c>
      <c r="M261" s="2"/>
      <c r="N261" s="19">
        <f t="shared" si="139"/>
        <v>0</v>
      </c>
      <c r="O261" s="11"/>
      <c r="P261" s="2">
        <f>--2056.85</f>
        <v>2056.85</v>
      </c>
      <c r="Q261" s="2"/>
      <c r="R261" s="19">
        <f t="shared" si="140"/>
        <v>2.4585099771686143E-4</v>
      </c>
      <c r="S261" s="2"/>
      <c r="T261" s="2"/>
      <c r="U261" s="2"/>
      <c r="V261" s="19">
        <f t="shared" si="141"/>
        <v>0</v>
      </c>
      <c r="W261" s="2"/>
      <c r="X261" s="2">
        <f t="shared" si="142"/>
        <v>2056.85</v>
      </c>
      <c r="Y261" s="2"/>
      <c r="Z261" s="19">
        <f t="shared" si="143"/>
        <v>0</v>
      </c>
    </row>
    <row r="262" spans="1:26" s="24" customFormat="1" hidden="1" outlineLevel="1" x14ac:dyDescent="0.25">
      <c r="A262" s="44"/>
      <c r="B262" s="11" t="str">
        <f>CONCATENATE("          ", "4197", " - ", "NON-TAXABLE SALES-RETURNED CHE")</f>
        <v xml:space="preserve">          4197 - NON-TAXABLE SALES-RETURNED CHE</v>
      </c>
      <c r="C262" s="11"/>
      <c r="D262" s="2">
        <f t="shared" ref="D262:D263" si="144">0</f>
        <v>0</v>
      </c>
      <c r="E262" s="2"/>
      <c r="F262" s="19">
        <f t="shared" si="136"/>
        <v>0</v>
      </c>
      <c r="G262" s="2"/>
      <c r="H262" s="2"/>
      <c r="I262" s="2"/>
      <c r="J262" s="19">
        <f t="shared" si="137"/>
        <v>0</v>
      </c>
      <c r="K262" s="2"/>
      <c r="L262" s="2">
        <f t="shared" si="138"/>
        <v>0</v>
      </c>
      <c r="M262" s="2"/>
      <c r="N262" s="19">
        <f t="shared" si="139"/>
        <v>0</v>
      </c>
      <c r="O262" s="11"/>
      <c r="P262" s="2">
        <f>--30</f>
        <v>30</v>
      </c>
      <c r="Q262" s="2"/>
      <c r="R262" s="19">
        <f t="shared" si="140"/>
        <v>3.5858375338531457E-6</v>
      </c>
      <c r="S262" s="2"/>
      <c r="T262" s="2"/>
      <c r="U262" s="2"/>
      <c r="V262" s="19">
        <f t="shared" si="141"/>
        <v>0</v>
      </c>
      <c r="W262" s="2"/>
      <c r="X262" s="2">
        <f t="shared" si="142"/>
        <v>30</v>
      </c>
      <c r="Y262" s="2"/>
      <c r="Z262" s="19">
        <f t="shared" si="143"/>
        <v>0</v>
      </c>
    </row>
    <row r="263" spans="1:26" s="24" customFormat="1" hidden="1" outlineLevel="1" x14ac:dyDescent="0.25">
      <c r="A263" s="44"/>
      <c r="B263" s="11" t="str">
        <f>CONCATENATE("          ", "4198", " - ", "NON-TAXABLE SALES-GRAD RENTALS")</f>
        <v xml:space="preserve">          4198 - NON-TAXABLE SALES-GRAD RENTALS</v>
      </c>
      <c r="C263" s="11"/>
      <c r="D263" s="2">
        <f t="shared" si="144"/>
        <v>0</v>
      </c>
      <c r="E263" s="2"/>
      <c r="F263" s="19">
        <f t="shared" si="136"/>
        <v>0</v>
      </c>
      <c r="G263" s="2"/>
      <c r="H263" s="2"/>
      <c r="I263" s="2"/>
      <c r="J263" s="19">
        <f t="shared" si="137"/>
        <v>0</v>
      </c>
      <c r="K263" s="2"/>
      <c r="L263" s="2">
        <f t="shared" si="138"/>
        <v>0</v>
      </c>
      <c r="M263" s="2"/>
      <c r="N263" s="19">
        <f t="shared" si="139"/>
        <v>0</v>
      </c>
      <c r="O263" s="11"/>
      <c r="P263" s="2">
        <f>--3732.1</f>
        <v>3732.1</v>
      </c>
      <c r="Q263" s="2"/>
      <c r="R263" s="19">
        <f t="shared" si="140"/>
        <v>4.4609014200311083E-4</v>
      </c>
      <c r="S263" s="2"/>
      <c r="T263" s="2"/>
      <c r="U263" s="2"/>
      <c r="V263" s="19">
        <f t="shared" si="141"/>
        <v>0</v>
      </c>
      <c r="W263" s="2"/>
      <c r="X263" s="2">
        <f t="shared" si="142"/>
        <v>3732.1</v>
      </c>
      <c r="Y263" s="2"/>
      <c r="Z263" s="19">
        <f t="shared" si="143"/>
        <v>0</v>
      </c>
    </row>
    <row r="264" spans="1:26" s="24" customFormat="1" hidden="1" outlineLevel="1" x14ac:dyDescent="0.25">
      <c r="A264" s="44"/>
      <c r="B264" s="11" t="str">
        <f>CONCATENATE("          ", "9150", " - ", "MISC. INCOME")</f>
        <v xml:space="preserve">          9150 - MISC. INCOME</v>
      </c>
      <c r="C264" s="11"/>
      <c r="D264" s="2">
        <f>--77055.16</f>
        <v>77055.16</v>
      </c>
      <c r="E264" s="2"/>
      <c r="F264" s="19">
        <f t="shared" si="136"/>
        <v>0.11371245552487919</v>
      </c>
      <c r="G264" s="2"/>
      <c r="H264" s="2">
        <v>29225</v>
      </c>
      <c r="I264" s="2"/>
      <c r="J264" s="19">
        <f t="shared" si="137"/>
        <v>4.0225137837260734E-2</v>
      </c>
      <c r="K264" s="2"/>
      <c r="L264" s="2">
        <f t="shared" si="138"/>
        <v>47830.16</v>
      </c>
      <c r="M264" s="2"/>
      <c r="N264" s="19">
        <f t="shared" si="139"/>
        <v>1.6366179640718563</v>
      </c>
      <c r="O264" s="11"/>
      <c r="P264" s="2">
        <f>--363408.14</f>
        <v>363408.14</v>
      </c>
      <c r="Q264" s="2"/>
      <c r="R264" s="19">
        <f t="shared" si="140"/>
        <v>4.343741828399196E-2</v>
      </c>
      <c r="S264" s="2"/>
      <c r="T264" s="2">
        <v>246050</v>
      </c>
      <c r="U264" s="2"/>
      <c r="V264" s="19">
        <f t="shared" si="141"/>
        <v>2.7358674964904232E-2</v>
      </c>
      <c r="W264" s="2"/>
      <c r="X264" s="2">
        <f t="shared" si="142"/>
        <v>117358.14000000001</v>
      </c>
      <c r="Y264" s="2"/>
      <c r="Z264" s="19">
        <f t="shared" si="143"/>
        <v>0.47696866490550704</v>
      </c>
    </row>
    <row r="265" spans="1:26" s="24" customFormat="1" hidden="1" outlineLevel="1" x14ac:dyDescent="0.25">
      <c r="A265" s="44"/>
      <c r="B265" s="11" t="str">
        <f>CONCATENATE("          ", "9151", " - ", "MISC. INCOME")</f>
        <v xml:space="preserve">          9151 - MISC. INCOME</v>
      </c>
      <c r="C265" s="11"/>
      <c r="D265" s="2">
        <f>--70124.28</f>
        <v>70124.28</v>
      </c>
      <c r="E265" s="2"/>
      <c r="F265" s="19">
        <f t="shared" si="136"/>
        <v>0.10348436199099677</v>
      </c>
      <c r="G265" s="2"/>
      <c r="H265" s="2">
        <v>12850</v>
      </c>
      <c r="I265" s="2"/>
      <c r="J265" s="19">
        <f t="shared" si="137"/>
        <v>1.7686673095254079E-2</v>
      </c>
      <c r="K265" s="2"/>
      <c r="L265" s="2">
        <f t="shared" si="138"/>
        <v>57274.28</v>
      </c>
      <c r="M265" s="2"/>
      <c r="N265" s="19">
        <f t="shared" si="139"/>
        <v>4.4571424124513621</v>
      </c>
      <c r="O265" s="11"/>
      <c r="P265" s="2">
        <f>--156077.66</f>
        <v>156077.66</v>
      </c>
      <c r="Q265" s="2"/>
      <c r="R265" s="19">
        <f t="shared" si="140"/>
        <v>1.8655637714132325E-2</v>
      </c>
      <c r="S265" s="2"/>
      <c r="T265" s="2">
        <v>90550</v>
      </c>
      <c r="U265" s="2"/>
      <c r="V265" s="19">
        <f t="shared" si="141"/>
        <v>1.0068392676578249E-2</v>
      </c>
      <c r="W265" s="2"/>
      <c r="X265" s="2">
        <f t="shared" si="142"/>
        <v>65527.66</v>
      </c>
      <c r="Y265" s="2"/>
      <c r="Z265" s="19">
        <f t="shared" si="143"/>
        <v>0.72366272777471019</v>
      </c>
    </row>
    <row r="266" spans="1:26" s="24" customFormat="1" hidden="1" outlineLevel="1" x14ac:dyDescent="0.25">
      <c r="A266" s="44"/>
      <c r="B266" s="11" t="str">
        <f>CONCATENATE("          ", "9152", " - ", "MISC. INCOME")</f>
        <v xml:space="preserve">          9152 - MISC. INCOME</v>
      </c>
      <c r="C266" s="11"/>
      <c r="D266" s="2">
        <f t="shared" ref="D266:D268" si="145">0</f>
        <v>0</v>
      </c>
      <c r="E266" s="2"/>
      <c r="F266" s="19">
        <f t="shared" si="136"/>
        <v>0</v>
      </c>
      <c r="G266" s="2"/>
      <c r="H266" s="2"/>
      <c r="I266" s="2"/>
      <c r="J266" s="19">
        <f t="shared" si="137"/>
        <v>0</v>
      </c>
      <c r="K266" s="2"/>
      <c r="L266" s="2">
        <f t="shared" si="138"/>
        <v>0</v>
      </c>
      <c r="M266" s="2"/>
      <c r="N266" s="19">
        <f t="shared" si="139"/>
        <v>0</v>
      </c>
      <c r="O266" s="11"/>
      <c r="P266" s="2">
        <f>--4699.86</f>
        <v>4699.8599999999997</v>
      </c>
      <c r="Q266" s="2"/>
      <c r="R266" s="19">
        <f t="shared" si="140"/>
        <v>5.6176447972850147E-4</v>
      </c>
      <c r="S266" s="2"/>
      <c r="T266" s="2"/>
      <c r="U266" s="2"/>
      <c r="V266" s="19">
        <f t="shared" si="141"/>
        <v>0</v>
      </c>
      <c r="W266" s="2"/>
      <c r="X266" s="2">
        <f t="shared" si="142"/>
        <v>4699.8599999999997</v>
      </c>
      <c r="Y266" s="2"/>
      <c r="Z266" s="19">
        <f t="shared" si="143"/>
        <v>0</v>
      </c>
    </row>
    <row r="267" spans="1:26" s="24" customFormat="1" hidden="1" outlineLevel="1" x14ac:dyDescent="0.25">
      <c r="A267" s="44"/>
      <c r="B267" s="11" t="str">
        <f>CONCATENATE("          ", "9153", " - ", "MISC. INCOME")</f>
        <v xml:space="preserve">          9153 - MISC. INCOME</v>
      </c>
      <c r="C267" s="11"/>
      <c r="D267" s="2">
        <f t="shared" si="145"/>
        <v>0</v>
      </c>
      <c r="E267" s="2"/>
      <c r="F267" s="19">
        <f t="shared" si="136"/>
        <v>0</v>
      </c>
      <c r="G267" s="2"/>
      <c r="H267" s="2"/>
      <c r="I267" s="2"/>
      <c r="J267" s="19">
        <f t="shared" si="137"/>
        <v>0</v>
      </c>
      <c r="K267" s="2"/>
      <c r="L267" s="2">
        <f t="shared" si="138"/>
        <v>0</v>
      </c>
      <c r="M267" s="2"/>
      <c r="N267" s="19">
        <f t="shared" si="139"/>
        <v>0</v>
      </c>
      <c r="O267" s="11"/>
      <c r="P267" s="2">
        <f>--450</f>
        <v>450</v>
      </c>
      <c r="Q267" s="2"/>
      <c r="R267" s="19">
        <f t="shared" si="140"/>
        <v>5.3787563007797181E-5</v>
      </c>
      <c r="S267" s="2"/>
      <c r="T267" s="2"/>
      <c r="U267" s="2"/>
      <c r="V267" s="19">
        <f t="shared" si="141"/>
        <v>0</v>
      </c>
      <c r="W267" s="2"/>
      <c r="X267" s="2">
        <f t="shared" si="142"/>
        <v>450</v>
      </c>
      <c r="Y267" s="2"/>
      <c r="Z267" s="19">
        <f t="shared" si="143"/>
        <v>0</v>
      </c>
    </row>
    <row r="268" spans="1:26" s="24" customFormat="1" hidden="1" outlineLevel="1" x14ac:dyDescent="0.25">
      <c r="A268" s="44"/>
      <c r="B268" s="11" t="str">
        <f>CONCATENATE("          ", "9160", " - ", "MISC. INCOME")</f>
        <v xml:space="preserve">          9160 - MISC. INCOME</v>
      </c>
      <c r="C268" s="11"/>
      <c r="D268" s="2">
        <f t="shared" si="145"/>
        <v>0</v>
      </c>
      <c r="E268" s="2"/>
      <c r="F268" s="19">
        <f t="shared" si="136"/>
        <v>0</v>
      </c>
      <c r="G268" s="2"/>
      <c r="H268" s="2">
        <v>91800</v>
      </c>
      <c r="I268" s="2"/>
      <c r="J268" s="19">
        <f t="shared" si="137"/>
        <v>0.12635304203457776</v>
      </c>
      <c r="K268" s="2"/>
      <c r="L268" s="2">
        <f t="shared" si="138"/>
        <v>-91800</v>
      </c>
      <c r="M268" s="2"/>
      <c r="N268" s="19">
        <f t="shared" si="139"/>
        <v>-1</v>
      </c>
      <c r="O268" s="11"/>
      <c r="P268" s="2">
        <f>--22475</f>
        <v>22475</v>
      </c>
      <c r="Q268" s="2"/>
      <c r="R268" s="19">
        <f t="shared" si="140"/>
        <v>2.6863899524449814E-3</v>
      </c>
      <c r="S268" s="2"/>
      <c r="T268" s="2">
        <v>305550</v>
      </c>
      <c r="U268" s="2"/>
      <c r="V268" s="19">
        <f t="shared" si="141"/>
        <v>3.3974570760115785E-2</v>
      </c>
      <c r="W268" s="2"/>
      <c r="X268" s="2">
        <f t="shared" si="142"/>
        <v>-283075</v>
      </c>
      <c r="Y268" s="2"/>
      <c r="Z268" s="19">
        <f t="shared" si="143"/>
        <v>-0.92644411716576669</v>
      </c>
    </row>
    <row r="269" spans="1:26" s="24" customFormat="1" hidden="1" outlineLevel="1" x14ac:dyDescent="0.25">
      <c r="A269" s="44"/>
      <c r="B269" s="11" t="str">
        <f>CONCATENATE("          ", "9163", " - ", "MISC. INCOME")</f>
        <v xml:space="preserve">          9163 - MISC. INCOME</v>
      </c>
      <c r="C269" s="11"/>
      <c r="D269" s="2">
        <f>--23333.33</f>
        <v>23333.33</v>
      </c>
      <c r="E269" s="2"/>
      <c r="F269" s="19">
        <f t="shared" si="136"/>
        <v>3.4433647920169515E-2</v>
      </c>
      <c r="G269" s="2"/>
      <c r="H269" s="2"/>
      <c r="I269" s="2"/>
      <c r="J269" s="19">
        <f t="shared" si="137"/>
        <v>0</v>
      </c>
      <c r="K269" s="2"/>
      <c r="L269" s="2">
        <f t="shared" si="138"/>
        <v>23333.33</v>
      </c>
      <c r="M269" s="2"/>
      <c r="N269" s="19">
        <f t="shared" si="139"/>
        <v>0</v>
      </c>
      <c r="O269" s="11"/>
      <c r="P269" s="2">
        <f>--84439.88</f>
        <v>84439.88</v>
      </c>
      <c r="Q269" s="2"/>
      <c r="R269" s="19">
        <f t="shared" si="140"/>
        <v>1.0092923035268519E-2</v>
      </c>
      <c r="S269" s="2"/>
      <c r="T269" s="2"/>
      <c r="U269" s="2"/>
      <c r="V269" s="19">
        <f t="shared" si="141"/>
        <v>0</v>
      </c>
      <c r="W269" s="2"/>
      <c r="X269" s="2">
        <f t="shared" si="142"/>
        <v>84439.88</v>
      </c>
      <c r="Y269" s="2"/>
      <c r="Z269" s="19">
        <f t="shared" si="143"/>
        <v>0</v>
      </c>
    </row>
    <row r="270" spans="1:26" x14ac:dyDescent="0.25">
      <c r="A270" s="9"/>
      <c r="B270" s="10"/>
      <c r="C270" s="10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O270" s="10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x14ac:dyDescent="0.25">
      <c r="A271" s="10"/>
      <c r="B271" s="28" t="s">
        <v>3</v>
      </c>
      <c r="C271" s="28"/>
      <c r="D271" s="21">
        <f>+D162-D164+D260</f>
        <v>-24994.450000000244</v>
      </c>
      <c r="E271" s="14"/>
      <c r="F271" s="22">
        <f>IF(D$12=0,0,D271/D$12)</f>
        <v>-3.6885009180356566E-2</v>
      </c>
      <c r="G271" s="14"/>
      <c r="H271" s="21">
        <f>+H162-H164+H260</f>
        <v>127403.67568206199</v>
      </c>
      <c r="I271" s="14"/>
      <c r="J271" s="22">
        <f>IF(H$12=0,0,H271/H$12)</f>
        <v>0.17535775586944763</v>
      </c>
      <c r="K271" s="15"/>
      <c r="L271" s="21">
        <f>+D271-H271</f>
        <v>-152398.12568206224</v>
      </c>
      <c r="M271" s="15"/>
      <c r="N271" s="22">
        <f>IF(H271=0,0,L271/H271)</f>
        <v>-1.1961831153315727</v>
      </c>
      <c r="O271" s="29"/>
      <c r="P271" s="21">
        <f>+P162-P164+P260</f>
        <v>1010336.1200000008</v>
      </c>
      <c r="Q271" s="14"/>
      <c r="R271" s="22">
        <f>IF(P$12=0,0,P271/P$12)</f>
        <v>0.12076337269678529</v>
      </c>
      <c r="S271" s="14"/>
      <c r="T271" s="21">
        <f>+T162-T164+T260</f>
        <v>1065661.9075955995</v>
      </c>
      <c r="U271" s="14"/>
      <c r="V271" s="22">
        <f>IF(T$12=0,0,T271/T$12)</f>
        <v>0.11849257367359406</v>
      </c>
      <c r="W271" s="15"/>
      <c r="X271" s="21">
        <f>+P271-T271</f>
        <v>-55325.787595598726</v>
      </c>
      <c r="Y271" s="15"/>
      <c r="Z271" s="22">
        <f>IF(T271=0,0,X271/T271)</f>
        <v>-5.1916829532198984E-2</v>
      </c>
    </row>
    <row r="272" spans="1:26" x14ac:dyDescent="0.25">
      <c r="A272" s="9"/>
      <c r="B272" s="10"/>
      <c r="C272" s="9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x14ac:dyDescent="0.25">
      <c r="A273" s="52"/>
      <c r="B273" s="10" t="s">
        <v>14</v>
      </c>
      <c r="C273" s="10"/>
      <c r="D273" s="4">
        <v>50872.33</v>
      </c>
      <c r="E273" s="4"/>
      <c r="F273" s="12">
        <f>IF(D$12=0,0,D273/D$12)</f>
        <v>7.5073720729046264E-2</v>
      </c>
      <c r="G273" s="4"/>
      <c r="H273" s="4">
        <v>63615.000000000007</v>
      </c>
      <c r="I273" s="4"/>
      <c r="J273" s="12">
        <f>IF(H$12=0,0,H273/H$12)</f>
        <v>8.7559354782458229E-2</v>
      </c>
      <c r="K273" s="4"/>
      <c r="L273" s="4">
        <f>+D273-H273</f>
        <v>-12742.670000000006</v>
      </c>
      <c r="M273" s="4"/>
      <c r="N273" s="12">
        <f>IF(H273=0,0,L273/H273)</f>
        <v>-0.20030920380413431</v>
      </c>
      <c r="O273" s="10"/>
      <c r="P273" s="4">
        <v>852685.94</v>
      </c>
      <c r="Q273" s="4"/>
      <c r="R273" s="12">
        <f>IF(P$12=0,0,P273/P$12)</f>
        <v>0.1019197749413617</v>
      </c>
      <c r="S273" s="4"/>
      <c r="T273" s="4">
        <v>1081474</v>
      </c>
      <c r="U273" s="4"/>
      <c r="V273" s="12">
        <f>IF(T$12=0,0,T273/T$12)</f>
        <v>0.12025074435681707</v>
      </c>
      <c r="W273" s="4"/>
      <c r="X273" s="4">
        <f>+P273-T273</f>
        <v>-228788.06000000006</v>
      </c>
      <c r="Y273" s="4"/>
      <c r="Z273" s="12">
        <f>IF(T273=0,0,X273/T273)</f>
        <v>-0.21155206690128478</v>
      </c>
    </row>
    <row r="274" spans="1:26" x14ac:dyDescent="0.25">
      <c r="A274" s="9"/>
      <c r="B274" s="10"/>
      <c r="C274" s="10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O274" s="10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ht="15.75" thickBot="1" x14ac:dyDescent="0.3">
      <c r="A275" s="10"/>
      <c r="B275" s="28" t="s">
        <v>4</v>
      </c>
      <c r="C275" s="28"/>
      <c r="D275" s="31">
        <f>+D271-D273</f>
        <v>-75866.780000000246</v>
      </c>
      <c r="E275" s="14"/>
      <c r="F275" s="32">
        <f>IF(D$12=0,0,D275/D$12)</f>
        <v>-0.11195872990940284</v>
      </c>
      <c r="G275" s="14"/>
      <c r="H275" s="31">
        <f>+H271-H273</f>
        <v>63788.675682061985</v>
      </c>
      <c r="I275" s="14"/>
      <c r="J275" s="32">
        <f>IF(H$12=0,0,H275/H$12)</f>
        <v>8.77984010869894E-2</v>
      </c>
      <c r="K275" s="15"/>
      <c r="L275" s="31">
        <f>D275-H275</f>
        <v>-139655.45568206222</v>
      </c>
      <c r="M275" s="15"/>
      <c r="N275" s="32">
        <f>IF(H275=0,0,L275/H275)</f>
        <v>-2.1893455882065718</v>
      </c>
      <c r="O275" s="29"/>
      <c r="P275" s="31">
        <f>+P271-P273</f>
        <v>157650.18000000087</v>
      </c>
      <c r="Q275" s="14"/>
      <c r="R275" s="32">
        <f>IF(P$12=0,0,P275/P$12)</f>
        <v>1.8843597755423588E-2</v>
      </c>
      <c r="S275" s="14"/>
      <c r="T275" s="31">
        <f>+T271-T273</f>
        <v>-15812.092404400464</v>
      </c>
      <c r="U275" s="14"/>
      <c r="V275" s="32">
        <f>IF(T$12=0,0,T275/T$12)</f>
        <v>-1.7581706832230171E-3</v>
      </c>
      <c r="W275" s="15"/>
      <c r="X275" s="31">
        <f>P275-T275</f>
        <v>173462.27240440133</v>
      </c>
      <c r="Y275" s="15"/>
      <c r="Z275" s="32">
        <f>IF(T275=0,0,X275/T275)</f>
        <v>-10.97022885827098</v>
      </c>
    </row>
    <row r="276" spans="1:26" ht="15.75" thickTop="1" x14ac:dyDescent="0.25">
      <c r="A276" s="9"/>
      <c r="B276" s="9"/>
      <c r="C276" s="9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x14ac:dyDescent="0.25">
      <c r="A277" s="9"/>
      <c r="B277" s="9"/>
      <c r="C277" s="9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ht="15.75" thickBot="1" x14ac:dyDescent="0.3">
      <c r="A278" s="10"/>
      <c r="B278" s="28" t="s">
        <v>5</v>
      </c>
      <c r="C278" s="28"/>
      <c r="D278" s="33">
        <f>SUM(D275:D277)</f>
        <v>-75866.780000000246</v>
      </c>
      <c r="E278" s="14"/>
      <c r="F278" s="30">
        <f>IF(D$12=0,0,D278/D$12)</f>
        <v>-0.11195872990940284</v>
      </c>
      <c r="G278" s="14"/>
      <c r="H278" s="33">
        <f>SUM(H275:H277)</f>
        <v>63788.675682061985</v>
      </c>
      <c r="I278" s="14"/>
      <c r="J278" s="30">
        <f>IF(H$12=0,0,H278/H$12)</f>
        <v>8.77984010869894E-2</v>
      </c>
      <c r="K278" s="15"/>
      <c r="L278" s="33">
        <f>+D278-H278</f>
        <v>-139655.45568206222</v>
      </c>
      <c r="M278" s="15"/>
      <c r="N278" s="30">
        <f>IF(H278=0,0,L278/H278)</f>
        <v>-2.1893455882065718</v>
      </c>
      <c r="O278" s="29"/>
      <c r="P278" s="33">
        <f>SUM(P275:P277)</f>
        <v>157650.18000000087</v>
      </c>
      <c r="Q278" s="14"/>
      <c r="R278" s="30">
        <f>IF(P$12=0,0,P278/P$12)</f>
        <v>1.8843597755423588E-2</v>
      </c>
      <c r="S278" s="14"/>
      <c r="T278" s="33">
        <f>SUM(T275:T277)</f>
        <v>-15812.092404400464</v>
      </c>
      <c r="U278" s="14"/>
      <c r="V278" s="30">
        <f>IF(T$12=0,0,T278/T$12)</f>
        <v>-1.7581706832230171E-3</v>
      </c>
      <c r="W278" s="15"/>
      <c r="X278" s="33">
        <f>+P278-T278</f>
        <v>173462.27240440133</v>
      </c>
      <c r="Y278" s="15"/>
      <c r="Z278" s="30">
        <f>IF(T278=0,0,X278/T278)</f>
        <v>-10.97022885827098</v>
      </c>
    </row>
    <row r="279" spans="1:26" ht="15.75" thickTop="1" x14ac:dyDescent="0.25">
      <c r="A279" s="9"/>
      <c r="C279" s="9"/>
      <c r="D279" s="17"/>
      <c r="E279" s="17"/>
      <c r="G279" s="17"/>
      <c r="H279" s="17"/>
      <c r="I279" s="17"/>
      <c r="J279" s="43"/>
      <c r="K279" s="17"/>
      <c r="L279" s="17"/>
      <c r="M279" s="17"/>
      <c r="P279" s="17"/>
      <c r="Q279" s="17"/>
      <c r="R279" s="43"/>
      <c r="S279" s="17"/>
      <c r="T279" s="17"/>
      <c r="U279" s="17"/>
      <c r="V279" s="43"/>
      <c r="W279" s="17"/>
      <c r="X279" s="17"/>
    </row>
    <row r="280" spans="1:26" x14ac:dyDescent="0.25">
      <c r="A280" s="9"/>
      <c r="B280" s="59">
        <v>43908.493986886577</v>
      </c>
      <c r="D280" s="17"/>
      <c r="E280" s="17"/>
      <c r="G280" s="17"/>
      <c r="H280" s="17"/>
      <c r="I280" s="17"/>
      <c r="J280" s="43"/>
      <c r="K280" s="17"/>
      <c r="L280" s="17"/>
      <c r="M280" s="17"/>
      <c r="P280" s="17"/>
      <c r="Q280" s="17"/>
      <c r="R280" s="43"/>
      <c r="S280" s="17"/>
      <c r="T280" s="17"/>
      <c r="U280" s="17"/>
      <c r="V280" s="43"/>
      <c r="W280" s="17"/>
      <c r="X280" s="17"/>
    </row>
    <row r="281" spans="1:26" x14ac:dyDescent="0.25">
      <c r="A281" s="9"/>
      <c r="B281" s="63" t="s">
        <v>314</v>
      </c>
      <c r="D281" s="17"/>
      <c r="E281" s="17"/>
      <c r="G281" s="17"/>
      <c r="H281" s="17"/>
      <c r="I281" s="17"/>
      <c r="J281" s="43"/>
      <c r="K281" s="17"/>
      <c r="L281" s="17"/>
      <c r="M281" s="17"/>
      <c r="P281" s="17"/>
      <c r="Q281" s="17"/>
      <c r="R281" s="43"/>
      <c r="S281" s="17"/>
      <c r="T281" s="17"/>
      <c r="U281" s="17"/>
      <c r="V281" s="43"/>
      <c r="W281" s="17"/>
      <c r="X281" s="17"/>
    </row>
    <row r="282" spans="1:26" x14ac:dyDescent="0.25">
      <c r="A282" s="9"/>
      <c r="B282" s="57"/>
      <c r="D282" s="17"/>
      <c r="E282" s="17"/>
      <c r="G282" s="17"/>
      <c r="H282" s="17"/>
      <c r="I282" s="17"/>
      <c r="J282" s="43"/>
      <c r="K282" s="17"/>
      <c r="L282" s="17"/>
      <c r="M282" s="17"/>
      <c r="P282" s="17"/>
      <c r="Q282" s="17"/>
      <c r="R282" s="43"/>
      <c r="S282" s="17"/>
      <c r="T282" s="17"/>
      <c r="U282" s="17"/>
      <c r="V282" s="43"/>
      <c r="W282" s="17"/>
      <c r="X282" s="17"/>
    </row>
    <row r="283" spans="1:26" x14ac:dyDescent="0.25">
      <c r="D283" s="17"/>
      <c r="E283" s="17"/>
      <c r="G283" s="17"/>
      <c r="H283" s="17"/>
      <c r="I283" s="17"/>
      <c r="J283" s="43"/>
      <c r="K283" s="17"/>
      <c r="L283" s="17"/>
      <c r="M283" s="17"/>
      <c r="P283" s="17"/>
      <c r="Q283" s="17"/>
      <c r="R283" s="43"/>
      <c r="S283" s="17"/>
      <c r="T283" s="17"/>
      <c r="U283" s="17"/>
      <c r="V283" s="43"/>
      <c r="W283" s="17"/>
      <c r="X283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803158.21999999962</v>
      </c>
      <c r="E12" s="4"/>
      <c r="F12" s="12"/>
      <c r="G12" s="4"/>
      <c r="H12" s="4">
        <f>SUM(OSRRefH13x_0)</f>
        <v>905187.73291000002</v>
      </c>
      <c r="I12" s="4"/>
      <c r="J12" s="12"/>
      <c r="K12" s="4"/>
      <c r="L12" s="4">
        <f t="shared" ref="L12:L125" si="0">+D12-H12</f>
        <v>-102029.5129100004</v>
      </c>
      <c r="M12" s="4"/>
      <c r="N12" s="12">
        <f t="shared" ref="N12:N125" si="1">IF(H12=0,0,L12/H12)</f>
        <v>-0.11271641141445393</v>
      </c>
      <c r="O12" s="10"/>
      <c r="P12" s="4">
        <f>SUM(OSRRefP13x_0)</f>
        <v>10290278.879999999</v>
      </c>
      <c r="Q12" s="4"/>
      <c r="R12" s="12"/>
      <c r="S12" s="4"/>
      <c r="T12" s="4">
        <f>SUM(OSRRefT13x_0)</f>
        <v>10888042.107140001</v>
      </c>
      <c r="U12" s="4"/>
      <c r="V12" s="12"/>
      <c r="W12" s="4"/>
      <c r="X12" s="4">
        <f t="shared" ref="X12:X125" si="2">+P12-T12</f>
        <v>-597763.22714000195</v>
      </c>
      <c r="Y12" s="4"/>
      <c r="Z12" s="12">
        <f t="shared" ref="Z12:Z125" si="3">IF(T12=0,0,X12/T12)</f>
        <v>-5.4900892305330962E-2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670406.73291000002</v>
      </c>
      <c r="I13" s="2"/>
      <c r="J13" s="19"/>
      <c r="K13" s="2"/>
      <c r="L13" s="2">
        <f t="shared" si="0"/>
        <v>-670406.73291000002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5142342.10714</v>
      </c>
      <c r="U13" s="2"/>
      <c r="V13" s="19"/>
      <c r="W13" s="2"/>
      <c r="X13" s="2">
        <f t="shared" si="2"/>
        <v>-5142342.10714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/>
      <c r="I14" s="2"/>
      <c r="J14" s="19"/>
      <c r="K14" s="2"/>
      <c r="L14" s="2">
        <f t="shared" si="0"/>
        <v>104784.96000000001</v>
      </c>
      <c r="M14" s="2"/>
      <c r="N14" s="19">
        <f t="shared" si="1"/>
        <v>0</v>
      </c>
      <c r="O14" s="11"/>
      <c r="P14" s="2">
        <f>--2390761.72</f>
        <v>2390761.7200000002</v>
      </c>
      <c r="Q14" s="2"/>
      <c r="R14" s="19"/>
      <c r="S14" s="2"/>
      <c r="T14" s="2"/>
      <c r="U14" s="2"/>
      <c r="V14" s="19"/>
      <c r="W14" s="2"/>
      <c r="X14" s="2">
        <f t="shared" si="2"/>
        <v>2390761.7200000002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/>
      <c r="I15" s="2"/>
      <c r="J15" s="19"/>
      <c r="K15" s="2"/>
      <c r="L15" s="2">
        <f t="shared" si="0"/>
        <v>46558.78</v>
      </c>
      <c r="M15" s="2"/>
      <c r="N15" s="19">
        <f t="shared" si="1"/>
        <v>0</v>
      </c>
      <c r="O15" s="11"/>
      <c r="P15" s="2">
        <f>--1239973.19</f>
        <v>1239973.19</v>
      </c>
      <c r="Q15" s="2"/>
      <c r="R15" s="19"/>
      <c r="S15" s="2"/>
      <c r="T15" s="2"/>
      <c r="U15" s="2"/>
      <c r="V15" s="19"/>
      <c r="W15" s="2"/>
      <c r="X15" s="2">
        <f t="shared" si="2"/>
        <v>1239973.19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/>
      <c r="I16" s="2"/>
      <c r="J16" s="19"/>
      <c r="K16" s="2"/>
      <c r="L16" s="2">
        <f t="shared" si="0"/>
        <v>1344.88</v>
      </c>
      <c r="M16" s="2"/>
      <c r="N16" s="19">
        <f t="shared" si="1"/>
        <v>0</v>
      </c>
      <c r="O16" s="11"/>
      <c r="P16" s="2">
        <f>--33616.89</f>
        <v>33616.89</v>
      </c>
      <c r="Q16" s="2"/>
      <c r="R16" s="19"/>
      <c r="S16" s="2"/>
      <c r="T16" s="2"/>
      <c r="U16" s="2"/>
      <c r="V16" s="19"/>
      <c r="W16" s="2"/>
      <c r="X16" s="2">
        <f t="shared" si="2"/>
        <v>33616.89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/>
      <c r="I17" s="2"/>
      <c r="J17" s="19"/>
      <c r="K17" s="2"/>
      <c r="L17" s="2">
        <f t="shared" si="0"/>
        <v>993.89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/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/>
      <c r="U18" s="2"/>
      <c r="V18" s="19"/>
      <c r="W18" s="2"/>
      <c r="X18" s="2">
        <f t="shared" si="2"/>
        <v>798.88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/>
      <c r="I19" s="2"/>
      <c r="J19" s="19"/>
      <c r="K19" s="2"/>
      <c r="L19" s="2">
        <f t="shared" si="0"/>
        <v>772.36</v>
      </c>
      <c r="M19" s="2"/>
      <c r="N19" s="19">
        <f t="shared" si="1"/>
        <v>0</v>
      </c>
      <c r="O19" s="11"/>
      <c r="P19" s="2">
        <f>--2282.25</f>
        <v>2282.25</v>
      </c>
      <c r="Q19" s="2"/>
      <c r="R19" s="19"/>
      <c r="S19" s="2"/>
      <c r="T19" s="2"/>
      <c r="U19" s="2"/>
      <c r="V19" s="19"/>
      <c r="W19" s="2"/>
      <c r="X19" s="2">
        <f t="shared" si="2"/>
        <v>2282.25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/>
      <c r="I20" s="2"/>
      <c r="J20" s="19"/>
      <c r="K20" s="2"/>
      <c r="L20" s="2">
        <f t="shared" si="0"/>
        <v>51.77</v>
      </c>
      <c r="M20" s="2"/>
      <c r="N20" s="19">
        <f t="shared" si="1"/>
        <v>0</v>
      </c>
      <c r="O20" s="11"/>
      <c r="P20" s="2">
        <f>--1151.94</f>
        <v>1151.94</v>
      </c>
      <c r="Q20" s="2"/>
      <c r="R20" s="19"/>
      <c r="S20" s="2"/>
      <c r="T20" s="2"/>
      <c r="U20" s="2"/>
      <c r="V20" s="19"/>
      <c r="W20" s="2"/>
      <c r="X20" s="2">
        <f t="shared" si="2"/>
        <v>1151.94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/>
      <c r="I21" s="2"/>
      <c r="J21" s="19"/>
      <c r="K21" s="2"/>
      <c r="L21" s="2">
        <f t="shared" si="0"/>
        <v>16.47</v>
      </c>
      <c r="M21" s="2"/>
      <c r="N21" s="19">
        <f t="shared" si="1"/>
        <v>0</v>
      </c>
      <c r="O21" s="11"/>
      <c r="P21" s="2">
        <f>--271.59</f>
        <v>271.58999999999997</v>
      </c>
      <c r="Q21" s="2"/>
      <c r="R21" s="19"/>
      <c r="S21" s="2"/>
      <c r="T21" s="2"/>
      <c r="U21" s="2"/>
      <c r="V21" s="19"/>
      <c r="W21" s="2"/>
      <c r="X21" s="2">
        <f t="shared" si="2"/>
        <v>271.58999999999997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/>
      <c r="I22" s="2"/>
      <c r="J22" s="19"/>
      <c r="K22" s="2"/>
      <c r="L22" s="2">
        <f t="shared" si="0"/>
        <v>469.81</v>
      </c>
      <c r="M22" s="2"/>
      <c r="N22" s="19">
        <f t="shared" si="1"/>
        <v>0</v>
      </c>
      <c r="O22" s="11"/>
      <c r="P22" s="2">
        <f>--4097.71</f>
        <v>4097.71</v>
      </c>
      <c r="Q22" s="2"/>
      <c r="R22" s="19"/>
      <c r="S22" s="2"/>
      <c r="T22" s="2"/>
      <c r="U22" s="2"/>
      <c r="V22" s="19"/>
      <c r="W22" s="2"/>
      <c r="X22" s="2">
        <f t="shared" si="2"/>
        <v>4097.71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/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/>
      <c r="I24" s="2"/>
      <c r="J24" s="19"/>
      <c r="K24" s="2"/>
      <c r="L24" s="2">
        <f t="shared" si="0"/>
        <v>11343.24</v>
      </c>
      <c r="M24" s="2"/>
      <c r="N24" s="19">
        <f t="shared" si="1"/>
        <v>0</v>
      </c>
      <c r="O24" s="11"/>
      <c r="P24" s="2">
        <f>--51783.69</f>
        <v>51783.69</v>
      </c>
      <c r="Q24" s="2"/>
      <c r="R24" s="19"/>
      <c r="S24" s="2"/>
      <c r="T24" s="2"/>
      <c r="U24" s="2"/>
      <c r="V24" s="19"/>
      <c r="W24" s="2"/>
      <c r="X24" s="2">
        <f t="shared" si="2"/>
        <v>51783.69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/>
      <c r="I25" s="2"/>
      <c r="J25" s="19"/>
      <c r="K25" s="2"/>
      <c r="L25" s="2">
        <f t="shared" si="0"/>
        <v>11784.71</v>
      </c>
      <c r="M25" s="2"/>
      <c r="N25" s="19">
        <f t="shared" si="1"/>
        <v>0</v>
      </c>
      <c r="O25" s="11"/>
      <c r="P25" s="2">
        <f>--75474.2</f>
        <v>75474.2</v>
      </c>
      <c r="Q25" s="2"/>
      <c r="R25" s="19"/>
      <c r="S25" s="2"/>
      <c r="T25" s="2"/>
      <c r="U25" s="2"/>
      <c r="V25" s="19"/>
      <c r="W25" s="2"/>
      <c r="X25" s="2">
        <f t="shared" si="2"/>
        <v>75474.2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/>
      <c r="I26" s="2"/>
      <c r="J26" s="19"/>
      <c r="K26" s="2"/>
      <c r="L26" s="2">
        <f t="shared" si="0"/>
        <v>30046.01</v>
      </c>
      <c r="M26" s="2"/>
      <c r="N26" s="19">
        <f t="shared" si="1"/>
        <v>0</v>
      </c>
      <c r="O26" s="11"/>
      <c r="P26" s="2">
        <f>--261693.33</f>
        <v>261693.33</v>
      </c>
      <c r="Q26" s="2"/>
      <c r="R26" s="19"/>
      <c r="S26" s="2"/>
      <c r="T26" s="2"/>
      <c r="U26" s="2"/>
      <c r="V26" s="19"/>
      <c r="W26" s="2"/>
      <c r="X26" s="2">
        <f t="shared" si="2"/>
        <v>261693.33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/>
      <c r="I27" s="2"/>
      <c r="J27" s="19"/>
      <c r="K27" s="2"/>
      <c r="L27" s="2">
        <f t="shared" si="0"/>
        <v>42663.45</v>
      </c>
      <c r="M27" s="2"/>
      <c r="N27" s="19">
        <f t="shared" si="1"/>
        <v>0</v>
      </c>
      <c r="O27" s="11"/>
      <c r="P27" s="2">
        <f>--275336.23</f>
        <v>275336.23</v>
      </c>
      <c r="Q27" s="2"/>
      <c r="R27" s="19"/>
      <c r="S27" s="2"/>
      <c r="T27" s="2"/>
      <c r="U27" s="2"/>
      <c r="V27" s="19"/>
      <c r="W27" s="2"/>
      <c r="X27" s="2">
        <f t="shared" si="2"/>
        <v>275336.23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/>
      <c r="I28" s="2"/>
      <c r="J28" s="19"/>
      <c r="K28" s="2"/>
      <c r="L28" s="2">
        <f t="shared" si="0"/>
        <v>92.07</v>
      </c>
      <c r="M28" s="2"/>
      <c r="N28" s="19">
        <f t="shared" si="1"/>
        <v>0</v>
      </c>
      <c r="O28" s="11"/>
      <c r="P28" s="2">
        <f>--442.04</f>
        <v>442.04</v>
      </c>
      <c r="Q28" s="2"/>
      <c r="R28" s="19"/>
      <c r="S28" s="2"/>
      <c r="T28" s="2"/>
      <c r="U28" s="2"/>
      <c r="V28" s="19"/>
      <c r="W28" s="2"/>
      <c r="X28" s="2">
        <f t="shared" si="2"/>
        <v>442.04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--555.66</f>
        <v>555.66</v>
      </c>
      <c r="E29" s="2"/>
      <c r="F29" s="19"/>
      <c r="G29" s="2"/>
      <c r="H29" s="2"/>
      <c r="I29" s="2"/>
      <c r="J29" s="19"/>
      <c r="K29" s="2"/>
      <c r="L29" s="2">
        <f t="shared" si="0"/>
        <v>555.66</v>
      </c>
      <c r="M29" s="2"/>
      <c r="N29" s="19">
        <f t="shared" si="1"/>
        <v>0</v>
      </c>
      <c r="O29" s="11"/>
      <c r="P29" s="2">
        <f>--1664.25</f>
        <v>1664.25</v>
      </c>
      <c r="Q29" s="2"/>
      <c r="R29" s="19"/>
      <c r="S29" s="2"/>
      <c r="T29" s="2"/>
      <c r="U29" s="2"/>
      <c r="V29" s="19"/>
      <c r="W29" s="2"/>
      <c r="X29" s="2">
        <f t="shared" si="2"/>
        <v>1664.25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/>
      <c r="I30" s="2"/>
      <c r="J30" s="19"/>
      <c r="K30" s="2"/>
      <c r="L30" s="2">
        <f t="shared" si="0"/>
        <v>33.83</v>
      </c>
      <c r="M30" s="2"/>
      <c r="N30" s="19">
        <f t="shared" si="1"/>
        <v>0</v>
      </c>
      <c r="O30" s="11"/>
      <c r="P30" s="2">
        <f>--179.98</f>
        <v>179.98</v>
      </c>
      <c r="Q30" s="2"/>
      <c r="R30" s="19"/>
      <c r="S30" s="2"/>
      <c r="T30" s="2"/>
      <c r="U30" s="2"/>
      <c r="V30" s="19"/>
      <c r="W30" s="2"/>
      <c r="X30" s="2">
        <f t="shared" si="2"/>
        <v>179.98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--1452.19</f>
        <v>1452.19</v>
      </c>
      <c r="E31" s="2"/>
      <c r="F31" s="19"/>
      <c r="G31" s="2"/>
      <c r="H31" s="2"/>
      <c r="I31" s="2"/>
      <c r="J31" s="19"/>
      <c r="K31" s="2"/>
      <c r="L31" s="2">
        <f t="shared" si="0"/>
        <v>1452.19</v>
      </c>
      <c r="M31" s="2"/>
      <c r="N31" s="19">
        <f t="shared" si="1"/>
        <v>0</v>
      </c>
      <c r="O31" s="11"/>
      <c r="P31" s="2">
        <f>--7203.43</f>
        <v>7203.43</v>
      </c>
      <c r="Q31" s="2"/>
      <c r="R31" s="19"/>
      <c r="S31" s="2"/>
      <c r="T31" s="2"/>
      <c r="U31" s="2"/>
      <c r="V31" s="19"/>
      <c r="W31" s="2"/>
      <c r="X31" s="2">
        <f t="shared" si="2"/>
        <v>7203.43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/>
      <c r="I32" s="2"/>
      <c r="J32" s="19"/>
      <c r="K32" s="2"/>
      <c r="L32" s="2">
        <f t="shared" si="0"/>
        <v>442.03</v>
      </c>
      <c r="M32" s="2"/>
      <c r="N32" s="19">
        <f t="shared" si="1"/>
        <v>0</v>
      </c>
      <c r="O32" s="11"/>
      <c r="P32" s="2">
        <f>--1880.52</f>
        <v>1880.52</v>
      </c>
      <c r="Q32" s="2"/>
      <c r="R32" s="19"/>
      <c r="S32" s="2"/>
      <c r="T32" s="2"/>
      <c r="U32" s="2"/>
      <c r="V32" s="19"/>
      <c r="W32" s="2"/>
      <c r="X32" s="2">
        <f t="shared" si="2"/>
        <v>1880.52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/>
      <c r="I33" s="2"/>
      <c r="J33" s="19"/>
      <c r="K33" s="2"/>
      <c r="L33" s="2">
        <f t="shared" si="0"/>
        <v>74.61</v>
      </c>
      <c r="M33" s="2"/>
      <c r="N33" s="19">
        <f t="shared" si="1"/>
        <v>0</v>
      </c>
      <c r="O33" s="11"/>
      <c r="P33" s="2">
        <f>--488.71</f>
        <v>488.71</v>
      </c>
      <c r="Q33" s="2"/>
      <c r="R33" s="19"/>
      <c r="S33" s="2"/>
      <c r="T33" s="2"/>
      <c r="U33" s="2"/>
      <c r="V33" s="19"/>
      <c r="W33" s="2"/>
      <c r="X33" s="2">
        <f t="shared" si="2"/>
        <v>488.71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/>
      <c r="I34" s="2"/>
      <c r="J34" s="19"/>
      <c r="K34" s="2"/>
      <c r="L34" s="2">
        <f t="shared" si="0"/>
        <v>197676.23</v>
      </c>
      <c r="M34" s="2"/>
      <c r="N34" s="19">
        <f t="shared" si="1"/>
        <v>0</v>
      </c>
      <c r="O34" s="11"/>
      <c r="P34" s="2">
        <f>--1682295.22</f>
        <v>1682295.22</v>
      </c>
      <c r="Q34" s="2"/>
      <c r="R34" s="19"/>
      <c r="S34" s="2"/>
      <c r="T34" s="2"/>
      <c r="U34" s="2"/>
      <c r="V34" s="19"/>
      <c r="W34" s="2"/>
      <c r="X34" s="2">
        <f t="shared" si="2"/>
        <v>1682295.22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/>
      <c r="I35" s="2"/>
      <c r="J35" s="19"/>
      <c r="K35" s="2"/>
      <c r="L35" s="2">
        <f t="shared" si="0"/>
        <v>41252.71</v>
      </c>
      <c r="M35" s="2"/>
      <c r="N35" s="19">
        <f t="shared" si="1"/>
        <v>0</v>
      </c>
      <c r="O35" s="11"/>
      <c r="P35" s="2">
        <f>--441821.19</f>
        <v>441821.19</v>
      </c>
      <c r="Q35" s="2"/>
      <c r="R35" s="19"/>
      <c r="S35" s="2"/>
      <c r="T35" s="2"/>
      <c r="U35" s="2"/>
      <c r="V35" s="19"/>
      <c r="W35" s="2"/>
      <c r="X35" s="2">
        <f t="shared" si="2"/>
        <v>441821.19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/>
      <c r="I36" s="2"/>
      <c r="J36" s="19"/>
      <c r="K36" s="2"/>
      <c r="L36" s="2">
        <f t="shared" si="0"/>
        <v>26570.92</v>
      </c>
      <c r="M36" s="2"/>
      <c r="N36" s="19">
        <f t="shared" si="1"/>
        <v>0</v>
      </c>
      <c r="O36" s="11"/>
      <c r="P36" s="2">
        <f>--259566.14</f>
        <v>259566.14</v>
      </c>
      <c r="Q36" s="2"/>
      <c r="R36" s="19"/>
      <c r="S36" s="2"/>
      <c r="T36" s="2"/>
      <c r="U36" s="2"/>
      <c r="V36" s="19"/>
      <c r="W36" s="2"/>
      <c r="X36" s="2">
        <f t="shared" si="2"/>
        <v>259566.14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/>
      <c r="I37" s="2"/>
      <c r="J37" s="19"/>
      <c r="K37" s="2"/>
      <c r="L37" s="2">
        <f t="shared" si="0"/>
        <v>53271</v>
      </c>
      <c r="M37" s="2"/>
      <c r="N37" s="19">
        <f t="shared" si="1"/>
        <v>0</v>
      </c>
      <c r="O37" s="11"/>
      <c r="P37" s="2">
        <f>--75901.71</f>
        <v>75901.710000000006</v>
      </c>
      <c r="Q37" s="2"/>
      <c r="R37" s="19"/>
      <c r="S37" s="2"/>
      <c r="T37" s="2"/>
      <c r="U37" s="2"/>
      <c r="V37" s="19"/>
      <c r="W37" s="2"/>
      <c r="X37" s="2">
        <f t="shared" si="2"/>
        <v>75901.710000000006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/>
      <c r="I38" s="2"/>
      <c r="J38" s="19"/>
      <c r="K38" s="2"/>
      <c r="L38" s="2">
        <f t="shared" si="0"/>
        <v>9848.33</v>
      </c>
      <c r="M38" s="2"/>
      <c r="N38" s="19">
        <f t="shared" si="1"/>
        <v>0</v>
      </c>
      <c r="O38" s="11"/>
      <c r="P38" s="2">
        <f>--62934.49</f>
        <v>62934.49</v>
      </c>
      <c r="Q38" s="2"/>
      <c r="R38" s="19"/>
      <c r="S38" s="2"/>
      <c r="T38" s="2"/>
      <c r="U38" s="2"/>
      <c r="V38" s="19"/>
      <c r="W38" s="2"/>
      <c r="X38" s="2">
        <f t="shared" si="2"/>
        <v>62934.49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/>
      <c r="I39" s="2"/>
      <c r="J39" s="19"/>
      <c r="K39" s="2"/>
      <c r="L39" s="2">
        <f t="shared" si="0"/>
        <v>815.01</v>
      </c>
      <c r="M39" s="2"/>
      <c r="N39" s="19">
        <f t="shared" si="1"/>
        <v>0</v>
      </c>
      <c r="O39" s="11"/>
      <c r="P39" s="2">
        <f>--70553.04</f>
        <v>70553.039999999994</v>
      </c>
      <c r="Q39" s="2"/>
      <c r="R39" s="19"/>
      <c r="S39" s="2"/>
      <c r="T39" s="2"/>
      <c r="U39" s="2"/>
      <c r="V39" s="19"/>
      <c r="W39" s="2"/>
      <c r="X39" s="2">
        <f t="shared" si="2"/>
        <v>70553.039999999994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/>
      <c r="I40" s="2"/>
      <c r="J40" s="19"/>
      <c r="K40" s="2"/>
      <c r="L40" s="2">
        <f t="shared" si="0"/>
        <v>208.95</v>
      </c>
      <c r="M40" s="2"/>
      <c r="N40" s="19">
        <f t="shared" si="1"/>
        <v>0</v>
      </c>
      <c r="O40" s="11"/>
      <c r="P40" s="2">
        <f>--2185.99</f>
        <v>2185.9899999999998</v>
      </c>
      <c r="Q40" s="2"/>
      <c r="R40" s="19"/>
      <c r="S40" s="2"/>
      <c r="T40" s="2"/>
      <c r="U40" s="2"/>
      <c r="V40" s="19"/>
      <c r="W40" s="2"/>
      <c r="X40" s="2">
        <f t="shared" si="2"/>
        <v>2185.9899999999998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--25041.87</f>
        <v>25041.87</v>
      </c>
      <c r="E41" s="2"/>
      <c r="F41" s="19"/>
      <c r="G41" s="2"/>
      <c r="H41" s="2"/>
      <c r="I41" s="2"/>
      <c r="J41" s="19"/>
      <c r="K41" s="2"/>
      <c r="L41" s="2">
        <f t="shared" si="0"/>
        <v>25041.87</v>
      </c>
      <c r="M41" s="2"/>
      <c r="N41" s="19">
        <f t="shared" si="1"/>
        <v>0</v>
      </c>
      <c r="O41" s="11"/>
      <c r="P41" s="2">
        <f>--299332.15</f>
        <v>299332.15000000002</v>
      </c>
      <c r="Q41" s="2"/>
      <c r="R41" s="19"/>
      <c r="S41" s="2"/>
      <c r="T41" s="2"/>
      <c r="U41" s="2"/>
      <c r="V41" s="19"/>
      <c r="W41" s="2"/>
      <c r="X41" s="2">
        <f t="shared" si="2"/>
        <v>299332.15000000002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--76509.05</f>
        <v>76509.05</v>
      </c>
      <c r="E42" s="2"/>
      <c r="F42" s="19"/>
      <c r="G42" s="2"/>
      <c r="H42" s="2"/>
      <c r="I42" s="2"/>
      <c r="J42" s="19"/>
      <c r="K42" s="2"/>
      <c r="L42" s="2">
        <f t="shared" si="0"/>
        <v>76509.05</v>
      </c>
      <c r="M42" s="2"/>
      <c r="N42" s="19">
        <f t="shared" si="1"/>
        <v>0</v>
      </c>
      <c r="O42" s="11"/>
      <c r="P42" s="2">
        <f>--1583841.53</f>
        <v>1583841.53</v>
      </c>
      <c r="Q42" s="2"/>
      <c r="R42" s="19"/>
      <c r="S42" s="2"/>
      <c r="T42" s="2"/>
      <c r="U42" s="2"/>
      <c r="V42" s="19"/>
      <c r="W42" s="2"/>
      <c r="X42" s="2">
        <f t="shared" si="2"/>
        <v>1583841.53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--10952.82</f>
        <v>10952.82</v>
      </c>
      <c r="E43" s="2"/>
      <c r="F43" s="19"/>
      <c r="G43" s="2"/>
      <c r="H43" s="2"/>
      <c r="I43" s="2"/>
      <c r="J43" s="19"/>
      <c r="K43" s="2"/>
      <c r="L43" s="2">
        <f t="shared" si="0"/>
        <v>10952.82</v>
      </c>
      <c r="M43" s="2"/>
      <c r="N43" s="19">
        <f t="shared" si="1"/>
        <v>0</v>
      </c>
      <c r="O43" s="11"/>
      <c r="P43" s="2">
        <f>--96131.44</f>
        <v>96131.44</v>
      </c>
      <c r="Q43" s="2"/>
      <c r="R43" s="19"/>
      <c r="S43" s="2"/>
      <c r="T43" s="2"/>
      <c r="U43" s="2"/>
      <c r="V43" s="19"/>
      <c r="W43" s="2"/>
      <c r="X43" s="2">
        <f t="shared" si="2"/>
        <v>96131.44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--149.99</f>
        <v>149.99</v>
      </c>
      <c r="E45" s="2"/>
      <c r="F45" s="19"/>
      <c r="G45" s="2"/>
      <c r="H45" s="2"/>
      <c r="I45" s="2"/>
      <c r="J45" s="19"/>
      <c r="K45" s="2"/>
      <c r="L45" s="2">
        <f t="shared" si="0"/>
        <v>149.99</v>
      </c>
      <c r="M45" s="2"/>
      <c r="N45" s="19">
        <f t="shared" si="1"/>
        <v>0</v>
      </c>
      <c r="O45" s="11"/>
      <c r="P45" s="2">
        <f>--4557.93</f>
        <v>4557.93</v>
      </c>
      <c r="Q45" s="2"/>
      <c r="R45" s="19"/>
      <c r="S45" s="2"/>
      <c r="T45" s="2"/>
      <c r="U45" s="2"/>
      <c r="V45" s="19"/>
      <c r="W45" s="2"/>
      <c r="X45" s="2">
        <f t="shared" si="2"/>
        <v>4557.93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--5885.2</f>
        <v>5885.2</v>
      </c>
      <c r="E46" s="2"/>
      <c r="F46" s="19"/>
      <c r="G46" s="2"/>
      <c r="H46" s="2"/>
      <c r="I46" s="2"/>
      <c r="J46" s="19"/>
      <c r="K46" s="2"/>
      <c r="L46" s="2">
        <f t="shared" si="0"/>
        <v>5885.2</v>
      </c>
      <c r="M46" s="2"/>
      <c r="N46" s="19">
        <f t="shared" si="1"/>
        <v>0</v>
      </c>
      <c r="O46" s="11"/>
      <c r="P46" s="2">
        <f>--47022.07</f>
        <v>47022.07</v>
      </c>
      <c r="Q46" s="2"/>
      <c r="R46" s="19"/>
      <c r="S46" s="2"/>
      <c r="T46" s="2"/>
      <c r="U46" s="2"/>
      <c r="V46" s="19"/>
      <c r="W46" s="2"/>
      <c r="X46" s="2">
        <f t="shared" si="2"/>
        <v>47022.07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--38.96</f>
        <v>38.96</v>
      </c>
      <c r="E47" s="2"/>
      <c r="F47" s="19"/>
      <c r="G47" s="2"/>
      <c r="H47" s="2"/>
      <c r="I47" s="2"/>
      <c r="J47" s="19"/>
      <c r="K47" s="2"/>
      <c r="L47" s="2">
        <f t="shared" si="0"/>
        <v>38.96</v>
      </c>
      <c r="M47" s="2"/>
      <c r="N47" s="19">
        <f t="shared" si="1"/>
        <v>0</v>
      </c>
      <c r="O47" s="11"/>
      <c r="P47" s="2">
        <f>--1094.84</f>
        <v>1094.8399999999999</v>
      </c>
      <c r="Q47" s="2"/>
      <c r="R47" s="19"/>
      <c r="S47" s="2"/>
      <c r="T47" s="2"/>
      <c r="U47" s="2"/>
      <c r="V47" s="19"/>
      <c r="W47" s="2"/>
      <c r="X47" s="2">
        <f t="shared" si="2"/>
        <v>1094.8399999999999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ref="D48:D49" si="4"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--7659.37</f>
        <v>7659.37</v>
      </c>
      <c r="Q48" s="2"/>
      <c r="R48" s="19"/>
      <c r="S48" s="2"/>
      <c r="T48" s="2"/>
      <c r="U48" s="2"/>
      <c r="V48" s="19"/>
      <c r="W48" s="2"/>
      <c r="X48" s="2">
        <f t="shared" si="2"/>
        <v>7659.37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 t="shared" si="4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--309.26</f>
        <v>309.26</v>
      </c>
      <c r="Q49" s="2"/>
      <c r="R49" s="19"/>
      <c r="S49" s="2"/>
      <c r="T49" s="2"/>
      <c r="U49" s="2"/>
      <c r="V49" s="19"/>
      <c r="W49" s="2"/>
      <c r="X49" s="2">
        <f t="shared" si="2"/>
        <v>309.26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--22519.96</f>
        <v>22519.96</v>
      </c>
      <c r="E50" s="2"/>
      <c r="F50" s="19"/>
      <c r="G50" s="2"/>
      <c r="H50" s="2">
        <v>234781</v>
      </c>
      <c r="I50" s="2"/>
      <c r="J50" s="19"/>
      <c r="K50" s="2"/>
      <c r="L50" s="2">
        <f t="shared" si="0"/>
        <v>-212261.04</v>
      </c>
      <c r="M50" s="2"/>
      <c r="N50" s="19">
        <f t="shared" si="1"/>
        <v>-0.90408099462903735</v>
      </c>
      <c r="O50" s="11"/>
      <c r="P50" s="2">
        <f>--572740.12</f>
        <v>572740.12</v>
      </c>
      <c r="Q50" s="2"/>
      <c r="R50" s="19"/>
      <c r="S50" s="2"/>
      <c r="T50" s="2">
        <v>5745700</v>
      </c>
      <c r="U50" s="2"/>
      <c r="V50" s="19"/>
      <c r="W50" s="2"/>
      <c r="X50" s="2">
        <f t="shared" si="2"/>
        <v>-5172959.88</v>
      </c>
      <c r="Y50" s="2"/>
      <c r="Z50" s="19">
        <f t="shared" si="3"/>
        <v>-0.90031847816628086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--7332.54</f>
        <v>7332.54</v>
      </c>
      <c r="E51" s="2"/>
      <c r="F51" s="19"/>
      <c r="G51" s="2"/>
      <c r="H51" s="2"/>
      <c r="I51" s="2"/>
      <c r="J51" s="19"/>
      <c r="K51" s="2"/>
      <c r="L51" s="2">
        <f t="shared" si="0"/>
        <v>7332.54</v>
      </c>
      <c r="M51" s="2"/>
      <c r="N51" s="19">
        <f t="shared" si="1"/>
        <v>0</v>
      </c>
      <c r="O51" s="11"/>
      <c r="P51" s="2">
        <f>--139737.77</f>
        <v>139737.76999999999</v>
      </c>
      <c r="Q51" s="2"/>
      <c r="R51" s="19"/>
      <c r="S51" s="2"/>
      <c r="T51" s="2"/>
      <c r="U51" s="2"/>
      <c r="V51" s="19"/>
      <c r="W51" s="2"/>
      <c r="X51" s="2">
        <f t="shared" si="2"/>
        <v>139737.76999999999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--1850.06</f>
        <v>1850.06</v>
      </c>
      <c r="E52" s="2"/>
      <c r="F52" s="19"/>
      <c r="G52" s="2"/>
      <c r="H52" s="2"/>
      <c r="I52" s="2"/>
      <c r="J52" s="19"/>
      <c r="K52" s="2"/>
      <c r="L52" s="2">
        <f t="shared" si="0"/>
        <v>1850.06</v>
      </c>
      <c r="M52" s="2"/>
      <c r="N52" s="19">
        <f t="shared" si="1"/>
        <v>0</v>
      </c>
      <c r="O52" s="11"/>
      <c r="P52" s="2">
        <f>--68466.86</f>
        <v>68466.86</v>
      </c>
      <c r="Q52" s="2"/>
      <c r="R52" s="19"/>
      <c r="S52" s="2"/>
      <c r="T52" s="2"/>
      <c r="U52" s="2"/>
      <c r="V52" s="19"/>
      <c r="W52" s="2"/>
      <c r="X52" s="2">
        <f t="shared" si="2"/>
        <v>68466.86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/>
      <c r="U53" s="2"/>
      <c r="V53" s="19"/>
      <c r="W53" s="2"/>
      <c r="X53" s="2">
        <f t="shared" si="2"/>
        <v>664.97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--21322.38</f>
        <v>21322.38</v>
      </c>
      <c r="E54" s="2"/>
      <c r="F54" s="19"/>
      <c r="G54" s="2"/>
      <c r="H54" s="2"/>
      <c r="I54" s="2"/>
      <c r="J54" s="19"/>
      <c r="K54" s="2"/>
      <c r="L54" s="2">
        <f t="shared" si="0"/>
        <v>21322.38</v>
      </c>
      <c r="M54" s="2"/>
      <c r="N54" s="19">
        <f t="shared" si="1"/>
        <v>0</v>
      </c>
      <c r="O54" s="11"/>
      <c r="P54" s="2">
        <f>--523390.34</f>
        <v>523390.34</v>
      </c>
      <c r="Q54" s="2"/>
      <c r="R54" s="19"/>
      <c r="S54" s="2"/>
      <c r="T54" s="2"/>
      <c r="U54" s="2"/>
      <c r="V54" s="19"/>
      <c r="W54" s="2"/>
      <c r="X54" s="2">
        <f t="shared" si="2"/>
        <v>523390.34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--1651.49</f>
        <v>1651.49</v>
      </c>
      <c r="E55" s="2"/>
      <c r="F55" s="19"/>
      <c r="G55" s="2"/>
      <c r="H55" s="2"/>
      <c r="I55" s="2"/>
      <c r="J55" s="19"/>
      <c r="K55" s="2"/>
      <c r="L55" s="2">
        <f t="shared" si="0"/>
        <v>1651.49</v>
      </c>
      <c r="M55" s="2"/>
      <c r="N55" s="19">
        <f t="shared" si="1"/>
        <v>0</v>
      </c>
      <c r="O55" s="11"/>
      <c r="P55" s="2">
        <f>--14359.99</f>
        <v>14359.99</v>
      </c>
      <c r="Q55" s="2"/>
      <c r="R55" s="19"/>
      <c r="S55" s="2"/>
      <c r="T55" s="2"/>
      <c r="U55" s="2"/>
      <c r="V55" s="19"/>
      <c r="W55" s="2"/>
      <c r="X55" s="2">
        <f t="shared" si="2"/>
        <v>14359.99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--2215.2</f>
        <v>2215.1999999999998</v>
      </c>
      <c r="E56" s="2"/>
      <c r="F56" s="19"/>
      <c r="G56" s="2"/>
      <c r="H56" s="2"/>
      <c r="I56" s="2"/>
      <c r="J56" s="19"/>
      <c r="K56" s="2"/>
      <c r="L56" s="2">
        <f t="shared" si="0"/>
        <v>2215.1999999999998</v>
      </c>
      <c r="M56" s="2"/>
      <c r="N56" s="19">
        <f t="shared" si="1"/>
        <v>0</v>
      </c>
      <c r="O56" s="11"/>
      <c r="P56" s="2">
        <f>--3361.92</f>
        <v>3361.92</v>
      </c>
      <c r="Q56" s="2"/>
      <c r="R56" s="19"/>
      <c r="S56" s="2"/>
      <c r="T56" s="2"/>
      <c r="U56" s="2"/>
      <c r="V56" s="19"/>
      <c r="W56" s="2"/>
      <c r="X56" s="2">
        <f t="shared" si="2"/>
        <v>3361.92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--19.99</f>
        <v>19.989999999999998</v>
      </c>
      <c r="E57" s="2"/>
      <c r="F57" s="19"/>
      <c r="G57" s="2"/>
      <c r="H57" s="2"/>
      <c r="I57" s="2"/>
      <c r="J57" s="19"/>
      <c r="K57" s="2"/>
      <c r="L57" s="2">
        <f t="shared" si="0"/>
        <v>19.989999999999998</v>
      </c>
      <c r="M57" s="2"/>
      <c r="N57" s="19">
        <f t="shared" si="1"/>
        <v>0</v>
      </c>
      <c r="O57" s="11"/>
      <c r="P57" s="2">
        <f>--61.9</f>
        <v>61.9</v>
      </c>
      <c r="Q57" s="2"/>
      <c r="R57" s="19"/>
      <c r="S57" s="2"/>
      <c r="T57" s="2"/>
      <c r="U57" s="2"/>
      <c r="V57" s="19"/>
      <c r="W57" s="2"/>
      <c r="X57" s="2">
        <f t="shared" si="2"/>
        <v>61.9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--40.39</f>
        <v>40.39</v>
      </c>
      <c r="E58" s="2"/>
      <c r="F58" s="19"/>
      <c r="G58" s="2"/>
      <c r="H58" s="2"/>
      <c r="I58" s="2"/>
      <c r="J58" s="19"/>
      <c r="K58" s="2"/>
      <c r="L58" s="2">
        <f t="shared" si="0"/>
        <v>40.39</v>
      </c>
      <c r="M58" s="2"/>
      <c r="N58" s="19">
        <f t="shared" si="1"/>
        <v>0</v>
      </c>
      <c r="O58" s="11"/>
      <c r="P58" s="2">
        <f>--263.07</f>
        <v>263.07</v>
      </c>
      <c r="Q58" s="2"/>
      <c r="R58" s="19"/>
      <c r="S58" s="2"/>
      <c r="T58" s="2"/>
      <c r="U58" s="2"/>
      <c r="V58" s="19"/>
      <c r="W58" s="2"/>
      <c r="X58" s="2">
        <f t="shared" si="2"/>
        <v>263.07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--349.94</f>
        <v>349.94</v>
      </c>
      <c r="E59" s="2"/>
      <c r="F59" s="19"/>
      <c r="G59" s="2"/>
      <c r="H59" s="2"/>
      <c r="I59" s="2"/>
      <c r="J59" s="19"/>
      <c r="K59" s="2"/>
      <c r="L59" s="2">
        <f t="shared" si="0"/>
        <v>349.94</v>
      </c>
      <c r="M59" s="2"/>
      <c r="N59" s="19">
        <f t="shared" si="1"/>
        <v>0</v>
      </c>
      <c r="O59" s="11"/>
      <c r="P59" s="2">
        <f>--2906.58</f>
        <v>2906.58</v>
      </c>
      <c r="Q59" s="2"/>
      <c r="R59" s="19"/>
      <c r="S59" s="2"/>
      <c r="T59" s="2"/>
      <c r="U59" s="2"/>
      <c r="V59" s="19"/>
      <c r="W59" s="2"/>
      <c r="X59" s="2">
        <f t="shared" si="2"/>
        <v>2906.58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--527.81</f>
        <v>527.80999999999995</v>
      </c>
      <c r="E60" s="2"/>
      <c r="F60" s="19"/>
      <c r="G60" s="2"/>
      <c r="H60" s="2"/>
      <c r="I60" s="2"/>
      <c r="J60" s="19"/>
      <c r="K60" s="2"/>
      <c r="L60" s="2">
        <f t="shared" si="0"/>
        <v>527.80999999999995</v>
      </c>
      <c r="M60" s="2"/>
      <c r="N60" s="19">
        <f t="shared" si="1"/>
        <v>0</v>
      </c>
      <c r="O60" s="11"/>
      <c r="P60" s="2">
        <f>--4662.41</f>
        <v>4662.41</v>
      </c>
      <c r="Q60" s="2"/>
      <c r="R60" s="19"/>
      <c r="S60" s="2"/>
      <c r="T60" s="2"/>
      <c r="U60" s="2"/>
      <c r="V60" s="19"/>
      <c r="W60" s="2"/>
      <c r="X60" s="2">
        <f t="shared" si="2"/>
        <v>4662.41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--147.48</f>
        <v>147.47999999999999</v>
      </c>
      <c r="E61" s="2"/>
      <c r="F61" s="19"/>
      <c r="G61" s="2"/>
      <c r="H61" s="2"/>
      <c r="I61" s="2"/>
      <c r="J61" s="19"/>
      <c r="K61" s="2"/>
      <c r="L61" s="2">
        <f t="shared" si="0"/>
        <v>147.47999999999999</v>
      </c>
      <c r="M61" s="2"/>
      <c r="N61" s="19">
        <f t="shared" si="1"/>
        <v>0</v>
      </c>
      <c r="O61" s="11"/>
      <c r="P61" s="2">
        <f>--678.5</f>
        <v>678.5</v>
      </c>
      <c r="Q61" s="2"/>
      <c r="R61" s="19"/>
      <c r="S61" s="2"/>
      <c r="T61" s="2"/>
      <c r="U61" s="2"/>
      <c r="V61" s="19"/>
      <c r="W61" s="2"/>
      <c r="X61" s="2">
        <f t="shared" si="2"/>
        <v>678.5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--10371.21</f>
        <v>10371.209999999999</v>
      </c>
      <c r="E62" s="2"/>
      <c r="F62" s="19"/>
      <c r="G62" s="2"/>
      <c r="H62" s="2"/>
      <c r="I62" s="2"/>
      <c r="J62" s="19"/>
      <c r="K62" s="2"/>
      <c r="L62" s="2">
        <f t="shared" si="0"/>
        <v>10371.209999999999</v>
      </c>
      <c r="M62" s="2"/>
      <c r="N62" s="19">
        <f t="shared" si="1"/>
        <v>0</v>
      </c>
      <c r="O62" s="11"/>
      <c r="P62" s="2">
        <f>--53401.55</f>
        <v>53401.55</v>
      </c>
      <c r="Q62" s="2"/>
      <c r="R62" s="19"/>
      <c r="S62" s="2"/>
      <c r="T62" s="2"/>
      <c r="U62" s="2"/>
      <c r="V62" s="19"/>
      <c r="W62" s="2"/>
      <c r="X62" s="2">
        <f t="shared" si="2"/>
        <v>53401.55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--2501.74</f>
        <v>2501.7399999999998</v>
      </c>
      <c r="E63" s="2"/>
      <c r="F63" s="19"/>
      <c r="G63" s="2"/>
      <c r="H63" s="2"/>
      <c r="I63" s="2"/>
      <c r="J63" s="19"/>
      <c r="K63" s="2"/>
      <c r="L63" s="2">
        <f t="shared" si="0"/>
        <v>2501.7399999999998</v>
      </c>
      <c r="M63" s="2"/>
      <c r="N63" s="19">
        <f t="shared" si="1"/>
        <v>0</v>
      </c>
      <c r="O63" s="11"/>
      <c r="P63" s="2">
        <f>--15049.17</f>
        <v>15049.17</v>
      </c>
      <c r="Q63" s="2"/>
      <c r="R63" s="19"/>
      <c r="S63" s="2"/>
      <c r="T63" s="2"/>
      <c r="U63" s="2"/>
      <c r="V63" s="19"/>
      <c r="W63" s="2"/>
      <c r="X63" s="2">
        <f t="shared" si="2"/>
        <v>15049.17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--3264.8</f>
        <v>3264.8</v>
      </c>
      <c r="E64" s="2"/>
      <c r="F64" s="19"/>
      <c r="G64" s="2"/>
      <c r="H64" s="2"/>
      <c r="I64" s="2"/>
      <c r="J64" s="19"/>
      <c r="K64" s="2"/>
      <c r="L64" s="2">
        <f t="shared" si="0"/>
        <v>3264.8</v>
      </c>
      <c r="M64" s="2"/>
      <c r="N64" s="19">
        <f t="shared" si="1"/>
        <v>0</v>
      </c>
      <c r="O64" s="11"/>
      <c r="P64" s="2">
        <f>--16822.98</f>
        <v>16822.98</v>
      </c>
      <c r="Q64" s="2"/>
      <c r="R64" s="19"/>
      <c r="S64" s="2"/>
      <c r="T64" s="2"/>
      <c r="U64" s="2"/>
      <c r="V64" s="19"/>
      <c r="W64" s="2"/>
      <c r="X64" s="2">
        <f t="shared" si="2"/>
        <v>16822.98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>--1.89</f>
        <v>1.89</v>
      </c>
      <c r="E65" s="2"/>
      <c r="F65" s="19"/>
      <c r="G65" s="2"/>
      <c r="H65" s="2"/>
      <c r="I65" s="2"/>
      <c r="J65" s="19"/>
      <c r="K65" s="2"/>
      <c r="L65" s="2">
        <f t="shared" si="0"/>
        <v>1.89</v>
      </c>
      <c r="M65" s="2"/>
      <c r="N65" s="19">
        <f t="shared" si="1"/>
        <v>0</v>
      </c>
      <c r="O65" s="11"/>
      <c r="P65" s="2">
        <f>--1.89</f>
        <v>1.89</v>
      </c>
      <c r="Q65" s="2"/>
      <c r="R65" s="19"/>
      <c r="S65" s="2"/>
      <c r="T65" s="2"/>
      <c r="U65" s="2"/>
      <c r="V65" s="19"/>
      <c r="W65" s="2"/>
      <c r="X65" s="2">
        <f t="shared" si="2"/>
        <v>1.89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>--21.54</f>
        <v>21.54</v>
      </c>
      <c r="E66" s="2"/>
      <c r="F66" s="19"/>
      <c r="G66" s="2"/>
      <c r="H66" s="2"/>
      <c r="I66" s="2"/>
      <c r="J66" s="19"/>
      <c r="K66" s="2"/>
      <c r="L66" s="2">
        <f t="shared" si="0"/>
        <v>21.54</v>
      </c>
      <c r="M66" s="2"/>
      <c r="N66" s="19">
        <f t="shared" si="1"/>
        <v>0</v>
      </c>
      <c r="O66" s="11"/>
      <c r="P66" s="2">
        <f>--161.4</f>
        <v>161.4</v>
      </c>
      <c r="Q66" s="2"/>
      <c r="R66" s="19"/>
      <c r="S66" s="2"/>
      <c r="T66" s="2"/>
      <c r="U66" s="2"/>
      <c r="V66" s="19"/>
      <c r="W66" s="2"/>
      <c r="X66" s="2">
        <f t="shared" si="2"/>
        <v>161.4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>--1339.6</f>
        <v>1339.6</v>
      </c>
      <c r="E67" s="2"/>
      <c r="F67" s="19"/>
      <c r="G67" s="2"/>
      <c r="H67" s="2"/>
      <c r="I67" s="2"/>
      <c r="J67" s="19"/>
      <c r="K67" s="2"/>
      <c r="L67" s="2">
        <f t="shared" si="0"/>
        <v>1339.6</v>
      </c>
      <c r="M67" s="2"/>
      <c r="N67" s="19">
        <f t="shared" si="1"/>
        <v>0</v>
      </c>
      <c r="O67" s="11"/>
      <c r="P67" s="2">
        <f>--7888.56</f>
        <v>7888.56</v>
      </c>
      <c r="Q67" s="2"/>
      <c r="R67" s="19"/>
      <c r="S67" s="2"/>
      <c r="T67" s="2"/>
      <c r="U67" s="2"/>
      <c r="V67" s="19"/>
      <c r="W67" s="2"/>
      <c r="X67" s="2">
        <f t="shared" si="2"/>
        <v>7888.56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--42582.67</f>
        <v>42582.67</v>
      </c>
      <c r="Q68" s="2"/>
      <c r="R68" s="19"/>
      <c r="S68" s="2"/>
      <c r="T68" s="2"/>
      <c r="U68" s="2"/>
      <c r="V68" s="19"/>
      <c r="W68" s="2"/>
      <c r="X68" s="2">
        <f t="shared" si="2"/>
        <v>42582.67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--6423.17</f>
        <v>6423.17</v>
      </c>
      <c r="E69" s="2"/>
      <c r="F69" s="19"/>
      <c r="G69" s="2"/>
      <c r="H69" s="2"/>
      <c r="I69" s="2"/>
      <c r="J69" s="19"/>
      <c r="K69" s="2"/>
      <c r="L69" s="2">
        <f t="shared" si="0"/>
        <v>6423.17</v>
      </c>
      <c r="M69" s="2"/>
      <c r="N69" s="19">
        <f t="shared" si="1"/>
        <v>0</v>
      </c>
      <c r="O69" s="11"/>
      <c r="P69" s="2">
        <f>--10672.17</f>
        <v>10672.17</v>
      </c>
      <c r="Q69" s="2"/>
      <c r="R69" s="19"/>
      <c r="S69" s="2"/>
      <c r="T69" s="2"/>
      <c r="U69" s="2"/>
      <c r="V69" s="19"/>
      <c r="W69" s="2"/>
      <c r="X69" s="2">
        <f t="shared" si="2"/>
        <v>10672.17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--1257.56</f>
        <v>1257.56</v>
      </c>
      <c r="E70" s="2"/>
      <c r="F70" s="19"/>
      <c r="G70" s="2"/>
      <c r="H70" s="2"/>
      <c r="I70" s="2"/>
      <c r="J70" s="19"/>
      <c r="K70" s="2"/>
      <c r="L70" s="2">
        <f t="shared" si="0"/>
        <v>1257.56</v>
      </c>
      <c r="M70" s="2"/>
      <c r="N70" s="19">
        <f t="shared" si="1"/>
        <v>0</v>
      </c>
      <c r="O70" s="11"/>
      <c r="P70" s="2">
        <f>--13692.85</f>
        <v>13692.85</v>
      </c>
      <c r="Q70" s="2"/>
      <c r="R70" s="19"/>
      <c r="S70" s="2"/>
      <c r="T70" s="2"/>
      <c r="U70" s="2"/>
      <c r="V70" s="19"/>
      <c r="W70" s="2"/>
      <c r="X70" s="2">
        <f t="shared" si="2"/>
        <v>13692.85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--9.99</f>
        <v>9.99</v>
      </c>
      <c r="E71" s="2"/>
      <c r="F71" s="19"/>
      <c r="G71" s="2"/>
      <c r="H71" s="2"/>
      <c r="I71" s="2"/>
      <c r="J71" s="19"/>
      <c r="K71" s="2"/>
      <c r="L71" s="2">
        <f t="shared" si="0"/>
        <v>9.99</v>
      </c>
      <c r="M71" s="2"/>
      <c r="N71" s="19">
        <f t="shared" si="1"/>
        <v>0</v>
      </c>
      <c r="O71" s="11"/>
      <c r="P71" s="2">
        <f>--9.99</f>
        <v>9.99</v>
      </c>
      <c r="Q71" s="2"/>
      <c r="R71" s="19"/>
      <c r="S71" s="2"/>
      <c r="T71" s="2"/>
      <c r="U71" s="2"/>
      <c r="V71" s="19"/>
      <c r="W71" s="2"/>
      <c r="X71" s="2">
        <f t="shared" si="2"/>
        <v>9.99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--922.94</f>
        <v>922.94</v>
      </c>
      <c r="E72" s="2"/>
      <c r="F72" s="19"/>
      <c r="G72" s="2"/>
      <c r="H72" s="2"/>
      <c r="I72" s="2"/>
      <c r="J72" s="19"/>
      <c r="K72" s="2"/>
      <c r="L72" s="2">
        <f t="shared" si="0"/>
        <v>922.94</v>
      </c>
      <c r="M72" s="2"/>
      <c r="N72" s="19">
        <f t="shared" si="1"/>
        <v>0</v>
      </c>
      <c r="O72" s="11"/>
      <c r="P72" s="2">
        <f>--1890.27</f>
        <v>1890.27</v>
      </c>
      <c r="Q72" s="2"/>
      <c r="R72" s="19"/>
      <c r="S72" s="2"/>
      <c r="T72" s="2"/>
      <c r="U72" s="2"/>
      <c r="V72" s="19"/>
      <c r="W72" s="2"/>
      <c r="X72" s="2">
        <f t="shared" si="2"/>
        <v>1890.27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--140</f>
        <v>140</v>
      </c>
      <c r="Q73" s="2"/>
      <c r="R73" s="19"/>
      <c r="S73" s="2"/>
      <c r="T73" s="2"/>
      <c r="U73" s="2"/>
      <c r="V73" s="19"/>
      <c r="W73" s="2"/>
      <c r="X73" s="2">
        <f t="shared" si="2"/>
        <v>140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--28849.25</f>
        <v>28849.25</v>
      </c>
      <c r="E74" s="2"/>
      <c r="F74" s="19"/>
      <c r="G74" s="2"/>
      <c r="H74" s="2"/>
      <c r="I74" s="2"/>
      <c r="J74" s="19"/>
      <c r="K74" s="2"/>
      <c r="L74" s="2">
        <f t="shared" si="0"/>
        <v>28849.25</v>
      </c>
      <c r="M74" s="2"/>
      <c r="N74" s="19">
        <f t="shared" si="1"/>
        <v>0</v>
      </c>
      <c r="O74" s="11"/>
      <c r="P74" s="2">
        <f>--192403.75</f>
        <v>192403.75</v>
      </c>
      <c r="Q74" s="2"/>
      <c r="R74" s="19"/>
      <c r="S74" s="2"/>
      <c r="T74" s="2"/>
      <c r="U74" s="2"/>
      <c r="V74" s="19"/>
      <c r="W74" s="2"/>
      <c r="X74" s="2">
        <f t="shared" si="2"/>
        <v>192403.75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--2183.94</f>
        <v>2183.94</v>
      </c>
      <c r="E75" s="2"/>
      <c r="F75" s="19"/>
      <c r="G75" s="2"/>
      <c r="H75" s="2"/>
      <c r="I75" s="2"/>
      <c r="J75" s="19"/>
      <c r="K75" s="2"/>
      <c r="L75" s="2">
        <f t="shared" si="0"/>
        <v>2183.94</v>
      </c>
      <c r="M75" s="2"/>
      <c r="N75" s="19">
        <f t="shared" si="1"/>
        <v>0</v>
      </c>
      <c r="O75" s="11"/>
      <c r="P75" s="2">
        <f>--2502.84</f>
        <v>2502.84</v>
      </c>
      <c r="Q75" s="2"/>
      <c r="R75" s="19"/>
      <c r="S75" s="2"/>
      <c r="T75" s="2"/>
      <c r="U75" s="2"/>
      <c r="V75" s="19"/>
      <c r="W75" s="2"/>
      <c r="X75" s="2">
        <f t="shared" si="2"/>
        <v>2502.84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--257.96</f>
        <v>257.95999999999998</v>
      </c>
      <c r="E76" s="2"/>
      <c r="F76" s="19"/>
      <c r="G76" s="2"/>
      <c r="H76" s="2"/>
      <c r="I76" s="2"/>
      <c r="J76" s="19"/>
      <c r="K76" s="2"/>
      <c r="L76" s="2">
        <f t="shared" si="0"/>
        <v>257.95999999999998</v>
      </c>
      <c r="M76" s="2"/>
      <c r="N76" s="19">
        <f t="shared" si="1"/>
        <v>0</v>
      </c>
      <c r="O76" s="11"/>
      <c r="P76" s="2">
        <f>--2064.38</f>
        <v>2064.38</v>
      </c>
      <c r="Q76" s="2"/>
      <c r="R76" s="19"/>
      <c r="S76" s="2"/>
      <c r="T76" s="2"/>
      <c r="U76" s="2"/>
      <c r="V76" s="19"/>
      <c r="W76" s="2"/>
      <c r="X76" s="2">
        <f t="shared" si="2"/>
        <v>2064.38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--10906.99</f>
        <v>10906.99</v>
      </c>
      <c r="E77" s="2"/>
      <c r="F77" s="19"/>
      <c r="G77" s="2"/>
      <c r="H77" s="2"/>
      <c r="I77" s="2"/>
      <c r="J77" s="19"/>
      <c r="K77" s="2"/>
      <c r="L77" s="2">
        <f t="shared" si="0"/>
        <v>10906.99</v>
      </c>
      <c r="M77" s="2"/>
      <c r="N77" s="19">
        <f t="shared" si="1"/>
        <v>0</v>
      </c>
      <c r="O77" s="11"/>
      <c r="P77" s="2">
        <f>--97878.96</f>
        <v>97878.96</v>
      </c>
      <c r="Q77" s="2"/>
      <c r="R77" s="19"/>
      <c r="S77" s="2"/>
      <c r="T77" s="2"/>
      <c r="U77" s="2"/>
      <c r="V77" s="19"/>
      <c r="W77" s="2"/>
      <c r="X77" s="2">
        <f t="shared" si="2"/>
        <v>97878.96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--1706.87</f>
        <v>1706.87</v>
      </c>
      <c r="E78" s="2"/>
      <c r="F78" s="19"/>
      <c r="G78" s="2"/>
      <c r="H78" s="2"/>
      <c r="I78" s="2"/>
      <c r="J78" s="19"/>
      <c r="K78" s="2"/>
      <c r="L78" s="2">
        <f t="shared" si="0"/>
        <v>1706.87</v>
      </c>
      <c r="M78" s="2"/>
      <c r="N78" s="19">
        <f t="shared" si="1"/>
        <v>0</v>
      </c>
      <c r="O78" s="11"/>
      <c r="P78" s="2">
        <f>--6056.31</f>
        <v>6056.31</v>
      </c>
      <c r="Q78" s="2"/>
      <c r="R78" s="19"/>
      <c r="S78" s="2"/>
      <c r="T78" s="2"/>
      <c r="U78" s="2"/>
      <c r="V78" s="19"/>
      <c r="W78" s="2"/>
      <c r="X78" s="2">
        <f t="shared" si="2"/>
        <v>6056.31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--2728</f>
        <v>2728</v>
      </c>
      <c r="Q79" s="2"/>
      <c r="R79" s="19"/>
      <c r="S79" s="2"/>
      <c r="T79" s="2"/>
      <c r="U79" s="2"/>
      <c r="V79" s="19"/>
      <c r="W79" s="2"/>
      <c r="X79" s="2">
        <f t="shared" si="2"/>
        <v>2728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--817.97</f>
        <v>817.97</v>
      </c>
      <c r="E80" s="2"/>
      <c r="F80" s="19"/>
      <c r="G80" s="2"/>
      <c r="H80" s="2"/>
      <c r="I80" s="2"/>
      <c r="J80" s="19"/>
      <c r="K80" s="2"/>
      <c r="L80" s="2">
        <f t="shared" si="0"/>
        <v>817.97</v>
      </c>
      <c r="M80" s="2"/>
      <c r="N80" s="19">
        <f t="shared" si="1"/>
        <v>0</v>
      </c>
      <c r="O80" s="11"/>
      <c r="P80" s="2">
        <f>--12145.79</f>
        <v>12145.79</v>
      </c>
      <c r="Q80" s="2"/>
      <c r="R80" s="19"/>
      <c r="S80" s="2"/>
      <c r="T80" s="2"/>
      <c r="U80" s="2"/>
      <c r="V80" s="19"/>
      <c r="W80" s="2"/>
      <c r="X80" s="2">
        <f t="shared" si="2"/>
        <v>12145.79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--519.9</f>
        <v>519.9</v>
      </c>
      <c r="E81" s="2"/>
      <c r="F81" s="19"/>
      <c r="G81" s="2"/>
      <c r="H81" s="2"/>
      <c r="I81" s="2"/>
      <c r="J81" s="19"/>
      <c r="K81" s="2"/>
      <c r="L81" s="2">
        <f t="shared" si="0"/>
        <v>519.9</v>
      </c>
      <c r="M81" s="2"/>
      <c r="N81" s="19">
        <f t="shared" si="1"/>
        <v>0</v>
      </c>
      <c r="O81" s="11"/>
      <c r="P81" s="2">
        <f>--2469.21</f>
        <v>2469.21</v>
      </c>
      <c r="Q81" s="2"/>
      <c r="R81" s="19"/>
      <c r="S81" s="2"/>
      <c r="T81" s="2"/>
      <c r="U81" s="2"/>
      <c r="V81" s="19"/>
      <c r="W81" s="2"/>
      <c r="X81" s="2">
        <f t="shared" si="2"/>
        <v>2469.21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--219.96</f>
        <v>219.96</v>
      </c>
      <c r="Q82" s="2"/>
      <c r="R82" s="19"/>
      <c r="S82" s="2"/>
      <c r="T82" s="2"/>
      <c r="U82" s="2"/>
      <c r="V82" s="19"/>
      <c r="W82" s="2"/>
      <c r="X82" s="2">
        <f t="shared" si="2"/>
        <v>219.96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-4114.56</f>
        <v>-4114.5600000000004</v>
      </c>
      <c r="E83" s="2"/>
      <c r="F83" s="19"/>
      <c r="G83" s="2"/>
      <c r="H83" s="2"/>
      <c r="I83" s="2"/>
      <c r="J83" s="19"/>
      <c r="K83" s="2"/>
      <c r="L83" s="2">
        <f t="shared" si="0"/>
        <v>-4114.5600000000004</v>
      </c>
      <c r="M83" s="2"/>
      <c r="N83" s="19">
        <f t="shared" si="1"/>
        <v>0</v>
      </c>
      <c r="O83" s="11"/>
      <c r="P83" s="2">
        <f>-120740.41</f>
        <v>-120740.41</v>
      </c>
      <c r="Q83" s="2"/>
      <c r="R83" s="19"/>
      <c r="S83" s="2"/>
      <c r="T83" s="2"/>
      <c r="U83" s="2"/>
      <c r="V83" s="19"/>
      <c r="W83" s="2"/>
      <c r="X83" s="2">
        <f t="shared" si="2"/>
        <v>-120740.41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-2008.16</f>
        <v>-2008.16</v>
      </c>
      <c r="E84" s="2"/>
      <c r="F84" s="19"/>
      <c r="G84" s="2"/>
      <c r="H84" s="2"/>
      <c r="I84" s="2"/>
      <c r="J84" s="19"/>
      <c r="K84" s="2"/>
      <c r="L84" s="2">
        <f t="shared" si="0"/>
        <v>-2008.16</v>
      </c>
      <c r="M84" s="2"/>
      <c r="N84" s="19">
        <f t="shared" si="1"/>
        <v>0</v>
      </c>
      <c r="O84" s="11"/>
      <c r="P84" s="2">
        <f>-45387.31</f>
        <v>-45387.31</v>
      </c>
      <c r="Q84" s="2"/>
      <c r="R84" s="19"/>
      <c r="S84" s="2"/>
      <c r="T84" s="2"/>
      <c r="U84" s="2"/>
      <c r="V84" s="19"/>
      <c r="W84" s="2"/>
      <c r="X84" s="2">
        <f t="shared" si="2"/>
        <v>-45387.31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-144.99</f>
        <v>-144.99</v>
      </c>
      <c r="Q85" s="2"/>
      <c r="R85" s="19"/>
      <c r="S85" s="2"/>
      <c r="T85" s="2"/>
      <c r="U85" s="2"/>
      <c r="V85" s="19"/>
      <c r="W85" s="2"/>
      <c r="X85" s="2">
        <f t="shared" si="2"/>
        <v>-144.99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>-993.89</f>
        <v>-993.89</v>
      </c>
      <c r="E86" s="2"/>
      <c r="F86" s="19"/>
      <c r="G86" s="2"/>
      <c r="H86" s="2"/>
      <c r="I86" s="2"/>
      <c r="J86" s="19"/>
      <c r="K86" s="2"/>
      <c r="L86" s="2">
        <f t="shared" si="0"/>
        <v>-993.89</v>
      </c>
      <c r="M86" s="2"/>
      <c r="N86" s="19">
        <f t="shared" si="1"/>
        <v>0</v>
      </c>
      <c r="O86" s="11"/>
      <c r="P86" s="2">
        <f>-17255.33</f>
        <v>-17255.330000000002</v>
      </c>
      <c r="Q86" s="2"/>
      <c r="R86" s="19"/>
      <c r="S86" s="2"/>
      <c r="T86" s="2"/>
      <c r="U86" s="2"/>
      <c r="V86" s="19"/>
      <c r="W86" s="2"/>
      <c r="X86" s="2">
        <f t="shared" si="2"/>
        <v>-17255.330000000002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>-103.4</f>
        <v>-103.4</v>
      </c>
      <c r="E87" s="2"/>
      <c r="F87" s="19"/>
      <c r="G87" s="2"/>
      <c r="H87" s="2"/>
      <c r="I87" s="2"/>
      <c r="J87" s="19"/>
      <c r="K87" s="2"/>
      <c r="L87" s="2">
        <f t="shared" si="0"/>
        <v>-103.4</v>
      </c>
      <c r="M87" s="2"/>
      <c r="N87" s="19">
        <f t="shared" si="1"/>
        <v>0</v>
      </c>
      <c r="O87" s="11"/>
      <c r="P87" s="2">
        <f>-220.06</f>
        <v>-220.06</v>
      </c>
      <c r="Q87" s="2"/>
      <c r="R87" s="19"/>
      <c r="S87" s="2"/>
      <c r="T87" s="2"/>
      <c r="U87" s="2"/>
      <c r="V87" s="19"/>
      <c r="W87" s="2"/>
      <c r="X87" s="2">
        <f t="shared" si="2"/>
        <v>-220.06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"4214", " - ", "SALES RETURN TAXABLE-REMAINDER")</f>
        <v xml:space="preserve">          4214 - SALES RETURN TAXABLE-REMAINDER</v>
      </c>
      <c r="C88" s="11"/>
      <c r="D88" s="2">
        <f t="shared" ref="D88:D90" si="5"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-11.94</f>
        <v>-11.94</v>
      </c>
      <c r="Q88" s="2"/>
      <c r="R88" s="19"/>
      <c r="S88" s="2"/>
      <c r="T88" s="2"/>
      <c r="U88" s="2"/>
      <c r="V88" s="19"/>
      <c r="W88" s="2"/>
      <c r="X88" s="2">
        <f t="shared" si="2"/>
        <v>-11.94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"4217", " - ", "NON-TAXABLE SALES-DORM/HOUSEWA")</f>
        <v xml:space="preserve">          4217 - NON-TAXABLE SALES-DORM/HOUSEWA</v>
      </c>
      <c r="C89" s="11"/>
      <c r="D89" s="2">
        <f t="shared" si="5"/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-2.98</f>
        <v>-2.98</v>
      </c>
      <c r="Q89" s="2"/>
      <c r="R89" s="19"/>
      <c r="S89" s="2"/>
      <c r="T89" s="2"/>
      <c r="U89" s="2"/>
      <c r="V89" s="19"/>
      <c r="W89" s="2"/>
      <c r="X89" s="2">
        <f t="shared" si="2"/>
        <v>-2.98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"4218", " - ", "SALES RETURN TAXABLE-STUDY GUI")</f>
        <v xml:space="preserve">          4218 - SALES RETURN TAXABLE-STUDY GUI</v>
      </c>
      <c r="C90" s="11"/>
      <c r="D90" s="2">
        <f t="shared" si="5"/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-39.25</f>
        <v>-39.25</v>
      </c>
      <c r="Q90" s="2"/>
      <c r="R90" s="19"/>
      <c r="S90" s="2"/>
      <c r="T90" s="2"/>
      <c r="U90" s="2"/>
      <c r="V90" s="19"/>
      <c r="W90" s="2"/>
      <c r="X90" s="2">
        <f t="shared" si="2"/>
        <v>-39.25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"4225", " - ", "SALES RETURN TAXABLE-TEST FORM")</f>
        <v xml:space="preserve">          4225 - SALES RETURN TAXABLE-TEST FORM</v>
      </c>
      <c r="C91" s="11"/>
      <c r="D91" s="2">
        <f>-72.54</f>
        <v>-72.540000000000006</v>
      </c>
      <c r="E91" s="2"/>
      <c r="F91" s="19"/>
      <c r="G91" s="2"/>
      <c r="H91" s="2"/>
      <c r="I91" s="2"/>
      <c r="J91" s="19"/>
      <c r="K91" s="2"/>
      <c r="L91" s="2">
        <f t="shared" si="0"/>
        <v>-72.540000000000006</v>
      </c>
      <c r="M91" s="2"/>
      <c r="N91" s="19">
        <f t="shared" si="1"/>
        <v>0</v>
      </c>
      <c r="O91" s="11"/>
      <c r="P91" s="2">
        <f>-168.25</f>
        <v>-168.25</v>
      </c>
      <c r="Q91" s="2"/>
      <c r="R91" s="19"/>
      <c r="S91" s="2"/>
      <c r="T91" s="2"/>
      <c r="U91" s="2"/>
      <c r="V91" s="19"/>
      <c r="W91" s="2"/>
      <c r="X91" s="2">
        <f t="shared" si="2"/>
        <v>-168.25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"4226", " - ", "SALES RETURN TAXABLE-WRITING I")</f>
        <v xml:space="preserve">          4226 - SALES RETURN TAXABLE-WRITING I</v>
      </c>
      <c r="C92" s="11"/>
      <c r="D92" s="2">
        <f>-72.88</f>
        <v>-72.88</v>
      </c>
      <c r="E92" s="2"/>
      <c r="F92" s="19"/>
      <c r="G92" s="2"/>
      <c r="H92" s="2"/>
      <c r="I92" s="2"/>
      <c r="J92" s="19"/>
      <c r="K92" s="2"/>
      <c r="L92" s="2">
        <f t="shared" si="0"/>
        <v>-72.88</v>
      </c>
      <c r="M92" s="2"/>
      <c r="N92" s="19">
        <f t="shared" si="1"/>
        <v>0</v>
      </c>
      <c r="O92" s="11"/>
      <c r="P92" s="2">
        <f>-753.79</f>
        <v>-753.79</v>
      </c>
      <c r="Q92" s="2"/>
      <c r="R92" s="19"/>
      <c r="S92" s="2"/>
      <c r="T92" s="2"/>
      <c r="U92" s="2"/>
      <c r="V92" s="19"/>
      <c r="W92" s="2"/>
      <c r="X92" s="2">
        <f t="shared" si="2"/>
        <v>-753.79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"4227", " - ", "SALES RETURN TAXABLE-SCHOOL SU")</f>
        <v xml:space="preserve">          4227 - SALES RETURN TAXABLE-SCHOOL SU</v>
      </c>
      <c r="C93" s="11"/>
      <c r="D93" s="2">
        <f>-703.56</f>
        <v>-703.56</v>
      </c>
      <c r="E93" s="2"/>
      <c r="F93" s="19"/>
      <c r="G93" s="2"/>
      <c r="H93" s="2"/>
      <c r="I93" s="2"/>
      <c r="J93" s="19"/>
      <c r="K93" s="2"/>
      <c r="L93" s="2">
        <f t="shared" si="0"/>
        <v>-703.56</v>
      </c>
      <c r="M93" s="2"/>
      <c r="N93" s="19">
        <f t="shared" si="1"/>
        <v>0</v>
      </c>
      <c r="O93" s="11"/>
      <c r="P93" s="2">
        <f>-7614.42</f>
        <v>-7614.42</v>
      </c>
      <c r="Q93" s="2"/>
      <c r="R93" s="19"/>
      <c r="S93" s="2"/>
      <c r="T93" s="2"/>
      <c r="U93" s="2"/>
      <c r="V93" s="19"/>
      <c r="W93" s="2"/>
      <c r="X93" s="2">
        <f t="shared" si="2"/>
        <v>-7614.42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"4228", " - ", "SALES RETURN TAXABLE-ART/TECH")</f>
        <v xml:space="preserve">          4228 - SALES RETURN TAXABLE-ART/TECH</v>
      </c>
      <c r="C94" s="11"/>
      <c r="D94" s="2">
        <f>-685.23</f>
        <v>-685.23</v>
      </c>
      <c r="E94" s="2"/>
      <c r="F94" s="19"/>
      <c r="G94" s="2"/>
      <c r="H94" s="2"/>
      <c r="I94" s="2"/>
      <c r="J94" s="19"/>
      <c r="K94" s="2"/>
      <c r="L94" s="2">
        <f t="shared" si="0"/>
        <v>-685.23</v>
      </c>
      <c r="M94" s="2"/>
      <c r="N94" s="19">
        <f t="shared" si="1"/>
        <v>0</v>
      </c>
      <c r="O94" s="11"/>
      <c r="P94" s="2">
        <f>-4599.92</f>
        <v>-4599.92</v>
      </c>
      <c r="Q94" s="2"/>
      <c r="R94" s="19"/>
      <c r="S94" s="2"/>
      <c r="T94" s="2"/>
      <c r="U94" s="2"/>
      <c r="V94" s="19"/>
      <c r="W94" s="2"/>
      <c r="X94" s="2">
        <f t="shared" si="2"/>
        <v>-4599.92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"4233", " - ", "SALES RETURN TAXABLE-CANDY")</f>
        <v xml:space="preserve">          4233 - SALES RETURN TAXABLE-CANDY</v>
      </c>
      <c r="C95" s="11"/>
      <c r="D95" s="2">
        <f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-1.29</f>
        <v>-1.29</v>
      </c>
      <c r="Q95" s="2"/>
      <c r="R95" s="19"/>
      <c r="S95" s="2"/>
      <c r="T95" s="2"/>
      <c r="U95" s="2"/>
      <c r="V95" s="19"/>
      <c r="W95" s="2"/>
      <c r="X95" s="2">
        <f t="shared" si="2"/>
        <v>-1.29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"4240", " - ", "SALES RETURN TAXABLE-LOGO CLOT")</f>
        <v xml:space="preserve">          4240 - SALES RETURN TAXABLE-LOGO CLOT</v>
      </c>
      <c r="C96" s="11"/>
      <c r="D96" s="2">
        <f>-8202.92</f>
        <v>-8202.92</v>
      </c>
      <c r="E96" s="2"/>
      <c r="F96" s="19"/>
      <c r="G96" s="2"/>
      <c r="H96" s="2"/>
      <c r="I96" s="2"/>
      <c r="J96" s="19"/>
      <c r="K96" s="2"/>
      <c r="L96" s="2">
        <f t="shared" si="0"/>
        <v>-8202.92</v>
      </c>
      <c r="M96" s="2"/>
      <c r="N96" s="19">
        <f t="shared" si="1"/>
        <v>0</v>
      </c>
      <c r="O96" s="11"/>
      <c r="P96" s="2">
        <f>-69811.67</f>
        <v>-69811.67</v>
      </c>
      <c r="Q96" s="2"/>
      <c r="R96" s="19"/>
      <c r="S96" s="2"/>
      <c r="T96" s="2"/>
      <c r="U96" s="2"/>
      <c r="V96" s="19"/>
      <c r="W96" s="2"/>
      <c r="X96" s="2">
        <f t="shared" si="2"/>
        <v>-69811.67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"4241", " - ", "SALES RETURN TAXABLE-LOGO GIFT")</f>
        <v xml:space="preserve">          4241 - SALES RETURN TAXABLE-LOGO GIFT</v>
      </c>
      <c r="C97" s="11"/>
      <c r="D97" s="2">
        <f>-972.77</f>
        <v>-972.77</v>
      </c>
      <c r="E97" s="2"/>
      <c r="F97" s="19"/>
      <c r="G97" s="2"/>
      <c r="H97" s="2"/>
      <c r="I97" s="2"/>
      <c r="J97" s="19"/>
      <c r="K97" s="2"/>
      <c r="L97" s="2">
        <f t="shared" si="0"/>
        <v>-972.77</v>
      </c>
      <c r="M97" s="2"/>
      <c r="N97" s="19">
        <f t="shared" si="1"/>
        <v>0</v>
      </c>
      <c r="O97" s="11"/>
      <c r="P97" s="2">
        <f>-5926.98</f>
        <v>-5926.98</v>
      </c>
      <c r="Q97" s="2"/>
      <c r="R97" s="19"/>
      <c r="S97" s="2"/>
      <c r="T97" s="2"/>
      <c r="U97" s="2"/>
      <c r="V97" s="19"/>
      <c r="W97" s="2"/>
      <c r="X97" s="2">
        <f t="shared" si="2"/>
        <v>-5926.98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"4242", " - ", "SALES RETURN TAXABLE-EVERYDAY")</f>
        <v xml:space="preserve">          4242 - SALES RETURN TAXABLE-EVERYDAY</v>
      </c>
      <c r="C98" s="11"/>
      <c r="D98" s="2">
        <f>-349.75</f>
        <v>-349.75</v>
      </c>
      <c r="E98" s="2"/>
      <c r="F98" s="19"/>
      <c r="G98" s="2"/>
      <c r="H98" s="2"/>
      <c r="I98" s="2"/>
      <c r="J98" s="19"/>
      <c r="K98" s="2"/>
      <c r="L98" s="2">
        <f t="shared" si="0"/>
        <v>-349.75</v>
      </c>
      <c r="M98" s="2"/>
      <c r="N98" s="19">
        <f t="shared" si="1"/>
        <v>0</v>
      </c>
      <c r="O98" s="11"/>
      <c r="P98" s="2">
        <f>-3894.08</f>
        <v>-3894.08</v>
      </c>
      <c r="Q98" s="2"/>
      <c r="R98" s="19"/>
      <c r="S98" s="2"/>
      <c r="T98" s="2"/>
      <c r="U98" s="2"/>
      <c r="V98" s="19"/>
      <c r="W98" s="2"/>
      <c r="X98" s="2">
        <f t="shared" si="2"/>
        <v>-3894.08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"4243", " - ", "SALES RETURN TAXABLE-CARDS")</f>
        <v xml:space="preserve">          4243 - SALES RETURN TAXABLE-CARDS</v>
      </c>
      <c r="C99" s="11"/>
      <c r="D99" s="2">
        <f>-1609.18</f>
        <v>-1609.18</v>
      </c>
      <c r="E99" s="2"/>
      <c r="F99" s="19"/>
      <c r="G99" s="2"/>
      <c r="H99" s="2"/>
      <c r="I99" s="2"/>
      <c r="J99" s="19"/>
      <c r="K99" s="2"/>
      <c r="L99" s="2">
        <f t="shared" si="0"/>
        <v>-1609.18</v>
      </c>
      <c r="M99" s="2"/>
      <c r="N99" s="19">
        <f t="shared" si="1"/>
        <v>0</v>
      </c>
      <c r="O99" s="11"/>
      <c r="P99" s="2">
        <f>-2833.39</f>
        <v>-2833.39</v>
      </c>
      <c r="Q99" s="2"/>
      <c r="R99" s="19"/>
      <c r="S99" s="2"/>
      <c r="T99" s="2"/>
      <c r="U99" s="2"/>
      <c r="V99" s="19"/>
      <c r="W99" s="2"/>
      <c r="X99" s="2">
        <f t="shared" si="2"/>
        <v>-2833.39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"4244", " - ", "SALES RETURN TAXABLE-ACCESSORI")</f>
        <v xml:space="preserve">          4244 - SALES RETURN TAXABLE-ACCESSORI</v>
      </c>
      <c r="C100" s="11"/>
      <c r="D100" s="2">
        <f>-328.75</f>
        <v>-328.75</v>
      </c>
      <c r="E100" s="2"/>
      <c r="F100" s="19"/>
      <c r="G100" s="2"/>
      <c r="H100" s="2"/>
      <c r="I100" s="2"/>
      <c r="J100" s="19"/>
      <c r="K100" s="2"/>
      <c r="L100" s="2">
        <f t="shared" si="0"/>
        <v>-328.75</v>
      </c>
      <c r="M100" s="2"/>
      <c r="N100" s="19">
        <f t="shared" si="1"/>
        <v>0</v>
      </c>
      <c r="O100" s="11"/>
      <c r="P100" s="2">
        <f>-2430.8</f>
        <v>-2430.8000000000002</v>
      </c>
      <c r="Q100" s="2"/>
      <c r="R100" s="19"/>
      <c r="S100" s="2"/>
      <c r="T100" s="2"/>
      <c r="U100" s="2"/>
      <c r="V100" s="19"/>
      <c r="W100" s="2"/>
      <c r="X100" s="2">
        <f t="shared" si="2"/>
        <v>-2430.8000000000002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"4245", " - ", "SALES RETURN TAXABLE-SPECIAL O")</f>
        <v xml:space="preserve">          4245 - SALES RETURN TAXABLE-SPECIAL O</v>
      </c>
      <c r="C101" s="11"/>
      <c r="D101" s="2">
        <f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-1715.05</f>
        <v>-1715.05</v>
      </c>
      <c r="Q101" s="2"/>
      <c r="R101" s="19"/>
      <c r="S101" s="2"/>
      <c r="T101" s="2"/>
      <c r="U101" s="2"/>
      <c r="V101" s="19"/>
      <c r="W101" s="2"/>
      <c r="X101" s="2">
        <f t="shared" si="2"/>
        <v>-1715.05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"4281", " - ", "SALES RETURN TAXABLE-ELECTRONI")</f>
        <v xml:space="preserve">          4281 - SALES RETURN TAXABLE-ELECTRONI</v>
      </c>
      <c r="C102" s="11"/>
      <c r="D102" s="2">
        <f>-1117.89</f>
        <v>-1117.8900000000001</v>
      </c>
      <c r="E102" s="2"/>
      <c r="F102" s="19"/>
      <c r="G102" s="2"/>
      <c r="H102" s="2"/>
      <c r="I102" s="2"/>
      <c r="J102" s="19"/>
      <c r="K102" s="2"/>
      <c r="L102" s="2">
        <f t="shared" si="0"/>
        <v>-1117.8900000000001</v>
      </c>
      <c r="M102" s="2"/>
      <c r="N102" s="19">
        <f t="shared" si="1"/>
        <v>0</v>
      </c>
      <c r="O102" s="11"/>
      <c r="P102" s="2">
        <f>-7622.7</f>
        <v>-7622.7</v>
      </c>
      <c r="Q102" s="2"/>
      <c r="R102" s="19"/>
      <c r="S102" s="2"/>
      <c r="T102" s="2"/>
      <c r="U102" s="2"/>
      <c r="V102" s="19"/>
      <c r="W102" s="2"/>
      <c r="X102" s="2">
        <f t="shared" si="2"/>
        <v>-7622.7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"4282", " - ", "SALES RETURN TAXABLE-COMPUTER")</f>
        <v xml:space="preserve">          4282 - SALES RETURN TAXABLE-COMPUTER</v>
      </c>
      <c r="C103" s="11"/>
      <c r="D103" s="2">
        <f>-4341.94</f>
        <v>-4341.9399999999996</v>
      </c>
      <c r="E103" s="2"/>
      <c r="F103" s="19"/>
      <c r="G103" s="2"/>
      <c r="H103" s="2"/>
      <c r="I103" s="2"/>
      <c r="J103" s="19"/>
      <c r="K103" s="2"/>
      <c r="L103" s="2">
        <f t="shared" si="0"/>
        <v>-4341.9399999999996</v>
      </c>
      <c r="M103" s="2"/>
      <c r="N103" s="19">
        <f t="shared" si="1"/>
        <v>0</v>
      </c>
      <c r="O103" s="11"/>
      <c r="P103" s="2">
        <f>-207225.13</f>
        <v>-207225.13</v>
      </c>
      <c r="Q103" s="2"/>
      <c r="R103" s="19"/>
      <c r="S103" s="2"/>
      <c r="T103" s="2"/>
      <c r="U103" s="2"/>
      <c r="V103" s="19"/>
      <c r="W103" s="2"/>
      <c r="X103" s="2">
        <f t="shared" si="2"/>
        <v>-207225.13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"4283", " - ", "SALES RETURN TAXABLE-COMPUTER")</f>
        <v xml:space="preserve">          4283 - SALES RETURN TAXABLE-COMPUTER</v>
      </c>
      <c r="C104" s="11"/>
      <c r="D104" s="2">
        <f>-910.69</f>
        <v>-910.69</v>
      </c>
      <c r="E104" s="2"/>
      <c r="F104" s="19"/>
      <c r="G104" s="2"/>
      <c r="H104" s="2"/>
      <c r="I104" s="2"/>
      <c r="J104" s="19"/>
      <c r="K104" s="2"/>
      <c r="L104" s="2">
        <f t="shared" si="0"/>
        <v>-910.69</v>
      </c>
      <c r="M104" s="2"/>
      <c r="N104" s="19">
        <f t="shared" si="1"/>
        <v>0</v>
      </c>
      <c r="O104" s="11"/>
      <c r="P104" s="2">
        <f>-5825.41</f>
        <v>-5825.41</v>
      </c>
      <c r="Q104" s="2"/>
      <c r="R104" s="19"/>
      <c r="S104" s="2"/>
      <c r="T104" s="2"/>
      <c r="U104" s="2"/>
      <c r="V104" s="19"/>
      <c r="W104" s="2"/>
      <c r="X104" s="2">
        <f t="shared" si="2"/>
        <v>-5825.41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"4284", " - ", "SALES RETURN TAXABLE-SOFTWARE")</f>
        <v xml:space="preserve">          4284 - SALES RETURN TAXABLE-SOFTWARE</v>
      </c>
      <c r="C105" s="11"/>
      <c r="D105" s="2">
        <f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-129</f>
        <v>-129</v>
      </c>
      <c r="Q105" s="2"/>
      <c r="R105" s="19"/>
      <c r="S105" s="2"/>
      <c r="T105" s="2"/>
      <c r="U105" s="2"/>
      <c r="V105" s="19"/>
      <c r="W105" s="2"/>
      <c r="X105" s="2">
        <f t="shared" si="2"/>
        <v>-129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"4285", " - ", "SALES RETURN TAXABLE-SOFTWARE")</f>
        <v xml:space="preserve">          4285 - SALES RETURN TAXABLE-SOFTWARE</v>
      </c>
      <c r="C106" s="11"/>
      <c r="D106" s="2">
        <f>-149.99</f>
        <v>-149.99</v>
      </c>
      <c r="E106" s="2"/>
      <c r="F106" s="19"/>
      <c r="G106" s="2"/>
      <c r="H106" s="2"/>
      <c r="I106" s="2"/>
      <c r="J106" s="19"/>
      <c r="K106" s="2"/>
      <c r="L106" s="2">
        <f t="shared" si="0"/>
        <v>-149.99</v>
      </c>
      <c r="M106" s="2"/>
      <c r="N106" s="19">
        <f t="shared" si="1"/>
        <v>0</v>
      </c>
      <c r="O106" s="11"/>
      <c r="P106" s="2">
        <f>-805.97</f>
        <v>-805.97</v>
      </c>
      <c r="Q106" s="2"/>
      <c r="R106" s="19"/>
      <c r="S106" s="2"/>
      <c r="T106" s="2"/>
      <c r="U106" s="2"/>
      <c r="V106" s="19"/>
      <c r="W106" s="2"/>
      <c r="X106" s="2">
        <f t="shared" si="2"/>
        <v>-805.97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"4286", " - ", "SALES RETURN TAXABLE-COMPUTER")</f>
        <v xml:space="preserve">          4286 - SALES RETURN TAXABLE-COMPUTER</v>
      </c>
      <c r="C107" s="11"/>
      <c r="D107" s="2">
        <f>-290.88</f>
        <v>-290.88</v>
      </c>
      <c r="E107" s="2"/>
      <c r="F107" s="19"/>
      <c r="G107" s="2"/>
      <c r="H107" s="2"/>
      <c r="I107" s="2"/>
      <c r="J107" s="19"/>
      <c r="K107" s="2"/>
      <c r="L107" s="2">
        <f t="shared" si="0"/>
        <v>-290.88</v>
      </c>
      <c r="M107" s="2"/>
      <c r="N107" s="19">
        <f t="shared" si="1"/>
        <v>0</v>
      </c>
      <c r="O107" s="11"/>
      <c r="P107" s="2">
        <f>-3582.89</f>
        <v>-3582.89</v>
      </c>
      <c r="Q107" s="2"/>
      <c r="R107" s="19"/>
      <c r="S107" s="2"/>
      <c r="T107" s="2"/>
      <c r="U107" s="2"/>
      <c r="V107" s="19"/>
      <c r="W107" s="2"/>
      <c r="X107" s="2">
        <f t="shared" si="2"/>
        <v>-3582.89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"4288", " - ", "TAXABLE SALES RETURN-MUSIC")</f>
        <v xml:space="preserve">          4288 - TAXABLE SALES RETURN-MUSIC</v>
      </c>
      <c r="C108" s="11"/>
      <c r="D108" s="2">
        <f t="shared" ref="D108:D113" si="6">0</f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-3.99</f>
        <v>-3.99</v>
      </c>
      <c r="Q108" s="2"/>
      <c r="R108" s="19"/>
      <c r="S108" s="2"/>
      <c r="T108" s="2"/>
      <c r="U108" s="2"/>
      <c r="V108" s="19"/>
      <c r="W108" s="2"/>
      <c r="X108" s="2">
        <f t="shared" si="2"/>
        <v>-3.99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"4292", " - ", "SALES RETURN TAXABLE-GRAD MERC")</f>
        <v xml:space="preserve">          4292 - SALES RETURN TAXABLE-GRAD MERC</v>
      </c>
      <c r="C109" s="11"/>
      <c r="D109" s="2">
        <f t="shared" si="6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-419.05</f>
        <v>-419.05</v>
      </c>
      <c r="Q109" s="2"/>
      <c r="R109" s="19"/>
      <c r="S109" s="2"/>
      <c r="T109" s="2"/>
      <c r="U109" s="2"/>
      <c r="V109" s="19"/>
      <c r="W109" s="2"/>
      <c r="X109" s="2">
        <f t="shared" si="2"/>
        <v>-419.05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"4295", " - ", "SALES RETURN TAXABLE-CUSTOMER")</f>
        <v xml:space="preserve">          4295 - SALES RETURN TAXABLE-CUSTOMER</v>
      </c>
      <c r="C110" s="11"/>
      <c r="D110" s="2">
        <f t="shared" si="6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--0.99</f>
        <v>0.99</v>
      </c>
      <c r="Q110" s="2"/>
      <c r="R110" s="19"/>
      <c r="S110" s="2"/>
      <c r="T110" s="2"/>
      <c r="U110" s="2"/>
      <c r="V110" s="19"/>
      <c r="W110" s="2"/>
      <c r="X110" s="2">
        <f t="shared" si="2"/>
        <v>0.99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"4301", " - ", "SALES RETURN NON TAXABLE-NEW T")</f>
        <v xml:space="preserve">          4301 - SALES RETURN NON TAXABLE-NEW T</v>
      </c>
      <c r="C111" s="11"/>
      <c r="D111" s="2">
        <f t="shared" si="6"/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-15221.62</f>
        <v>-15221.62</v>
      </c>
      <c r="Q111" s="2"/>
      <c r="R111" s="19"/>
      <c r="S111" s="2"/>
      <c r="T111" s="2"/>
      <c r="U111" s="2"/>
      <c r="V111" s="19"/>
      <c r="W111" s="2"/>
      <c r="X111" s="2">
        <f t="shared" si="2"/>
        <v>-15221.62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"4302", " - ", "SALES RETURN NON TAXABLE-TEXT")</f>
        <v xml:space="preserve">          4302 - SALES RETURN NON TAXABLE-TEXT</v>
      </c>
      <c r="C112" s="11"/>
      <c r="D112" s="2">
        <f t="shared" si="6"/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-1312.37</f>
        <v>-1312.37</v>
      </c>
      <c r="Q112" s="2"/>
      <c r="R112" s="19"/>
      <c r="S112" s="2"/>
      <c r="T112" s="2"/>
      <c r="U112" s="2"/>
      <c r="V112" s="19"/>
      <c r="W112" s="2"/>
      <c r="X112" s="2">
        <f t="shared" si="2"/>
        <v>-1312.37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"4303", " - ", "SALES RETURN NON-TAXABLE-RENTA")</f>
        <v xml:space="preserve">          4303 - SALES RETURN NON-TAXABLE-RENTA</v>
      </c>
      <c r="C113" s="11"/>
      <c r="D113" s="2">
        <f t="shared" si="6"/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-184.99</f>
        <v>-184.99</v>
      </c>
      <c r="Q113" s="2"/>
      <c r="R113" s="19"/>
      <c r="S113" s="2"/>
      <c r="T113" s="2"/>
      <c r="U113" s="2"/>
      <c r="V113" s="19"/>
      <c r="W113" s="2"/>
      <c r="X113" s="2">
        <f t="shared" si="2"/>
        <v>-184.99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"4304", " - ", "SALES RETURN NON TAXABLE-DIGIT")</f>
        <v xml:space="preserve">          4304 - SALES RETURN NON TAXABLE-DIGIT</v>
      </c>
      <c r="C114" s="11"/>
      <c r="D114" s="2">
        <f>-1249.23</f>
        <v>-1249.23</v>
      </c>
      <c r="E114" s="2"/>
      <c r="F114" s="19"/>
      <c r="G114" s="2"/>
      <c r="H114" s="2"/>
      <c r="I114" s="2"/>
      <c r="J114" s="19"/>
      <c r="K114" s="2"/>
      <c r="L114" s="2">
        <f t="shared" si="0"/>
        <v>-1249.23</v>
      </c>
      <c r="M114" s="2"/>
      <c r="N114" s="19">
        <f t="shared" si="1"/>
        <v>0</v>
      </c>
      <c r="O114" s="11"/>
      <c r="P114" s="2">
        <f>-18991.98</f>
        <v>-18991.98</v>
      </c>
      <c r="Q114" s="2"/>
      <c r="R114" s="19"/>
      <c r="S114" s="2"/>
      <c r="T114" s="2"/>
      <c r="U114" s="2"/>
      <c r="V114" s="19"/>
      <c r="W114" s="2"/>
      <c r="X114" s="2">
        <f t="shared" si="2"/>
        <v>-18991.98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"4311", " - ", "SALES RETURN NON TAXABLE-NO VA")</f>
        <v xml:space="preserve">          4311 - SALES RETURN NON TAXABLE-NO VA</v>
      </c>
      <c r="C115" s="11"/>
      <c r="D115" s="2">
        <f>-169.45</f>
        <v>-169.45</v>
      </c>
      <c r="E115" s="2"/>
      <c r="F115" s="19"/>
      <c r="G115" s="2"/>
      <c r="H115" s="2"/>
      <c r="I115" s="2"/>
      <c r="J115" s="19"/>
      <c r="K115" s="2"/>
      <c r="L115" s="2">
        <f t="shared" si="0"/>
        <v>-169.45</v>
      </c>
      <c r="M115" s="2"/>
      <c r="N115" s="19">
        <f t="shared" si="1"/>
        <v>0</v>
      </c>
      <c r="O115" s="11"/>
      <c r="P115" s="2">
        <f>-794.76</f>
        <v>-794.76</v>
      </c>
      <c r="Q115" s="2"/>
      <c r="R115" s="19"/>
      <c r="S115" s="2"/>
      <c r="T115" s="2"/>
      <c r="U115" s="2"/>
      <c r="V115" s="19"/>
      <c r="W115" s="2"/>
      <c r="X115" s="2">
        <f t="shared" si="2"/>
        <v>-794.76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>0</f>
        <v>0</v>
      </c>
      <c r="E116" s="2"/>
      <c r="F116" s="19"/>
      <c r="G116" s="2"/>
      <c r="H116" s="2"/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-21.87</f>
        <v>-21.87</v>
      </c>
      <c r="Q116" s="2"/>
      <c r="R116" s="19"/>
      <c r="S116" s="2"/>
      <c r="T116" s="2"/>
      <c r="U116" s="2"/>
      <c r="V116" s="19"/>
      <c r="W116" s="2"/>
      <c r="X116" s="2">
        <f t="shared" si="2"/>
        <v>-21.87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"4331", " - ", "SALES RETURN NON TAXABLE-FOOD")</f>
        <v xml:space="preserve">          4331 - SALES RETURN NON TAXABLE-FOOD</v>
      </c>
      <c r="C117" s="11"/>
      <c r="D117" s="2">
        <f>-7.58</f>
        <v>-7.58</v>
      </c>
      <c r="E117" s="2"/>
      <c r="F117" s="19"/>
      <c r="G117" s="2"/>
      <c r="H117" s="2"/>
      <c r="I117" s="2"/>
      <c r="J117" s="19"/>
      <c r="K117" s="2"/>
      <c r="L117" s="2">
        <f t="shared" si="0"/>
        <v>-7.58</v>
      </c>
      <c r="M117" s="2"/>
      <c r="N117" s="19">
        <f t="shared" si="1"/>
        <v>0</v>
      </c>
      <c r="O117" s="11"/>
      <c r="P117" s="2">
        <f>-7.58</f>
        <v>-7.58</v>
      </c>
      <c r="Q117" s="2"/>
      <c r="R117" s="19"/>
      <c r="S117" s="2"/>
      <c r="T117" s="2"/>
      <c r="U117" s="2"/>
      <c r="V117" s="19"/>
      <c r="W117" s="2"/>
      <c r="X117" s="2">
        <f t="shared" si="2"/>
        <v>-7.58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"4332", " - ", "SALES RETURN NON TAXABLE-JUICE")</f>
        <v xml:space="preserve">          4332 - SALES RETURN NON TAXABLE-JUICE</v>
      </c>
      <c r="C118" s="11"/>
      <c r="D118" s="2">
        <f>-2.79</f>
        <v>-2.79</v>
      </c>
      <c r="E118" s="2"/>
      <c r="F118" s="19"/>
      <c r="G118" s="2"/>
      <c r="H118" s="2"/>
      <c r="I118" s="2"/>
      <c r="J118" s="19"/>
      <c r="K118" s="2"/>
      <c r="L118" s="2">
        <f t="shared" si="0"/>
        <v>-2.79</v>
      </c>
      <c r="M118" s="2"/>
      <c r="N118" s="19">
        <f t="shared" si="1"/>
        <v>0</v>
      </c>
      <c r="O118" s="11"/>
      <c r="P118" s="2">
        <f>-2.79</f>
        <v>-2.79</v>
      </c>
      <c r="Q118" s="2"/>
      <c r="R118" s="19"/>
      <c r="S118" s="2"/>
      <c r="T118" s="2"/>
      <c r="U118" s="2"/>
      <c r="V118" s="19"/>
      <c r="W118" s="2"/>
      <c r="X118" s="2">
        <f t="shared" si="2"/>
        <v>-2.79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"4340", " - ", "SALES RETURN NON TAXABLE-LOGO")</f>
        <v xml:space="preserve">          4340 - SALES RETURN NON TAXABLE-LOGO</v>
      </c>
      <c r="C119" s="11"/>
      <c r="D119" s="2">
        <f>0</f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-931.65</f>
        <v>-931.65</v>
      </c>
      <c r="Q119" s="2"/>
      <c r="R119" s="19"/>
      <c r="S119" s="2"/>
      <c r="T119" s="2"/>
      <c r="U119" s="2"/>
      <c r="V119" s="19"/>
      <c r="W119" s="2"/>
      <c r="X119" s="2">
        <f t="shared" si="2"/>
        <v>-931.65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"4341", " - ", "SALES RETURN NON TAXABLE-LOGO")</f>
        <v xml:space="preserve">          4341 - SALES RETURN NON TAXABLE-LOGO</v>
      </c>
      <c r="C120" s="11"/>
      <c r="D120" s="2">
        <f>-214.7</f>
        <v>-214.7</v>
      </c>
      <c r="E120" s="2"/>
      <c r="F120" s="19"/>
      <c r="G120" s="2"/>
      <c r="H120" s="2"/>
      <c r="I120" s="2"/>
      <c r="J120" s="19"/>
      <c r="K120" s="2"/>
      <c r="L120" s="2">
        <f t="shared" si="0"/>
        <v>-214.7</v>
      </c>
      <c r="M120" s="2"/>
      <c r="N120" s="19">
        <f t="shared" si="1"/>
        <v>0</v>
      </c>
      <c r="O120" s="11"/>
      <c r="P120" s="2">
        <f>-245.5</f>
        <v>-245.5</v>
      </c>
      <c r="Q120" s="2"/>
      <c r="R120" s="19"/>
      <c r="S120" s="2"/>
      <c r="T120" s="2"/>
      <c r="U120" s="2"/>
      <c r="V120" s="19"/>
      <c r="W120" s="2"/>
      <c r="X120" s="2">
        <f t="shared" si="2"/>
        <v>-245.5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"4342", " - ", "SALES RETURN NON TAXABLE-EVERY")</f>
        <v xml:space="preserve">          4342 - SALES RETURN NON TAXABLE-EVERY</v>
      </c>
      <c r="C121" s="11"/>
      <c r="D121" s="2">
        <f t="shared" ref="D121:D125" si="7">0</f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-149.22</f>
        <v>-149.22</v>
      </c>
      <c r="Q121" s="2"/>
      <c r="R121" s="19"/>
      <c r="S121" s="2"/>
      <c r="T121" s="2"/>
      <c r="U121" s="2"/>
      <c r="V121" s="19"/>
      <c r="W121" s="2"/>
      <c r="X121" s="2">
        <f t="shared" si="2"/>
        <v>-149.22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"4346", " - ", "SALES RETURN NON TAXABLE-COIN-")</f>
        <v xml:space="preserve">          4346 - SALES RETURN NON TAXABLE-COIN-</v>
      </c>
      <c r="C122" s="11"/>
      <c r="D122" s="2">
        <f t="shared" si="7"/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-8.15</f>
        <v>-8.15</v>
      </c>
      <c r="Q122" s="2"/>
      <c r="R122" s="19"/>
      <c r="S122" s="2"/>
      <c r="T122" s="2"/>
      <c r="U122" s="2"/>
      <c r="V122" s="19"/>
      <c r="W122" s="2"/>
      <c r="X122" s="2">
        <f t="shared" si="2"/>
        <v>-8.15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"4381", " - ", "SALES RETURN NON TAXABLE-ELECT")</f>
        <v xml:space="preserve">          4381 - SALES RETURN NON TAXABLE-ELECT</v>
      </c>
      <c r="C123" s="11"/>
      <c r="D123" s="2">
        <f t="shared" si="7"/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-1279.84</f>
        <v>-1279.8399999999999</v>
      </c>
      <c r="Q123" s="2"/>
      <c r="R123" s="19"/>
      <c r="S123" s="2"/>
      <c r="T123" s="2"/>
      <c r="U123" s="2"/>
      <c r="V123" s="19"/>
      <c r="W123" s="2"/>
      <c r="X123" s="2">
        <f t="shared" si="2"/>
        <v>-1279.8399999999999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"4383", " - ", "SALES RETURN NON TAXABLE-COMPU")</f>
        <v xml:space="preserve">          4383 - SALES RETURN NON TAXABLE-COMPU</v>
      </c>
      <c r="C124" s="11"/>
      <c r="D124" s="2">
        <f t="shared" si="7"/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-49.98</f>
        <v>-49.98</v>
      </c>
      <c r="Q124" s="2"/>
      <c r="R124" s="19"/>
      <c r="S124" s="2"/>
      <c r="T124" s="2"/>
      <c r="U124" s="2"/>
      <c r="V124" s="19"/>
      <c r="W124" s="2"/>
      <c r="X124" s="2">
        <f t="shared" si="2"/>
        <v>-49.98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"4386", " - ", "SALES RETURN NON TAXABLE-COMPU")</f>
        <v xml:space="preserve">          4386 - SALES RETURN NON TAXABLE-COMPU</v>
      </c>
      <c r="C125" s="11"/>
      <c r="D125" s="2">
        <f t="shared" si="7"/>
        <v>0</v>
      </c>
      <c r="E125" s="2"/>
      <c r="F125" s="19"/>
      <c r="G125" s="2"/>
      <c r="H125" s="2"/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-104.96</f>
        <v>-104.96</v>
      </c>
      <c r="Q125" s="2"/>
      <c r="R125" s="19"/>
      <c r="S125" s="2"/>
      <c r="T125" s="2"/>
      <c r="U125" s="2"/>
      <c r="V125" s="19"/>
      <c r="W125" s="2"/>
      <c r="X125" s="2">
        <f t="shared" si="2"/>
        <v>-104.96</v>
      </c>
      <c r="Y125" s="2"/>
      <c r="Z125" s="19">
        <f t="shared" si="3"/>
        <v>0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collapsed="1" x14ac:dyDescent="0.25">
      <c r="A127" s="10"/>
      <c r="B127" s="29" t="s">
        <v>8</v>
      </c>
      <c r="C127" s="10"/>
      <c r="D127" s="4">
        <f>SUM(OSRRefD16x_0)</f>
        <v>586198.93999999994</v>
      </c>
      <c r="E127" s="4"/>
      <c r="F127" s="12">
        <f t="shared" ref="F127:F185" si="8">IF(D$12=0,0,D127/D$12)</f>
        <v>0.72986732302883017</v>
      </c>
      <c r="G127" s="4"/>
      <c r="H127" s="4">
        <f>SUM(OSRRefH16x_0)</f>
        <v>485061.57077999995</v>
      </c>
      <c r="I127" s="4"/>
      <c r="J127" s="12">
        <f t="shared" ref="J127:J185" si="9">IF(H$12=0,0,H127/H$12)</f>
        <v>0.53586847583608177</v>
      </c>
      <c r="K127" s="4"/>
      <c r="L127" s="4">
        <f t="shared" ref="L127:L185" si="10">+D127-H127</f>
        <v>101137.36921999999</v>
      </c>
      <c r="M127" s="4"/>
      <c r="N127" s="12">
        <f t="shared" ref="N127:N185" si="11">IF(H127=0,0,L127/H127)</f>
        <v>0.20850418856593142</v>
      </c>
      <c r="O127" s="10"/>
      <c r="P127" s="4">
        <f>SUM(OSRRefP16x_0)</f>
        <v>6584457.6099999994</v>
      </c>
      <c r="Q127" s="4"/>
      <c r="R127" s="12">
        <f t="shared" ref="R127:R185" si="12">IF(P$12=0,0,P127/P$12)</f>
        <v>0.63987163873638375</v>
      </c>
      <c r="S127" s="4"/>
      <c r="T127" s="4">
        <f>SUM(OSRRefT16x_0)</f>
        <v>6759314.9542300003</v>
      </c>
      <c r="U127" s="4"/>
      <c r="V127" s="12">
        <f t="shared" ref="V127:V185" si="13">IF(T$12=0,0,T127/T$12)</f>
        <v>0.62080169122394147</v>
      </c>
      <c r="W127" s="4"/>
      <c r="X127" s="4">
        <f t="shared" ref="X127:X185" si="14">+P127-T127</f>
        <v>-174857.34423000086</v>
      </c>
      <c r="Y127" s="4"/>
      <c r="Z127" s="12">
        <f t="shared" ref="Z127:Z185" si="15">IF(T127=0,0,X127/T127)</f>
        <v>-2.5869092565449194E-2</v>
      </c>
    </row>
    <row r="128" spans="1:26" s="24" customFormat="1" hidden="1" outlineLevel="1" x14ac:dyDescent="0.25">
      <c r="A128" s="44"/>
      <c r="B128" s="11" t="str">
        <f>CONCATENATE("          ", "5000", " - ", "PURCHASES @ COST")</f>
        <v xml:space="preserve">          5000 - PURCHASES @ COST</v>
      </c>
      <c r="C128" s="11"/>
      <c r="D128" s="2"/>
      <c r="E128" s="2"/>
      <c r="F128" s="19">
        <f t="shared" si="8"/>
        <v>0</v>
      </c>
      <c r="G128" s="2"/>
      <c r="H128" s="2">
        <v>485061.57077999995</v>
      </c>
      <c r="I128" s="2"/>
      <c r="J128" s="19">
        <f t="shared" si="9"/>
        <v>0.53586847583608177</v>
      </c>
      <c r="K128" s="2"/>
      <c r="L128" s="2">
        <f t="shared" si="10"/>
        <v>-485061.57077999995</v>
      </c>
      <c r="M128" s="2"/>
      <c r="N128" s="19">
        <f t="shared" si="11"/>
        <v>-1</v>
      </c>
      <c r="O128" s="11"/>
      <c r="P128" s="2"/>
      <c r="Q128" s="2"/>
      <c r="R128" s="19">
        <f t="shared" si="12"/>
        <v>0</v>
      </c>
      <c r="S128" s="2"/>
      <c r="T128" s="2">
        <v>6759314.9542300003</v>
      </c>
      <c r="U128" s="2"/>
      <c r="V128" s="19">
        <f t="shared" si="13"/>
        <v>0.62080169122394147</v>
      </c>
      <c r="W128" s="2"/>
      <c r="X128" s="2">
        <f t="shared" si="14"/>
        <v>-6759314.9542300003</v>
      </c>
      <c r="Y128" s="2"/>
      <c r="Z128" s="19">
        <f t="shared" si="15"/>
        <v>-1</v>
      </c>
    </row>
    <row r="129" spans="1:26" s="24" customFormat="1" hidden="1" outlineLevel="1" x14ac:dyDescent="0.25">
      <c r="A129" s="44"/>
      <c r="B129" s="11" t="str">
        <f>CONCATENATE("          ", "5001", " - ", "PURCHASES @ COST-NEW TEXT")</f>
        <v xml:space="preserve">          5001 - PURCHASES @ COST-NEW TEXT</v>
      </c>
      <c r="C129" s="11"/>
      <c r="D129" s="2">
        <v>-110695.19</v>
      </c>
      <c r="E129" s="2"/>
      <c r="F129" s="19">
        <f t="shared" si="8"/>
        <v>-0.1378248858612193</v>
      </c>
      <c r="G129" s="2"/>
      <c r="H129" s="2"/>
      <c r="I129" s="2"/>
      <c r="J129" s="19">
        <f t="shared" si="9"/>
        <v>0</v>
      </c>
      <c r="K129" s="2"/>
      <c r="L129" s="2">
        <f t="shared" si="10"/>
        <v>-110695.19</v>
      </c>
      <c r="M129" s="2"/>
      <c r="N129" s="19">
        <f t="shared" si="11"/>
        <v>0</v>
      </c>
      <c r="O129" s="11"/>
      <c r="P129" s="2">
        <v>2516599.4700000002</v>
      </c>
      <c r="Q129" s="2"/>
      <c r="R129" s="19">
        <f t="shared" si="12"/>
        <v>0.24456086169746261</v>
      </c>
      <c r="S129" s="2"/>
      <c r="T129" s="2"/>
      <c r="U129" s="2"/>
      <c r="V129" s="19">
        <f t="shared" si="13"/>
        <v>0</v>
      </c>
      <c r="W129" s="2"/>
      <c r="X129" s="2">
        <f t="shared" si="14"/>
        <v>2516599.4700000002</v>
      </c>
      <c r="Y129" s="2"/>
      <c r="Z129" s="19">
        <f t="shared" si="15"/>
        <v>0</v>
      </c>
    </row>
    <row r="130" spans="1:26" s="24" customFormat="1" hidden="1" outlineLevel="1" x14ac:dyDescent="0.25">
      <c r="A130" s="44"/>
      <c r="B130" s="11" t="str">
        <f>CONCATENATE("          ", "5002", " - ", "PURCHASES @ COST-USED TEXT")</f>
        <v xml:space="preserve">          5002 - PURCHASES @ COST-USED TEXT</v>
      </c>
      <c r="C130" s="11"/>
      <c r="D130" s="2">
        <v>11947.84</v>
      </c>
      <c r="E130" s="2"/>
      <c r="F130" s="19">
        <f t="shared" si="8"/>
        <v>1.4876072612442422E-2</v>
      </c>
      <c r="G130" s="2"/>
      <c r="H130" s="2"/>
      <c r="I130" s="2"/>
      <c r="J130" s="19">
        <f t="shared" si="9"/>
        <v>0</v>
      </c>
      <c r="K130" s="2"/>
      <c r="L130" s="2">
        <f t="shared" si="10"/>
        <v>11947.84</v>
      </c>
      <c r="M130" s="2"/>
      <c r="N130" s="19">
        <f t="shared" si="11"/>
        <v>0</v>
      </c>
      <c r="O130" s="11"/>
      <c r="P130" s="2">
        <v>524555.37</v>
      </c>
      <c r="Q130" s="2"/>
      <c r="R130" s="19">
        <f t="shared" si="12"/>
        <v>5.0975816702063963E-2</v>
      </c>
      <c r="S130" s="2"/>
      <c r="T130" s="2"/>
      <c r="U130" s="2"/>
      <c r="V130" s="19">
        <f t="shared" si="13"/>
        <v>0</v>
      </c>
      <c r="W130" s="2"/>
      <c r="X130" s="2">
        <f t="shared" si="14"/>
        <v>524555.37</v>
      </c>
      <c r="Y130" s="2"/>
      <c r="Z130" s="19">
        <f t="shared" si="15"/>
        <v>0</v>
      </c>
    </row>
    <row r="131" spans="1:26" s="24" customFormat="1" hidden="1" outlineLevel="1" x14ac:dyDescent="0.25">
      <c r="A131" s="44"/>
      <c r="B131" s="11" t="str">
        <f>CONCATENATE("          ", "5003", " - ", "PURCHASES @ COST-RENTAL TEXT")</f>
        <v xml:space="preserve">          5003 - PURCHASES @ COST-RENTAL TEXT</v>
      </c>
      <c r="C131" s="11"/>
      <c r="D131" s="2"/>
      <c r="E131" s="2"/>
      <c r="F131" s="19">
        <f t="shared" si="8"/>
        <v>0</v>
      </c>
      <c r="G131" s="2"/>
      <c r="H131" s="2"/>
      <c r="I131" s="2"/>
      <c r="J131" s="19">
        <f t="shared" si="9"/>
        <v>0</v>
      </c>
      <c r="K131" s="2"/>
      <c r="L131" s="2">
        <f t="shared" si="10"/>
        <v>0</v>
      </c>
      <c r="M131" s="2"/>
      <c r="N131" s="19">
        <f t="shared" si="11"/>
        <v>0</v>
      </c>
      <c r="O131" s="11"/>
      <c r="P131" s="2">
        <v>-78.400000000000006</v>
      </c>
      <c r="Q131" s="2"/>
      <c r="R131" s="19">
        <f t="shared" si="12"/>
        <v>-7.6188411329042631E-6</v>
      </c>
      <c r="S131" s="2"/>
      <c r="T131" s="2"/>
      <c r="U131" s="2"/>
      <c r="V131" s="19">
        <f t="shared" si="13"/>
        <v>0</v>
      </c>
      <c r="W131" s="2"/>
      <c r="X131" s="2">
        <f t="shared" si="14"/>
        <v>-78.400000000000006</v>
      </c>
      <c r="Y131" s="2"/>
      <c r="Z131" s="19">
        <f t="shared" si="15"/>
        <v>0</v>
      </c>
    </row>
    <row r="132" spans="1:26" s="24" customFormat="1" hidden="1" outlineLevel="1" x14ac:dyDescent="0.25">
      <c r="A132" s="44"/>
      <c r="B132" s="11" t="str">
        <f>CONCATENATE("          ", "5004", " - ", "PURCHASES @ COST-DIGITAL TEXT")</f>
        <v xml:space="preserve">          5004 - PURCHASES @ COST-DIGITAL TEXT</v>
      </c>
      <c r="C132" s="11"/>
      <c r="D132" s="2">
        <v>61264.060000000005</v>
      </c>
      <c r="E132" s="2"/>
      <c r="F132" s="19">
        <f t="shared" si="8"/>
        <v>7.6278942896207971E-2</v>
      </c>
      <c r="G132" s="2"/>
      <c r="H132" s="2"/>
      <c r="I132" s="2"/>
      <c r="J132" s="19">
        <f t="shared" si="9"/>
        <v>0</v>
      </c>
      <c r="K132" s="2"/>
      <c r="L132" s="2">
        <f t="shared" si="10"/>
        <v>61264.060000000005</v>
      </c>
      <c r="M132" s="2"/>
      <c r="N132" s="19">
        <f t="shared" si="11"/>
        <v>0</v>
      </c>
      <c r="O132" s="11"/>
      <c r="P132" s="2">
        <v>535157.82999999996</v>
      </c>
      <c r="Q132" s="2"/>
      <c r="R132" s="19">
        <f t="shared" si="12"/>
        <v>5.2006154181119729E-2</v>
      </c>
      <c r="S132" s="2"/>
      <c r="T132" s="2"/>
      <c r="U132" s="2"/>
      <c r="V132" s="19">
        <f t="shared" si="13"/>
        <v>0</v>
      </c>
      <c r="W132" s="2"/>
      <c r="X132" s="2">
        <f t="shared" si="14"/>
        <v>535157.82999999996</v>
      </c>
      <c r="Y132" s="2"/>
      <c r="Z132" s="19">
        <f t="shared" si="15"/>
        <v>0</v>
      </c>
    </row>
    <row r="133" spans="1:26" s="24" customFormat="1" hidden="1" outlineLevel="1" x14ac:dyDescent="0.25">
      <c r="A133" s="44"/>
      <c r="B133" s="11" t="str">
        <f>CONCATENATE("          ", "5011", " - ", "PURCHASES @ COST-NO VALUE TEXT")</f>
        <v xml:space="preserve">          5011 - PURCHASES @ COST-NO VALUE TEXT</v>
      </c>
      <c r="C133" s="11"/>
      <c r="D133" s="2">
        <v>258</v>
      </c>
      <c r="E133" s="2"/>
      <c r="F133" s="19">
        <f t="shared" si="8"/>
        <v>3.2123184893756066E-4</v>
      </c>
      <c r="G133" s="2"/>
      <c r="H133" s="2"/>
      <c r="I133" s="2"/>
      <c r="J133" s="19">
        <f t="shared" si="9"/>
        <v>0</v>
      </c>
      <c r="K133" s="2"/>
      <c r="L133" s="2">
        <f t="shared" si="10"/>
        <v>258</v>
      </c>
      <c r="M133" s="2"/>
      <c r="N133" s="19">
        <f t="shared" si="11"/>
        <v>0</v>
      </c>
      <c r="O133" s="11"/>
      <c r="P133" s="2">
        <v>5733</v>
      </c>
      <c r="Q133" s="2"/>
      <c r="R133" s="19">
        <f t="shared" si="12"/>
        <v>5.5712775784362426E-4</v>
      </c>
      <c r="S133" s="2"/>
      <c r="T133" s="2"/>
      <c r="U133" s="2"/>
      <c r="V133" s="19">
        <f t="shared" si="13"/>
        <v>0</v>
      </c>
      <c r="W133" s="2"/>
      <c r="X133" s="2">
        <f t="shared" si="14"/>
        <v>5733</v>
      </c>
      <c r="Y133" s="2"/>
      <c r="Z133" s="19">
        <f t="shared" si="15"/>
        <v>0</v>
      </c>
    </row>
    <row r="134" spans="1:26" s="24" customFormat="1" hidden="1" outlineLevel="1" x14ac:dyDescent="0.25">
      <c r="A134" s="44"/>
      <c r="B134" s="11" t="str">
        <f>CONCATENATE("          ", "5013", " - ", "PURCHASES @ COST-TRADE BOOKS")</f>
        <v xml:space="preserve">          5013 - PURCHASES @ COST-TRADE BOOKS</v>
      </c>
      <c r="C134" s="11"/>
      <c r="D134" s="2">
        <v>2592.2600000000002</v>
      </c>
      <c r="E134" s="2"/>
      <c r="F134" s="19">
        <f t="shared" si="8"/>
        <v>3.2275832276235702E-3</v>
      </c>
      <c r="G134" s="2"/>
      <c r="H134" s="2"/>
      <c r="I134" s="2"/>
      <c r="J134" s="19">
        <f t="shared" si="9"/>
        <v>0</v>
      </c>
      <c r="K134" s="2"/>
      <c r="L134" s="2">
        <f t="shared" si="10"/>
        <v>2592.2600000000002</v>
      </c>
      <c r="M134" s="2"/>
      <c r="N134" s="19">
        <f t="shared" si="11"/>
        <v>0</v>
      </c>
      <c r="O134" s="11"/>
      <c r="P134" s="2">
        <v>3050.72</v>
      </c>
      <c r="Q134" s="2"/>
      <c r="R134" s="19">
        <f t="shared" si="12"/>
        <v>2.9646621200221543E-4</v>
      </c>
      <c r="S134" s="2"/>
      <c r="T134" s="2"/>
      <c r="U134" s="2"/>
      <c r="V134" s="19">
        <f t="shared" si="13"/>
        <v>0</v>
      </c>
      <c r="W134" s="2"/>
      <c r="X134" s="2">
        <f t="shared" si="14"/>
        <v>3050.72</v>
      </c>
      <c r="Y134" s="2"/>
      <c r="Z134" s="19">
        <f t="shared" si="15"/>
        <v>0</v>
      </c>
    </row>
    <row r="135" spans="1:26" s="24" customFormat="1" hidden="1" outlineLevel="1" x14ac:dyDescent="0.25">
      <c r="A135" s="44"/>
      <c r="B135" s="11" t="str">
        <f>CONCATENATE("          ", "5014", " - ", "PURCHASES @ COST-REMAINDERS")</f>
        <v xml:space="preserve">          5014 - PURCHASES @ COST-REMAINDERS</v>
      </c>
      <c r="C135" s="11"/>
      <c r="D135" s="2">
        <v>17.78</v>
      </c>
      <c r="E135" s="2"/>
      <c r="F135" s="19">
        <f t="shared" si="8"/>
        <v>2.2137605713603987E-5</v>
      </c>
      <c r="G135" s="2"/>
      <c r="H135" s="2"/>
      <c r="I135" s="2"/>
      <c r="J135" s="19">
        <f t="shared" si="9"/>
        <v>0</v>
      </c>
      <c r="K135" s="2"/>
      <c r="L135" s="2">
        <f t="shared" si="10"/>
        <v>17.78</v>
      </c>
      <c r="M135" s="2"/>
      <c r="N135" s="19">
        <f t="shared" si="11"/>
        <v>0</v>
      </c>
      <c r="O135" s="11"/>
      <c r="P135" s="2">
        <v>601.16999999999996</v>
      </c>
      <c r="Q135" s="2"/>
      <c r="R135" s="19">
        <f t="shared" si="12"/>
        <v>5.8421157192194586E-5</v>
      </c>
      <c r="S135" s="2"/>
      <c r="T135" s="2"/>
      <c r="U135" s="2"/>
      <c r="V135" s="19">
        <f t="shared" si="13"/>
        <v>0</v>
      </c>
      <c r="W135" s="2"/>
      <c r="X135" s="2">
        <f t="shared" si="14"/>
        <v>601.16999999999996</v>
      </c>
      <c r="Y135" s="2"/>
      <c r="Z135" s="19">
        <f t="shared" si="15"/>
        <v>0</v>
      </c>
    </row>
    <row r="136" spans="1:26" s="24" customFormat="1" hidden="1" outlineLevel="1" x14ac:dyDescent="0.25">
      <c r="A136" s="44"/>
      <c r="B136" s="11" t="str">
        <f>CONCATENATE("          ", "5017", " - ", "PURCHASES @ COST-DORM/HOUSEWAR")</f>
        <v xml:space="preserve">          5017 - PURCHASES @ COST-DORM/HOUSEWAR</v>
      </c>
      <c r="C136" s="11"/>
      <c r="D136" s="2"/>
      <c r="E136" s="2"/>
      <c r="F136" s="19">
        <f t="shared" si="8"/>
        <v>0</v>
      </c>
      <c r="G136" s="2"/>
      <c r="H136" s="2"/>
      <c r="I136" s="2"/>
      <c r="J136" s="19">
        <f t="shared" si="9"/>
        <v>0</v>
      </c>
      <c r="K136" s="2"/>
      <c r="L136" s="2">
        <f t="shared" si="10"/>
        <v>0</v>
      </c>
      <c r="M136" s="2"/>
      <c r="N136" s="19">
        <f t="shared" si="11"/>
        <v>0</v>
      </c>
      <c r="O136" s="11"/>
      <c r="P136" s="2">
        <v>0</v>
      </c>
      <c r="Q136" s="2"/>
      <c r="R136" s="19">
        <f t="shared" si="12"/>
        <v>0</v>
      </c>
      <c r="S136" s="2"/>
      <c r="T136" s="2"/>
      <c r="U136" s="2"/>
      <c r="V136" s="19">
        <f t="shared" si="13"/>
        <v>0</v>
      </c>
      <c r="W136" s="2"/>
      <c r="X136" s="2">
        <f t="shared" si="14"/>
        <v>0</v>
      </c>
      <c r="Y136" s="2"/>
      <c r="Z136" s="19">
        <f t="shared" si="15"/>
        <v>0</v>
      </c>
    </row>
    <row r="137" spans="1:26" s="24" customFormat="1" hidden="1" outlineLevel="1" x14ac:dyDescent="0.25">
      <c r="A137" s="44"/>
      <c r="B137" s="11" t="str">
        <f>CONCATENATE("          ", "5018", " - ", "PURCHASES @ COST-STUDY GUIDES")</f>
        <v xml:space="preserve">          5018 - PURCHASES @ COST-STUDY GUIDES</v>
      </c>
      <c r="C137" s="11"/>
      <c r="D137" s="2">
        <v>237.28</v>
      </c>
      <c r="E137" s="2"/>
      <c r="F137" s="19">
        <f t="shared" si="8"/>
        <v>2.9543369424769146E-4</v>
      </c>
      <c r="G137" s="2"/>
      <c r="H137" s="2"/>
      <c r="I137" s="2"/>
      <c r="J137" s="19">
        <f t="shared" si="9"/>
        <v>0</v>
      </c>
      <c r="K137" s="2"/>
      <c r="L137" s="2">
        <f t="shared" si="10"/>
        <v>237.28</v>
      </c>
      <c r="M137" s="2"/>
      <c r="N137" s="19">
        <f t="shared" si="11"/>
        <v>0</v>
      </c>
      <c r="O137" s="11"/>
      <c r="P137" s="2">
        <v>2268.4299999999998</v>
      </c>
      <c r="Q137" s="2"/>
      <c r="R137" s="19">
        <f t="shared" si="12"/>
        <v>2.204439769274747E-4</v>
      </c>
      <c r="S137" s="2"/>
      <c r="T137" s="2"/>
      <c r="U137" s="2"/>
      <c r="V137" s="19">
        <f t="shared" si="13"/>
        <v>0</v>
      </c>
      <c r="W137" s="2"/>
      <c r="X137" s="2">
        <f t="shared" si="14"/>
        <v>2268.4299999999998</v>
      </c>
      <c r="Y137" s="2"/>
      <c r="Z137" s="19">
        <f t="shared" si="15"/>
        <v>0</v>
      </c>
    </row>
    <row r="138" spans="1:26" s="24" customFormat="1" hidden="1" outlineLevel="1" x14ac:dyDescent="0.25">
      <c r="A138" s="44"/>
      <c r="B138" s="11" t="str">
        <f>CONCATENATE("          ", "5025", " - ", "PURCHASES @ COST-TEST FORMS")</f>
        <v xml:space="preserve">          5025 - PURCHASES @ COST-TEST FORMS</v>
      </c>
      <c r="C138" s="11"/>
      <c r="D138" s="2">
        <v>3423</v>
      </c>
      <c r="E138" s="2"/>
      <c r="F138" s="19">
        <f t="shared" si="8"/>
        <v>4.2619248795087994E-3</v>
      </c>
      <c r="G138" s="2"/>
      <c r="H138" s="2"/>
      <c r="I138" s="2"/>
      <c r="J138" s="19">
        <f t="shared" si="9"/>
        <v>0</v>
      </c>
      <c r="K138" s="2"/>
      <c r="L138" s="2">
        <f t="shared" si="10"/>
        <v>3423</v>
      </c>
      <c r="M138" s="2"/>
      <c r="N138" s="19">
        <f t="shared" si="11"/>
        <v>0</v>
      </c>
      <c r="O138" s="11"/>
      <c r="P138" s="2">
        <v>26401.390000000003</v>
      </c>
      <c r="Q138" s="2"/>
      <c r="R138" s="19">
        <f t="shared" si="12"/>
        <v>2.5656632155337663E-3</v>
      </c>
      <c r="S138" s="2"/>
      <c r="T138" s="2"/>
      <c r="U138" s="2"/>
      <c r="V138" s="19">
        <f t="shared" si="13"/>
        <v>0</v>
      </c>
      <c r="W138" s="2"/>
      <c r="X138" s="2">
        <f t="shared" si="14"/>
        <v>26401.390000000003</v>
      </c>
      <c r="Y138" s="2"/>
      <c r="Z138" s="19">
        <f t="shared" si="15"/>
        <v>0</v>
      </c>
    </row>
    <row r="139" spans="1:26" s="24" customFormat="1" hidden="1" outlineLevel="1" x14ac:dyDescent="0.25">
      <c r="A139" s="44"/>
      <c r="B139" s="11" t="str">
        <f>CONCATENATE("          ", "5026", " - ", "PURCHASES @ COST-WRITING INSTR")</f>
        <v xml:space="preserve">          5026 - PURCHASES @ COST-WRITING INSTR</v>
      </c>
      <c r="C139" s="11"/>
      <c r="D139" s="2">
        <v>2265.86</v>
      </c>
      <c r="E139" s="2"/>
      <c r="F139" s="19">
        <f t="shared" si="8"/>
        <v>2.8211875861769817E-3</v>
      </c>
      <c r="G139" s="2"/>
      <c r="H139" s="2"/>
      <c r="I139" s="2"/>
      <c r="J139" s="19">
        <f t="shared" si="9"/>
        <v>0</v>
      </c>
      <c r="K139" s="2"/>
      <c r="L139" s="2">
        <f t="shared" si="10"/>
        <v>2265.86</v>
      </c>
      <c r="M139" s="2"/>
      <c r="N139" s="19">
        <f t="shared" si="11"/>
        <v>0</v>
      </c>
      <c r="O139" s="11"/>
      <c r="P139" s="2">
        <v>45762.009999999995</v>
      </c>
      <c r="Q139" s="2"/>
      <c r="R139" s="19">
        <f t="shared" si="12"/>
        <v>4.447110766739492E-3</v>
      </c>
      <c r="S139" s="2"/>
      <c r="T139" s="2"/>
      <c r="U139" s="2"/>
      <c r="V139" s="19">
        <f t="shared" si="13"/>
        <v>0</v>
      </c>
      <c r="W139" s="2"/>
      <c r="X139" s="2">
        <f t="shared" si="14"/>
        <v>45762.009999999995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"5027", " - ", "PURCHASES @ COST-SCHOOL SUPPLI")</f>
        <v xml:space="preserve">          5027 - PURCHASES @ COST-SCHOOL SUPPLI</v>
      </c>
      <c r="C140" s="11"/>
      <c r="D140" s="2">
        <v>-2462.8200000000002</v>
      </c>
      <c r="E140" s="2"/>
      <c r="F140" s="19">
        <f t="shared" si="8"/>
        <v>-3.0664194658930359E-3</v>
      </c>
      <c r="G140" s="2"/>
      <c r="H140" s="2"/>
      <c r="I140" s="2"/>
      <c r="J140" s="19">
        <f t="shared" si="9"/>
        <v>0</v>
      </c>
      <c r="K140" s="2"/>
      <c r="L140" s="2">
        <f t="shared" si="10"/>
        <v>-2462.8200000000002</v>
      </c>
      <c r="M140" s="2"/>
      <c r="N140" s="19">
        <f t="shared" si="11"/>
        <v>0</v>
      </c>
      <c r="O140" s="11"/>
      <c r="P140" s="2">
        <v>118351.2</v>
      </c>
      <c r="Q140" s="2"/>
      <c r="R140" s="19">
        <f t="shared" si="12"/>
        <v>1.1501262636333916E-2</v>
      </c>
      <c r="S140" s="2"/>
      <c r="T140" s="2"/>
      <c r="U140" s="2"/>
      <c r="V140" s="19">
        <f t="shared" si="13"/>
        <v>0</v>
      </c>
      <c r="W140" s="2"/>
      <c r="X140" s="2">
        <f t="shared" si="14"/>
        <v>118351.2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"5028", " - ", "PURCHASES @ COST-ART/TECH")</f>
        <v xml:space="preserve">          5028 - PURCHASES @ COST-ART/TECH</v>
      </c>
      <c r="C141" s="11"/>
      <c r="D141" s="2">
        <v>11525.28</v>
      </c>
      <c r="E141" s="2"/>
      <c r="F141" s="19">
        <f t="shared" si="8"/>
        <v>1.4349949627608874E-2</v>
      </c>
      <c r="G141" s="2"/>
      <c r="H141" s="2"/>
      <c r="I141" s="2"/>
      <c r="J141" s="19">
        <f t="shared" si="9"/>
        <v>0</v>
      </c>
      <c r="K141" s="2"/>
      <c r="L141" s="2">
        <f t="shared" si="10"/>
        <v>11525.28</v>
      </c>
      <c r="M141" s="2"/>
      <c r="N141" s="19">
        <f t="shared" si="11"/>
        <v>0</v>
      </c>
      <c r="O141" s="11"/>
      <c r="P141" s="2">
        <v>146652.78</v>
      </c>
      <c r="Q141" s="2"/>
      <c r="R141" s="19">
        <f t="shared" si="12"/>
        <v>1.4251584598453566E-2</v>
      </c>
      <c r="S141" s="2"/>
      <c r="T141" s="2"/>
      <c r="U141" s="2"/>
      <c r="V141" s="19">
        <f t="shared" si="13"/>
        <v>0</v>
      </c>
      <c r="W141" s="2"/>
      <c r="X141" s="2">
        <f t="shared" si="14"/>
        <v>146652.78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"5031", " - ", "PURCHASES @ COST-FOOD")</f>
        <v xml:space="preserve">          5031 - PURCHASES @ COST-FOOD</v>
      </c>
      <c r="C142" s="11"/>
      <c r="D142" s="2">
        <v>5225.67</v>
      </c>
      <c r="E142" s="2"/>
      <c r="F142" s="19">
        <f t="shared" si="8"/>
        <v>6.5064016900679951E-3</v>
      </c>
      <c r="G142" s="2"/>
      <c r="H142" s="2"/>
      <c r="I142" s="2"/>
      <c r="J142" s="19">
        <f t="shared" si="9"/>
        <v>0</v>
      </c>
      <c r="K142" s="2"/>
      <c r="L142" s="2">
        <f t="shared" si="10"/>
        <v>5225.67</v>
      </c>
      <c r="M142" s="2"/>
      <c r="N142" s="19">
        <f t="shared" si="11"/>
        <v>0</v>
      </c>
      <c r="O142" s="11"/>
      <c r="P142" s="2">
        <v>30126.060000000005</v>
      </c>
      <c r="Q142" s="2"/>
      <c r="R142" s="19">
        <f t="shared" si="12"/>
        <v>2.9276232793410948E-3</v>
      </c>
      <c r="S142" s="2"/>
      <c r="T142" s="2"/>
      <c r="U142" s="2"/>
      <c r="V142" s="19">
        <f t="shared" si="13"/>
        <v>0</v>
      </c>
      <c r="W142" s="2"/>
      <c r="X142" s="2">
        <f t="shared" si="14"/>
        <v>30126.060000000005</v>
      </c>
      <c r="Y142" s="2"/>
      <c r="Z142" s="19">
        <f t="shared" si="15"/>
        <v>0</v>
      </c>
    </row>
    <row r="143" spans="1:26" s="24" customFormat="1" hidden="1" outlineLevel="1" x14ac:dyDescent="0.25">
      <c r="A143" s="44"/>
      <c r="B143" s="11" t="str">
        <f>CONCATENATE("          ", "5032", " - ", "PURCHASES @ COST-JUICE")</f>
        <v xml:space="preserve">          5032 - PURCHASES @ COST-JUICE</v>
      </c>
      <c r="C143" s="11"/>
      <c r="D143" s="2">
        <v>1720.97</v>
      </c>
      <c r="E143" s="2"/>
      <c r="F143" s="19">
        <f t="shared" si="8"/>
        <v>2.1427533917289681E-3</v>
      </c>
      <c r="G143" s="2"/>
      <c r="H143" s="2"/>
      <c r="I143" s="2"/>
      <c r="J143" s="19">
        <f t="shared" si="9"/>
        <v>0</v>
      </c>
      <c r="K143" s="2"/>
      <c r="L143" s="2">
        <f t="shared" si="10"/>
        <v>1720.97</v>
      </c>
      <c r="M143" s="2"/>
      <c r="N143" s="19">
        <f t="shared" si="11"/>
        <v>0</v>
      </c>
      <c r="O143" s="11"/>
      <c r="P143" s="2">
        <v>7113.48</v>
      </c>
      <c r="Q143" s="2"/>
      <c r="R143" s="19">
        <f t="shared" si="12"/>
        <v>6.9128155640423234E-4</v>
      </c>
      <c r="S143" s="2"/>
      <c r="T143" s="2"/>
      <c r="U143" s="2"/>
      <c r="V143" s="19">
        <f t="shared" si="13"/>
        <v>0</v>
      </c>
      <c r="W143" s="2"/>
      <c r="X143" s="2">
        <f t="shared" si="14"/>
        <v>7113.48</v>
      </c>
      <c r="Y143" s="2"/>
      <c r="Z143" s="19">
        <f t="shared" si="15"/>
        <v>0</v>
      </c>
    </row>
    <row r="144" spans="1:26" s="24" customFormat="1" hidden="1" outlineLevel="1" x14ac:dyDescent="0.25">
      <c r="A144" s="44"/>
      <c r="B144" s="11" t="str">
        <f>CONCATENATE("          ", "5033", " - ", "PURCHASES @ COST-CANDY")</f>
        <v xml:space="preserve">          5033 - PURCHASES @ COST-CANDY</v>
      </c>
      <c r="C144" s="11"/>
      <c r="D144" s="2">
        <v>1821.44</v>
      </c>
      <c r="E144" s="2"/>
      <c r="F144" s="19">
        <f t="shared" si="8"/>
        <v>2.2678470501117463E-3</v>
      </c>
      <c r="G144" s="2"/>
      <c r="H144" s="2"/>
      <c r="I144" s="2"/>
      <c r="J144" s="19">
        <f t="shared" si="9"/>
        <v>0</v>
      </c>
      <c r="K144" s="2"/>
      <c r="L144" s="2">
        <f t="shared" si="10"/>
        <v>1821.44</v>
      </c>
      <c r="M144" s="2"/>
      <c r="N144" s="19">
        <f t="shared" si="11"/>
        <v>0</v>
      </c>
      <c r="O144" s="11"/>
      <c r="P144" s="2">
        <v>8825.06</v>
      </c>
      <c r="Q144" s="2"/>
      <c r="R144" s="19">
        <f t="shared" si="12"/>
        <v>8.5761135367790932E-4</v>
      </c>
      <c r="S144" s="2"/>
      <c r="T144" s="2"/>
      <c r="U144" s="2"/>
      <c r="V144" s="19">
        <f t="shared" si="13"/>
        <v>0</v>
      </c>
      <c r="W144" s="2"/>
      <c r="X144" s="2">
        <f t="shared" si="14"/>
        <v>8825.06</v>
      </c>
      <c r="Y144" s="2"/>
      <c r="Z144" s="19">
        <f t="shared" si="15"/>
        <v>0</v>
      </c>
    </row>
    <row r="145" spans="1:26" s="24" customFormat="1" hidden="1" outlineLevel="1" x14ac:dyDescent="0.25">
      <c r="A145" s="44"/>
      <c r="B145" s="11" t="str">
        <f>CONCATENATE("          ", "5034", " - ", "PURCHASES @ COST-SODA")</f>
        <v xml:space="preserve">          5034 - PURCHASES @ COST-SODA</v>
      </c>
      <c r="C145" s="11"/>
      <c r="D145" s="2">
        <v>1637.93</v>
      </c>
      <c r="E145" s="2"/>
      <c r="F145" s="19">
        <f t="shared" si="8"/>
        <v>2.0393615594197626E-3</v>
      </c>
      <c r="G145" s="2"/>
      <c r="H145" s="2"/>
      <c r="I145" s="2"/>
      <c r="J145" s="19">
        <f t="shared" si="9"/>
        <v>0</v>
      </c>
      <c r="K145" s="2"/>
      <c r="L145" s="2">
        <f t="shared" si="10"/>
        <v>1637.93</v>
      </c>
      <c r="M145" s="2"/>
      <c r="N145" s="19">
        <f t="shared" si="11"/>
        <v>0</v>
      </c>
      <c r="O145" s="11"/>
      <c r="P145" s="2">
        <v>3762.09</v>
      </c>
      <c r="Q145" s="2"/>
      <c r="R145" s="19">
        <f t="shared" si="12"/>
        <v>3.6559650558275252E-4</v>
      </c>
      <c r="S145" s="2"/>
      <c r="T145" s="2"/>
      <c r="U145" s="2"/>
      <c r="V145" s="19">
        <f t="shared" si="13"/>
        <v>0</v>
      </c>
      <c r="W145" s="2"/>
      <c r="X145" s="2">
        <f t="shared" si="14"/>
        <v>3762.09</v>
      </c>
      <c r="Y145" s="2"/>
      <c r="Z145" s="19">
        <f t="shared" si="15"/>
        <v>0</v>
      </c>
    </row>
    <row r="146" spans="1:26" s="24" customFormat="1" hidden="1" outlineLevel="1" x14ac:dyDescent="0.25">
      <c r="A146" s="44"/>
      <c r="B146" s="11" t="str">
        <f>CONCATENATE("          ", "5035", " - ", "PURCHASES @ COST-HEALTH &amp; BEAU")</f>
        <v xml:space="preserve">          5035 - PURCHASES @ COST-HEALTH &amp; BEAU</v>
      </c>
      <c r="C146" s="11"/>
      <c r="D146" s="2">
        <v>198.47</v>
      </c>
      <c r="E146" s="2"/>
      <c r="F146" s="19">
        <f t="shared" si="8"/>
        <v>2.4711195759161885E-4</v>
      </c>
      <c r="G146" s="2"/>
      <c r="H146" s="2"/>
      <c r="I146" s="2"/>
      <c r="J146" s="19">
        <f t="shared" si="9"/>
        <v>0</v>
      </c>
      <c r="K146" s="2"/>
      <c r="L146" s="2">
        <f t="shared" si="10"/>
        <v>198.47</v>
      </c>
      <c r="M146" s="2"/>
      <c r="N146" s="19">
        <f t="shared" si="11"/>
        <v>0</v>
      </c>
      <c r="O146" s="11"/>
      <c r="P146" s="2">
        <v>1055.67</v>
      </c>
      <c r="Q146" s="2"/>
      <c r="R146" s="19">
        <f t="shared" si="12"/>
        <v>1.0258905636190107E-4</v>
      </c>
      <c r="S146" s="2"/>
      <c r="T146" s="2"/>
      <c r="U146" s="2"/>
      <c r="V146" s="19">
        <f t="shared" si="13"/>
        <v>0</v>
      </c>
      <c r="W146" s="2"/>
      <c r="X146" s="2">
        <f t="shared" si="14"/>
        <v>1055.67</v>
      </c>
      <c r="Y146" s="2"/>
      <c r="Z146" s="19">
        <f t="shared" si="15"/>
        <v>0</v>
      </c>
    </row>
    <row r="147" spans="1:26" s="24" customFormat="1" hidden="1" outlineLevel="1" x14ac:dyDescent="0.25">
      <c r="A147" s="44"/>
      <c r="B147" s="11" t="str">
        <f>CONCATENATE("          ", "5037", " - ", "PURCHASES @ COST-WATER")</f>
        <v xml:space="preserve">          5037 - PURCHASES @ COST-WATER</v>
      </c>
      <c r="C147" s="11"/>
      <c r="D147" s="2">
        <v>1540.46</v>
      </c>
      <c r="E147" s="2"/>
      <c r="F147" s="19">
        <f t="shared" si="8"/>
        <v>1.9180031550943982E-3</v>
      </c>
      <c r="G147" s="2"/>
      <c r="H147" s="2"/>
      <c r="I147" s="2"/>
      <c r="J147" s="19">
        <f t="shared" si="9"/>
        <v>0</v>
      </c>
      <c r="K147" s="2"/>
      <c r="L147" s="2">
        <f t="shared" si="10"/>
        <v>1540.46</v>
      </c>
      <c r="M147" s="2"/>
      <c r="N147" s="19">
        <f t="shared" si="11"/>
        <v>0</v>
      </c>
      <c r="O147" s="11"/>
      <c r="P147" s="2">
        <v>5299.73</v>
      </c>
      <c r="Q147" s="2"/>
      <c r="R147" s="19">
        <f t="shared" si="12"/>
        <v>5.1502297088375898E-4</v>
      </c>
      <c r="S147" s="2"/>
      <c r="T147" s="2"/>
      <c r="U147" s="2"/>
      <c r="V147" s="19">
        <f t="shared" si="13"/>
        <v>0</v>
      </c>
      <c r="W147" s="2"/>
      <c r="X147" s="2">
        <f t="shared" si="14"/>
        <v>5299.73</v>
      </c>
      <c r="Y147" s="2"/>
      <c r="Z147" s="19">
        <f t="shared" si="15"/>
        <v>0</v>
      </c>
    </row>
    <row r="148" spans="1:26" s="24" customFormat="1" hidden="1" outlineLevel="1" x14ac:dyDescent="0.25">
      <c r="A148" s="44"/>
      <c r="B148" s="11" t="str">
        <f>CONCATENATE("          ", "5040", " - ", "PURCHASES @ COST-LOGO CLOTHING")</f>
        <v xml:space="preserve">          5040 - PURCHASES @ COST-LOGO CLOTHING</v>
      </c>
      <c r="C148" s="11"/>
      <c r="D148" s="2">
        <v>90806.55</v>
      </c>
      <c r="E148" s="2"/>
      <c r="F148" s="19">
        <f t="shared" si="8"/>
        <v>0.11306184477574051</v>
      </c>
      <c r="G148" s="2"/>
      <c r="H148" s="2"/>
      <c r="I148" s="2"/>
      <c r="J148" s="19">
        <f t="shared" si="9"/>
        <v>0</v>
      </c>
      <c r="K148" s="2"/>
      <c r="L148" s="2">
        <f t="shared" si="10"/>
        <v>90806.55</v>
      </c>
      <c r="M148" s="2"/>
      <c r="N148" s="19">
        <f t="shared" si="11"/>
        <v>0</v>
      </c>
      <c r="O148" s="11"/>
      <c r="P148" s="2">
        <v>901545.55999999994</v>
      </c>
      <c r="Q148" s="2"/>
      <c r="R148" s="19">
        <f t="shared" si="12"/>
        <v>8.7611382598408255E-2</v>
      </c>
      <c r="S148" s="2"/>
      <c r="T148" s="2"/>
      <c r="U148" s="2"/>
      <c r="V148" s="19">
        <f t="shared" si="13"/>
        <v>0</v>
      </c>
      <c r="W148" s="2"/>
      <c r="X148" s="2">
        <f t="shared" si="14"/>
        <v>901545.55999999994</v>
      </c>
      <c r="Y148" s="2"/>
      <c r="Z148" s="19">
        <f t="shared" si="15"/>
        <v>0</v>
      </c>
    </row>
    <row r="149" spans="1:26" s="24" customFormat="1" hidden="1" outlineLevel="1" x14ac:dyDescent="0.25">
      <c r="A149" s="44"/>
      <c r="B149" s="11" t="str">
        <f>CONCATENATE("          ", "5041", " - ", "PURCHASES @ COST-LOGO GIFTS")</f>
        <v xml:space="preserve">          5041 - PURCHASES @ COST-LOGO GIFTS</v>
      </c>
      <c r="C149" s="11"/>
      <c r="D149" s="2">
        <v>10366.19</v>
      </c>
      <c r="E149" s="2"/>
      <c r="F149" s="19">
        <f t="shared" si="8"/>
        <v>1.2906784419139738E-2</v>
      </c>
      <c r="G149" s="2"/>
      <c r="H149" s="2"/>
      <c r="I149" s="2"/>
      <c r="J149" s="19">
        <f t="shared" si="9"/>
        <v>0</v>
      </c>
      <c r="K149" s="2"/>
      <c r="L149" s="2">
        <f t="shared" si="10"/>
        <v>10366.19</v>
      </c>
      <c r="M149" s="2"/>
      <c r="N149" s="19">
        <f t="shared" si="11"/>
        <v>0</v>
      </c>
      <c r="O149" s="11"/>
      <c r="P149" s="2">
        <v>134382.06</v>
      </c>
      <c r="Q149" s="2"/>
      <c r="R149" s="19">
        <f t="shared" si="12"/>
        <v>1.3059127120566436E-2</v>
      </c>
      <c r="S149" s="2"/>
      <c r="T149" s="2"/>
      <c r="U149" s="2"/>
      <c r="V149" s="19">
        <f t="shared" si="13"/>
        <v>0</v>
      </c>
      <c r="W149" s="2"/>
      <c r="X149" s="2">
        <f t="shared" si="14"/>
        <v>134382.06</v>
      </c>
      <c r="Y149" s="2"/>
      <c r="Z149" s="19">
        <f t="shared" si="15"/>
        <v>0</v>
      </c>
    </row>
    <row r="150" spans="1:26" s="24" customFormat="1" hidden="1" outlineLevel="1" x14ac:dyDescent="0.25">
      <c r="A150" s="44"/>
      <c r="B150" s="11" t="str">
        <f>CONCATENATE("          ", "5042", " - ", "PURCHASES @ COST-EVERYDAY GIFT")</f>
        <v xml:space="preserve">          5042 - PURCHASES @ COST-EVERYDAY GIFT</v>
      </c>
      <c r="C150" s="11"/>
      <c r="D150" s="2">
        <v>8647</v>
      </c>
      <c r="E150" s="2"/>
      <c r="F150" s="19">
        <f t="shared" si="8"/>
        <v>1.07662472781515E-2</v>
      </c>
      <c r="G150" s="2"/>
      <c r="H150" s="2"/>
      <c r="I150" s="2"/>
      <c r="J150" s="19">
        <f t="shared" si="9"/>
        <v>0</v>
      </c>
      <c r="K150" s="2"/>
      <c r="L150" s="2">
        <f t="shared" si="10"/>
        <v>8647</v>
      </c>
      <c r="M150" s="2"/>
      <c r="N150" s="19">
        <f t="shared" si="11"/>
        <v>0</v>
      </c>
      <c r="O150" s="11"/>
      <c r="P150" s="2">
        <v>100007.97</v>
      </c>
      <c r="Q150" s="2"/>
      <c r="R150" s="19">
        <f t="shared" si="12"/>
        <v>9.7186841256920349E-3</v>
      </c>
      <c r="S150" s="2"/>
      <c r="T150" s="2"/>
      <c r="U150" s="2"/>
      <c r="V150" s="19">
        <f t="shared" si="13"/>
        <v>0</v>
      </c>
      <c r="W150" s="2"/>
      <c r="X150" s="2">
        <f t="shared" si="14"/>
        <v>100007.97</v>
      </c>
      <c r="Y150" s="2"/>
      <c r="Z150" s="19">
        <f t="shared" si="15"/>
        <v>0</v>
      </c>
    </row>
    <row r="151" spans="1:26" s="24" customFormat="1" hidden="1" outlineLevel="1" x14ac:dyDescent="0.25">
      <c r="A151" s="44"/>
      <c r="B151" s="11" t="str">
        <f>CONCATENATE("          ", "5043", " - ", "PURCHASES @ COST-CARDS")</f>
        <v xml:space="preserve">          5043 - PURCHASES @ COST-CARDS</v>
      </c>
      <c r="C151" s="11"/>
      <c r="D151" s="2">
        <v>18340.75</v>
      </c>
      <c r="E151" s="2"/>
      <c r="F151" s="19">
        <f t="shared" si="8"/>
        <v>2.2835786951168859E-2</v>
      </c>
      <c r="G151" s="2"/>
      <c r="H151" s="2"/>
      <c r="I151" s="2"/>
      <c r="J151" s="19">
        <f t="shared" si="9"/>
        <v>0</v>
      </c>
      <c r="K151" s="2"/>
      <c r="L151" s="2">
        <f t="shared" si="10"/>
        <v>18340.75</v>
      </c>
      <c r="M151" s="2"/>
      <c r="N151" s="19">
        <f t="shared" si="11"/>
        <v>0</v>
      </c>
      <c r="O151" s="11"/>
      <c r="P151" s="2">
        <v>29035.16</v>
      </c>
      <c r="Q151" s="2"/>
      <c r="R151" s="19">
        <f t="shared" si="12"/>
        <v>2.8216106034241904E-3</v>
      </c>
      <c r="S151" s="2"/>
      <c r="T151" s="2"/>
      <c r="U151" s="2"/>
      <c r="V151" s="19">
        <f t="shared" si="13"/>
        <v>0</v>
      </c>
      <c r="W151" s="2"/>
      <c r="X151" s="2">
        <f t="shared" si="14"/>
        <v>29035.16</v>
      </c>
      <c r="Y151" s="2"/>
      <c r="Z151" s="19">
        <f t="shared" si="15"/>
        <v>0</v>
      </c>
    </row>
    <row r="152" spans="1:26" s="24" customFormat="1" hidden="1" outlineLevel="1" x14ac:dyDescent="0.25">
      <c r="A152" s="44"/>
      <c r="B152" s="11" t="str">
        <f>CONCATENATE("          ", "5044", " - ", "PURCHASES @ COST-ACCESSORIES")</f>
        <v xml:space="preserve">          5044 - PURCHASES @ COST-ACCESSORIES</v>
      </c>
      <c r="C152" s="11"/>
      <c r="D152" s="2">
        <v>12532.23</v>
      </c>
      <c r="E152" s="2"/>
      <c r="F152" s="19">
        <f t="shared" si="8"/>
        <v>1.5603687651979713E-2</v>
      </c>
      <c r="G152" s="2"/>
      <c r="H152" s="2"/>
      <c r="I152" s="2"/>
      <c r="J152" s="19">
        <f t="shared" si="9"/>
        <v>0</v>
      </c>
      <c r="K152" s="2"/>
      <c r="L152" s="2">
        <f t="shared" si="10"/>
        <v>12532.23</v>
      </c>
      <c r="M152" s="2"/>
      <c r="N152" s="19">
        <f t="shared" si="11"/>
        <v>0</v>
      </c>
      <c r="O152" s="11"/>
      <c r="P152" s="2">
        <v>33399.440000000002</v>
      </c>
      <c r="Q152" s="2"/>
      <c r="R152" s="19">
        <f t="shared" si="12"/>
        <v>3.2457273888771426E-3</v>
      </c>
      <c r="S152" s="2"/>
      <c r="T152" s="2"/>
      <c r="U152" s="2"/>
      <c r="V152" s="19">
        <f t="shared" si="13"/>
        <v>0</v>
      </c>
      <c r="W152" s="2"/>
      <c r="X152" s="2">
        <f t="shared" si="14"/>
        <v>33399.440000000002</v>
      </c>
      <c r="Y152" s="2"/>
      <c r="Z152" s="19">
        <f t="shared" si="15"/>
        <v>0</v>
      </c>
    </row>
    <row r="153" spans="1:26" s="24" customFormat="1" hidden="1" outlineLevel="1" x14ac:dyDescent="0.25">
      <c r="A153" s="44"/>
      <c r="B153" s="11" t="str">
        <f>CONCATENATE("          ", "5045", " - ", "PURCHASES @ COST-SPECIAL ORDER")</f>
        <v xml:space="preserve">          5045 - PURCHASES @ COST-SPECIAL ORDER</v>
      </c>
      <c r="C153" s="11"/>
      <c r="D153" s="2">
        <v>2948.55</v>
      </c>
      <c r="E153" s="2"/>
      <c r="F153" s="19">
        <f t="shared" si="8"/>
        <v>3.671194450328855E-3</v>
      </c>
      <c r="G153" s="2"/>
      <c r="H153" s="2"/>
      <c r="I153" s="2"/>
      <c r="J153" s="19">
        <f t="shared" si="9"/>
        <v>0</v>
      </c>
      <c r="K153" s="2"/>
      <c r="L153" s="2">
        <f t="shared" si="10"/>
        <v>2948.55</v>
      </c>
      <c r="M153" s="2"/>
      <c r="N153" s="19">
        <f t="shared" si="11"/>
        <v>0</v>
      </c>
      <c r="O153" s="11"/>
      <c r="P153" s="2">
        <v>50964.780000000006</v>
      </c>
      <c r="Q153" s="2"/>
      <c r="R153" s="19">
        <f t="shared" si="12"/>
        <v>4.9527112524670475E-3</v>
      </c>
      <c r="S153" s="2"/>
      <c r="T153" s="2"/>
      <c r="U153" s="2"/>
      <c r="V153" s="19">
        <f t="shared" si="13"/>
        <v>0</v>
      </c>
      <c r="W153" s="2"/>
      <c r="X153" s="2">
        <f t="shared" si="14"/>
        <v>50964.780000000006</v>
      </c>
      <c r="Y153" s="2"/>
      <c r="Z153" s="19">
        <f t="shared" si="15"/>
        <v>0</v>
      </c>
    </row>
    <row r="154" spans="1:26" s="24" customFormat="1" hidden="1" outlineLevel="1" x14ac:dyDescent="0.25">
      <c r="A154" s="44"/>
      <c r="B154" s="11" t="str">
        <f>CONCATENATE("          ", "5081", " - ", "PURCHASES @ COST-ELECTRONICS")</f>
        <v xml:space="preserve">          5081 - PURCHASES @ COST-ELECTRONICS</v>
      </c>
      <c r="C154" s="11"/>
      <c r="D154" s="2">
        <v>7374.68</v>
      </c>
      <c r="E154" s="2"/>
      <c r="F154" s="19">
        <f t="shared" si="8"/>
        <v>9.1821011307087214E-3</v>
      </c>
      <c r="G154" s="2"/>
      <c r="H154" s="2"/>
      <c r="I154" s="2"/>
      <c r="J154" s="19">
        <f t="shared" si="9"/>
        <v>0</v>
      </c>
      <c r="K154" s="2"/>
      <c r="L154" s="2">
        <f t="shared" si="10"/>
        <v>7374.68</v>
      </c>
      <c r="M154" s="2"/>
      <c r="N154" s="19">
        <f t="shared" si="11"/>
        <v>0</v>
      </c>
      <c r="O154" s="11"/>
      <c r="P154" s="2">
        <v>229021.47999999998</v>
      </c>
      <c r="Q154" s="2"/>
      <c r="R154" s="19">
        <f t="shared" si="12"/>
        <v>2.2256100409982282E-2</v>
      </c>
      <c r="S154" s="2"/>
      <c r="T154" s="2"/>
      <c r="U154" s="2"/>
      <c r="V154" s="19">
        <f t="shared" si="13"/>
        <v>0</v>
      </c>
      <c r="W154" s="2"/>
      <c r="X154" s="2">
        <f t="shared" si="14"/>
        <v>229021.47999999998</v>
      </c>
      <c r="Y154" s="2"/>
      <c r="Z154" s="19">
        <f t="shared" si="15"/>
        <v>0</v>
      </c>
    </row>
    <row r="155" spans="1:26" s="24" customFormat="1" hidden="1" outlineLevel="1" x14ac:dyDescent="0.25">
      <c r="A155" s="44"/>
      <c r="B155" s="11" t="str">
        <f>CONCATENATE("          ", "5082", " - ", "PURCHASES @ COST-COMPUTER HARD")</f>
        <v xml:space="preserve">          5082 - PURCHASES @ COST-COMPUTER HARD</v>
      </c>
      <c r="C155" s="11"/>
      <c r="D155" s="2">
        <v>43635.82</v>
      </c>
      <c r="E155" s="2"/>
      <c r="F155" s="19">
        <f t="shared" si="8"/>
        <v>5.4330291234521662E-2</v>
      </c>
      <c r="G155" s="2"/>
      <c r="H155" s="2"/>
      <c r="I155" s="2"/>
      <c r="J155" s="19">
        <f t="shared" si="9"/>
        <v>0</v>
      </c>
      <c r="K155" s="2"/>
      <c r="L155" s="2">
        <f t="shared" si="10"/>
        <v>43635.82</v>
      </c>
      <c r="M155" s="2"/>
      <c r="N155" s="19">
        <f t="shared" si="11"/>
        <v>0</v>
      </c>
      <c r="O155" s="11"/>
      <c r="P155" s="2">
        <v>1211298.58</v>
      </c>
      <c r="Q155" s="2"/>
      <c r="R155" s="19">
        <f t="shared" si="12"/>
        <v>0.11771290109097608</v>
      </c>
      <c r="S155" s="2"/>
      <c r="T155" s="2"/>
      <c r="U155" s="2"/>
      <c r="V155" s="19">
        <f t="shared" si="13"/>
        <v>0</v>
      </c>
      <c r="W155" s="2"/>
      <c r="X155" s="2">
        <f t="shared" si="14"/>
        <v>1211298.58</v>
      </c>
      <c r="Y155" s="2"/>
      <c r="Z155" s="19">
        <f t="shared" si="15"/>
        <v>0</v>
      </c>
    </row>
    <row r="156" spans="1:26" s="24" customFormat="1" hidden="1" outlineLevel="1" x14ac:dyDescent="0.25">
      <c r="A156" s="44"/>
      <c r="B156" s="11" t="str">
        <f>CONCATENATE("          ", "5083", " - ", "PURCHASES @ COST-COMPUTER EQUI")</f>
        <v xml:space="preserve">          5083 - PURCHASES @ COST-COMPUTER EQUI</v>
      </c>
      <c r="C156" s="11"/>
      <c r="D156" s="2">
        <v>6151.02</v>
      </c>
      <c r="E156" s="2"/>
      <c r="F156" s="19">
        <f t="shared" si="8"/>
        <v>7.6585408040771887E-3</v>
      </c>
      <c r="G156" s="2"/>
      <c r="H156" s="2"/>
      <c r="I156" s="2"/>
      <c r="J156" s="19">
        <f t="shared" si="9"/>
        <v>0</v>
      </c>
      <c r="K156" s="2"/>
      <c r="L156" s="2">
        <f t="shared" si="10"/>
        <v>6151.02</v>
      </c>
      <c r="M156" s="2"/>
      <c r="N156" s="19">
        <f t="shared" si="11"/>
        <v>0</v>
      </c>
      <c r="O156" s="11"/>
      <c r="P156" s="2">
        <v>71511.8</v>
      </c>
      <c r="Q156" s="2"/>
      <c r="R156" s="19">
        <f t="shared" si="12"/>
        <v>6.9494520832656002E-3</v>
      </c>
      <c r="S156" s="2"/>
      <c r="T156" s="2"/>
      <c r="U156" s="2"/>
      <c r="V156" s="19">
        <f t="shared" si="13"/>
        <v>0</v>
      </c>
      <c r="W156" s="2"/>
      <c r="X156" s="2">
        <f t="shared" si="14"/>
        <v>71511.8</v>
      </c>
      <c r="Y156" s="2"/>
      <c r="Z156" s="19">
        <f t="shared" si="15"/>
        <v>0</v>
      </c>
    </row>
    <row r="157" spans="1:26" s="24" customFormat="1" hidden="1" outlineLevel="1" x14ac:dyDescent="0.25">
      <c r="A157" s="44"/>
      <c r="B157" s="11" t="str">
        <f>CONCATENATE("          ", "5084", " - ", "PURCHASES @ COST-SOFTWARE LICE")</f>
        <v xml:space="preserve">          5084 - PURCHASES @ COST-SOFTWARE LICE</v>
      </c>
      <c r="C157" s="11"/>
      <c r="D157" s="2"/>
      <c r="E157" s="2"/>
      <c r="F157" s="19">
        <f t="shared" si="8"/>
        <v>0</v>
      </c>
      <c r="G157" s="2"/>
      <c r="H157" s="2"/>
      <c r="I157" s="2"/>
      <c r="J157" s="19">
        <f t="shared" si="9"/>
        <v>0</v>
      </c>
      <c r="K157" s="2"/>
      <c r="L157" s="2">
        <f t="shared" si="10"/>
        <v>0</v>
      </c>
      <c r="M157" s="2"/>
      <c r="N157" s="19">
        <f t="shared" si="11"/>
        <v>0</v>
      </c>
      <c r="O157" s="11"/>
      <c r="P157" s="2">
        <v>2728</v>
      </c>
      <c r="Q157" s="2"/>
      <c r="R157" s="19">
        <f t="shared" si="12"/>
        <v>2.6510457411432179E-4</v>
      </c>
      <c r="S157" s="2"/>
      <c r="T157" s="2"/>
      <c r="U157" s="2"/>
      <c r="V157" s="19">
        <f t="shared" si="13"/>
        <v>0</v>
      </c>
      <c r="W157" s="2"/>
      <c r="X157" s="2">
        <f t="shared" si="14"/>
        <v>2728</v>
      </c>
      <c r="Y157" s="2"/>
      <c r="Z157" s="19">
        <f t="shared" si="15"/>
        <v>0</v>
      </c>
    </row>
    <row r="158" spans="1:26" s="24" customFormat="1" hidden="1" outlineLevel="1" x14ac:dyDescent="0.25">
      <c r="A158" s="44"/>
      <c r="B158" s="11" t="str">
        <f>CONCATENATE("          ", "5085", " - ", "PURCHASES @ COST-SOFTWARE")</f>
        <v xml:space="preserve">          5085 - PURCHASES @ COST-SOFTWARE</v>
      </c>
      <c r="C158" s="11"/>
      <c r="D158" s="2">
        <v>1301.73</v>
      </c>
      <c r="E158" s="2"/>
      <c r="F158" s="19">
        <f t="shared" si="8"/>
        <v>1.6207640880522901E-3</v>
      </c>
      <c r="G158" s="2"/>
      <c r="H158" s="2"/>
      <c r="I158" s="2"/>
      <c r="J158" s="19">
        <f t="shared" si="9"/>
        <v>0</v>
      </c>
      <c r="K158" s="2"/>
      <c r="L158" s="2">
        <f t="shared" si="10"/>
        <v>1301.73</v>
      </c>
      <c r="M158" s="2"/>
      <c r="N158" s="19">
        <f t="shared" si="11"/>
        <v>0</v>
      </c>
      <c r="O158" s="11"/>
      <c r="P158" s="2">
        <v>9162.39</v>
      </c>
      <c r="Q158" s="2"/>
      <c r="R158" s="19">
        <f t="shared" si="12"/>
        <v>8.9039277815957502E-4</v>
      </c>
      <c r="S158" s="2"/>
      <c r="T158" s="2"/>
      <c r="U158" s="2"/>
      <c r="V158" s="19">
        <f t="shared" si="13"/>
        <v>0</v>
      </c>
      <c r="W158" s="2"/>
      <c r="X158" s="2">
        <f t="shared" si="14"/>
        <v>9162.39</v>
      </c>
      <c r="Y158" s="2"/>
      <c r="Z158" s="19">
        <f t="shared" si="15"/>
        <v>0</v>
      </c>
    </row>
    <row r="159" spans="1:26" s="24" customFormat="1" hidden="1" outlineLevel="1" x14ac:dyDescent="0.25">
      <c r="A159" s="44"/>
      <c r="B159" s="11" t="str">
        <f>CONCATENATE("          ", "5086", " - ", "PURCHASES @ COST-COMPUTER SUPP")</f>
        <v xml:space="preserve">          5086 - PURCHASES @ COST-COMPUTER SUPP</v>
      </c>
      <c r="C159" s="11"/>
      <c r="D159" s="2">
        <v>4080.56</v>
      </c>
      <c r="E159" s="2"/>
      <c r="F159" s="19">
        <f t="shared" si="8"/>
        <v>5.0806427655064055E-3</v>
      </c>
      <c r="G159" s="2"/>
      <c r="H159" s="2"/>
      <c r="I159" s="2"/>
      <c r="J159" s="19">
        <f t="shared" si="9"/>
        <v>0</v>
      </c>
      <c r="K159" s="2"/>
      <c r="L159" s="2">
        <f t="shared" si="10"/>
        <v>4080.56</v>
      </c>
      <c r="M159" s="2"/>
      <c r="N159" s="19">
        <f t="shared" si="11"/>
        <v>0</v>
      </c>
      <c r="O159" s="11"/>
      <c r="P159" s="2">
        <v>29428.32</v>
      </c>
      <c r="Q159" s="2"/>
      <c r="R159" s="19">
        <f t="shared" si="12"/>
        <v>2.859817536840168E-3</v>
      </c>
      <c r="S159" s="2"/>
      <c r="T159" s="2"/>
      <c r="U159" s="2"/>
      <c r="V159" s="19">
        <f t="shared" si="13"/>
        <v>0</v>
      </c>
      <c r="W159" s="2"/>
      <c r="X159" s="2">
        <f t="shared" si="14"/>
        <v>29428.32</v>
      </c>
      <c r="Y159" s="2"/>
      <c r="Z159" s="19">
        <f t="shared" si="15"/>
        <v>0</v>
      </c>
    </row>
    <row r="160" spans="1:26" s="24" customFormat="1" hidden="1" outlineLevel="1" x14ac:dyDescent="0.25">
      <c r="A160" s="44"/>
      <c r="B160" s="11" t="str">
        <f>CONCATENATE("          ", "5088", " - ", "PURCHASES @ COST-MUSIC")</f>
        <v xml:space="preserve">          5088 - PURCHASES @ COST-MUSIC</v>
      </c>
      <c r="C160" s="11"/>
      <c r="D160" s="2">
        <v>6.9</v>
      </c>
      <c r="E160" s="2"/>
      <c r="F160" s="19">
        <f t="shared" si="8"/>
        <v>8.5910843320510415E-6</v>
      </c>
      <c r="G160" s="2"/>
      <c r="H160" s="2"/>
      <c r="I160" s="2"/>
      <c r="J160" s="19">
        <f t="shared" si="9"/>
        <v>0</v>
      </c>
      <c r="K160" s="2"/>
      <c r="L160" s="2">
        <f t="shared" si="10"/>
        <v>6.9</v>
      </c>
      <c r="M160" s="2"/>
      <c r="N160" s="19">
        <f t="shared" si="11"/>
        <v>0</v>
      </c>
      <c r="O160" s="11"/>
      <c r="P160" s="2">
        <v>95.65</v>
      </c>
      <c r="Q160" s="2"/>
      <c r="R160" s="19">
        <f t="shared" si="12"/>
        <v>9.2951805403353671E-6</v>
      </c>
      <c r="S160" s="2"/>
      <c r="T160" s="2"/>
      <c r="U160" s="2"/>
      <c r="V160" s="19">
        <f t="shared" si="13"/>
        <v>0</v>
      </c>
      <c r="W160" s="2"/>
      <c r="X160" s="2">
        <f t="shared" si="14"/>
        <v>95.65</v>
      </c>
      <c r="Y160" s="2"/>
      <c r="Z160" s="19">
        <f t="shared" si="15"/>
        <v>0</v>
      </c>
    </row>
    <row r="161" spans="1:26" s="24" customFormat="1" hidden="1" outlineLevel="1" x14ac:dyDescent="0.25">
      <c r="A161" s="44"/>
      <c r="B161" s="11" t="str">
        <f>CONCATENATE("          ", "5092", " - ", "PURCHASES @ COST-GRAD MERCH")</f>
        <v xml:space="preserve">          5092 - PURCHASES @ COST-GRAD MERCH</v>
      </c>
      <c r="C161" s="11"/>
      <c r="D161" s="2">
        <v>-137.06</v>
      </c>
      <c r="E161" s="2"/>
      <c r="F161" s="19">
        <f t="shared" si="8"/>
        <v>-1.7065130703636461E-4</v>
      </c>
      <c r="G161" s="2"/>
      <c r="H161" s="2"/>
      <c r="I161" s="2"/>
      <c r="J161" s="19">
        <f t="shared" si="9"/>
        <v>0</v>
      </c>
      <c r="K161" s="2"/>
      <c r="L161" s="2">
        <f t="shared" si="10"/>
        <v>-137.06</v>
      </c>
      <c r="M161" s="2"/>
      <c r="N161" s="19">
        <f t="shared" si="11"/>
        <v>0</v>
      </c>
      <c r="O161" s="11"/>
      <c r="P161" s="2">
        <v>1909.8</v>
      </c>
      <c r="Q161" s="2"/>
      <c r="R161" s="19">
        <f t="shared" si="12"/>
        <v>1.8559263769924185E-4</v>
      </c>
      <c r="S161" s="2"/>
      <c r="T161" s="2"/>
      <c r="U161" s="2"/>
      <c r="V161" s="19">
        <f t="shared" si="13"/>
        <v>0</v>
      </c>
      <c r="W161" s="2"/>
      <c r="X161" s="2">
        <f t="shared" si="14"/>
        <v>1909.8</v>
      </c>
      <c r="Y161" s="2"/>
      <c r="Z161" s="19">
        <f t="shared" si="15"/>
        <v>0</v>
      </c>
    </row>
    <row r="162" spans="1:26" s="24" customFormat="1" hidden="1" outlineLevel="1" x14ac:dyDescent="0.25">
      <c r="A162" s="44"/>
      <c r="B162" s="11" t="str">
        <f>CONCATENATE("          ", "5095", " - ", "PURCHASES @ COST-CUSTOMER SERV")</f>
        <v xml:space="preserve">          5095 - PURCHASES @ COST-CUSTOMER SERV</v>
      </c>
      <c r="C162" s="11"/>
      <c r="D162" s="2"/>
      <c r="E162" s="2"/>
      <c r="F162" s="19">
        <f t="shared" si="8"/>
        <v>0</v>
      </c>
      <c r="G162" s="2"/>
      <c r="H162" s="2"/>
      <c r="I162" s="2"/>
      <c r="J162" s="19">
        <f t="shared" si="9"/>
        <v>0</v>
      </c>
      <c r="K162" s="2"/>
      <c r="L162" s="2">
        <f t="shared" si="10"/>
        <v>0</v>
      </c>
      <c r="M162" s="2"/>
      <c r="N162" s="19">
        <f t="shared" si="11"/>
        <v>0</v>
      </c>
      <c r="O162" s="11"/>
      <c r="P162" s="2">
        <v>0</v>
      </c>
      <c r="Q162" s="2"/>
      <c r="R162" s="19">
        <f t="shared" si="12"/>
        <v>0</v>
      </c>
      <c r="S162" s="2"/>
      <c r="T162" s="2"/>
      <c r="U162" s="2"/>
      <c r="V162" s="19">
        <f t="shared" si="13"/>
        <v>0</v>
      </c>
      <c r="W162" s="2"/>
      <c r="X162" s="2">
        <f t="shared" si="14"/>
        <v>0</v>
      </c>
      <c r="Y162" s="2"/>
      <c r="Z162" s="19">
        <f t="shared" si="15"/>
        <v>0</v>
      </c>
    </row>
    <row r="163" spans="1:26" s="24" customFormat="1" hidden="1" outlineLevel="1" x14ac:dyDescent="0.25">
      <c r="A163" s="44"/>
      <c r="B163" s="11" t="str">
        <f>CONCATENATE("          ", "5200", " - ", "PURCHASES OFFSET")</f>
        <v xml:space="preserve">          5200 - PURCHASES OFFSET</v>
      </c>
      <c r="C163" s="11"/>
      <c r="D163" s="2">
        <v>-211466</v>
      </c>
      <c r="E163" s="2"/>
      <c r="F163" s="19">
        <f t="shared" si="8"/>
        <v>-0.26329307816833414</v>
      </c>
      <c r="G163" s="2"/>
      <c r="H163" s="2"/>
      <c r="I163" s="2"/>
      <c r="J163" s="19">
        <f t="shared" si="9"/>
        <v>0</v>
      </c>
      <c r="K163" s="2"/>
      <c r="L163" s="2">
        <f t="shared" si="10"/>
        <v>-211466</v>
      </c>
      <c r="M163" s="2"/>
      <c r="N163" s="19">
        <f t="shared" si="11"/>
        <v>0</v>
      </c>
      <c r="O163" s="11"/>
      <c r="P163" s="2">
        <v>-5724961</v>
      </c>
      <c r="Q163" s="2"/>
      <c r="R163" s="19">
        <f t="shared" si="12"/>
        <v>-0.55634653509021326</v>
      </c>
      <c r="S163" s="2"/>
      <c r="T163" s="2"/>
      <c r="U163" s="2"/>
      <c r="V163" s="19">
        <f t="shared" si="13"/>
        <v>0</v>
      </c>
      <c r="W163" s="2"/>
      <c r="X163" s="2">
        <f t="shared" si="14"/>
        <v>-5724961</v>
      </c>
      <c r="Y163" s="2"/>
      <c r="Z163" s="19">
        <f t="shared" si="15"/>
        <v>0</v>
      </c>
    </row>
    <row r="164" spans="1:26" s="24" customFormat="1" hidden="1" outlineLevel="1" x14ac:dyDescent="0.25">
      <c r="A164" s="44"/>
      <c r="B164" s="11" t="str">
        <f>CONCATENATE("          ", "5300", " - ", "COG$ OFFSET")</f>
        <v xml:space="preserve">          5300 - COG$ OFFSET</v>
      </c>
      <c r="C164" s="11"/>
      <c r="D164" s="2">
        <v>564760</v>
      </c>
      <c r="E164" s="2"/>
      <c r="F164" s="19">
        <f t="shared" si="8"/>
        <v>0.7031740271549487</v>
      </c>
      <c r="G164" s="2"/>
      <c r="H164" s="2"/>
      <c r="I164" s="2"/>
      <c r="J164" s="19">
        <f t="shared" si="9"/>
        <v>0</v>
      </c>
      <c r="K164" s="2"/>
      <c r="L164" s="2">
        <f t="shared" si="10"/>
        <v>564760</v>
      </c>
      <c r="M164" s="2"/>
      <c r="N164" s="19">
        <f t="shared" si="11"/>
        <v>0</v>
      </c>
      <c r="O164" s="11"/>
      <c r="P164" s="2">
        <v>5398957.4700000007</v>
      </c>
      <c r="Q164" s="2"/>
      <c r="R164" s="19">
        <f t="shared" si="12"/>
        <v>0.52466580672495833</v>
      </c>
      <c r="S164" s="2"/>
      <c r="T164" s="2"/>
      <c r="U164" s="2"/>
      <c r="V164" s="19">
        <f t="shared" si="13"/>
        <v>0</v>
      </c>
      <c r="W164" s="2"/>
      <c r="X164" s="2">
        <f t="shared" si="14"/>
        <v>5398957.4700000007</v>
      </c>
      <c r="Y164" s="2"/>
      <c r="Z164" s="19">
        <f t="shared" si="15"/>
        <v>0</v>
      </c>
    </row>
    <row r="165" spans="1:26" s="24" customFormat="1" hidden="1" outlineLevel="1" x14ac:dyDescent="0.25">
      <c r="A165" s="44"/>
      <c r="B165" s="11" t="str">
        <f>CONCATENATE("          ", "5500", " - ", "FREIGHT-IN")</f>
        <v xml:space="preserve">          5500 - FREIGHT-IN</v>
      </c>
      <c r="C165" s="11"/>
      <c r="D165" s="2">
        <v>33.950000000000003</v>
      </c>
      <c r="E165" s="2"/>
      <c r="F165" s="19">
        <f t="shared" si="8"/>
        <v>4.2270625083062737E-5</v>
      </c>
      <c r="G165" s="2"/>
      <c r="H165" s="2"/>
      <c r="I165" s="2"/>
      <c r="J165" s="19">
        <f t="shared" si="9"/>
        <v>0</v>
      </c>
      <c r="K165" s="2"/>
      <c r="L165" s="2">
        <f t="shared" si="10"/>
        <v>33.950000000000003</v>
      </c>
      <c r="M165" s="2"/>
      <c r="N165" s="19">
        <f t="shared" si="11"/>
        <v>0</v>
      </c>
      <c r="O165" s="11"/>
      <c r="P165" s="2">
        <v>156.47999999999999</v>
      </c>
      <c r="Q165" s="2"/>
      <c r="R165" s="19">
        <f t="shared" si="12"/>
        <v>1.5206584955061977E-5</v>
      </c>
      <c r="S165" s="2"/>
      <c r="T165" s="2"/>
      <c r="U165" s="2"/>
      <c r="V165" s="19">
        <f t="shared" si="13"/>
        <v>0</v>
      </c>
      <c r="W165" s="2"/>
      <c r="X165" s="2">
        <f t="shared" si="14"/>
        <v>156.47999999999999</v>
      </c>
      <c r="Y165" s="2"/>
      <c r="Z165" s="19">
        <f t="shared" si="15"/>
        <v>0</v>
      </c>
    </row>
    <row r="166" spans="1:26" s="24" customFormat="1" hidden="1" outlineLevel="1" x14ac:dyDescent="0.25">
      <c r="A166" s="44"/>
      <c r="B166" s="11" t="str">
        <f>CONCATENATE("          ", "5501", " - ", "FREIGHT-IN-NEW TEXT")</f>
        <v xml:space="preserve">          5501 - FREIGHT-IN-NEW TEXT</v>
      </c>
      <c r="C166" s="11"/>
      <c r="D166" s="2">
        <v>23947.37</v>
      </c>
      <c r="E166" s="2"/>
      <c r="F166" s="19">
        <f t="shared" si="8"/>
        <v>2.9816503652294078E-2</v>
      </c>
      <c r="G166" s="2"/>
      <c r="H166" s="2"/>
      <c r="I166" s="2"/>
      <c r="J166" s="19">
        <f t="shared" si="9"/>
        <v>0</v>
      </c>
      <c r="K166" s="2"/>
      <c r="L166" s="2">
        <f t="shared" si="10"/>
        <v>23947.37</v>
      </c>
      <c r="M166" s="2"/>
      <c r="N166" s="19">
        <f t="shared" si="11"/>
        <v>0</v>
      </c>
      <c r="O166" s="11"/>
      <c r="P166" s="2">
        <v>66024.739999999991</v>
      </c>
      <c r="Q166" s="2"/>
      <c r="R166" s="19">
        <f t="shared" si="12"/>
        <v>6.4162245523126191E-3</v>
      </c>
      <c r="S166" s="2"/>
      <c r="T166" s="2"/>
      <c r="U166" s="2"/>
      <c r="V166" s="19">
        <f t="shared" si="13"/>
        <v>0</v>
      </c>
      <c r="W166" s="2"/>
      <c r="X166" s="2">
        <f t="shared" si="14"/>
        <v>66024.739999999991</v>
      </c>
      <c r="Y166" s="2"/>
      <c r="Z166" s="19">
        <f t="shared" si="15"/>
        <v>0</v>
      </c>
    </row>
    <row r="167" spans="1:26" s="24" customFormat="1" hidden="1" outlineLevel="1" x14ac:dyDescent="0.25">
      <c r="A167" s="44"/>
      <c r="B167" s="11" t="str">
        <f>CONCATENATE("          ", "5502", " - ", "FREIGHT-IN-USED TEXT")</f>
        <v xml:space="preserve">          5502 - FREIGHT-IN-USED TEXT</v>
      </c>
      <c r="C167" s="11"/>
      <c r="D167" s="2">
        <v>2979.86</v>
      </c>
      <c r="E167" s="2"/>
      <c r="F167" s="19">
        <f t="shared" si="8"/>
        <v>3.7101780518413938E-3</v>
      </c>
      <c r="G167" s="2"/>
      <c r="H167" s="2"/>
      <c r="I167" s="2"/>
      <c r="J167" s="19">
        <f t="shared" si="9"/>
        <v>0</v>
      </c>
      <c r="K167" s="2"/>
      <c r="L167" s="2">
        <f t="shared" si="10"/>
        <v>2979.86</v>
      </c>
      <c r="M167" s="2"/>
      <c r="N167" s="19">
        <f t="shared" si="11"/>
        <v>0</v>
      </c>
      <c r="O167" s="11"/>
      <c r="P167" s="2">
        <v>14758.089999999998</v>
      </c>
      <c r="Q167" s="2"/>
      <c r="R167" s="19">
        <f t="shared" si="12"/>
        <v>1.4341778461110083E-3</v>
      </c>
      <c r="S167" s="2"/>
      <c r="T167" s="2"/>
      <c r="U167" s="2"/>
      <c r="V167" s="19">
        <f t="shared" si="13"/>
        <v>0</v>
      </c>
      <c r="W167" s="2"/>
      <c r="X167" s="2">
        <f t="shared" si="14"/>
        <v>14758.089999999998</v>
      </c>
      <c r="Y167" s="2"/>
      <c r="Z167" s="19">
        <f t="shared" si="15"/>
        <v>0</v>
      </c>
    </row>
    <row r="168" spans="1:26" s="24" customFormat="1" hidden="1" outlineLevel="1" x14ac:dyDescent="0.25">
      <c r="A168" s="44"/>
      <c r="B168" s="11" t="str">
        <f>CONCATENATE("          ", "5504", " - ", "FREIGHT-IN-DIGITAL TEXT")</f>
        <v xml:space="preserve">          5504 - FREIGHT-IN-DIGITAL TEXT</v>
      </c>
      <c r="C168" s="11"/>
      <c r="D168" s="2"/>
      <c r="E168" s="2"/>
      <c r="F168" s="19">
        <f t="shared" si="8"/>
        <v>0</v>
      </c>
      <c r="G168" s="2"/>
      <c r="H168" s="2"/>
      <c r="I168" s="2"/>
      <c r="J168" s="19">
        <f t="shared" si="9"/>
        <v>0</v>
      </c>
      <c r="K168" s="2"/>
      <c r="L168" s="2">
        <f t="shared" si="10"/>
        <v>0</v>
      </c>
      <c r="M168" s="2"/>
      <c r="N168" s="19">
        <f t="shared" si="11"/>
        <v>0</v>
      </c>
      <c r="O168" s="11"/>
      <c r="P168" s="2">
        <v>105.97</v>
      </c>
      <c r="Q168" s="2"/>
      <c r="R168" s="19">
        <f t="shared" si="12"/>
        <v>1.0298068811911539E-5</v>
      </c>
      <c r="S168" s="2"/>
      <c r="T168" s="2"/>
      <c r="U168" s="2"/>
      <c r="V168" s="19">
        <f t="shared" si="13"/>
        <v>0</v>
      </c>
      <c r="W168" s="2"/>
      <c r="X168" s="2">
        <f t="shared" si="14"/>
        <v>105.97</v>
      </c>
      <c r="Y168" s="2"/>
      <c r="Z168" s="19">
        <f t="shared" si="15"/>
        <v>0</v>
      </c>
    </row>
    <row r="169" spans="1:26" s="24" customFormat="1" hidden="1" outlineLevel="1" x14ac:dyDescent="0.25">
      <c r="A169" s="44"/>
      <c r="B169" s="11" t="str">
        <f>CONCATENATE("          ", "5513", " - ", "FREIGHT-IN-TRADE BOOKS")</f>
        <v xml:space="preserve">          5513 - FREIGHT-IN-TRADE BOOKS</v>
      </c>
      <c r="C169" s="11"/>
      <c r="D169" s="2"/>
      <c r="E169" s="2"/>
      <c r="F169" s="19">
        <f t="shared" si="8"/>
        <v>0</v>
      </c>
      <c r="G169" s="2"/>
      <c r="H169" s="2"/>
      <c r="I169" s="2"/>
      <c r="J169" s="19">
        <f t="shared" si="9"/>
        <v>0</v>
      </c>
      <c r="K169" s="2"/>
      <c r="L169" s="2">
        <f t="shared" si="10"/>
        <v>0</v>
      </c>
      <c r="M169" s="2"/>
      <c r="N169" s="19">
        <f t="shared" si="11"/>
        <v>0</v>
      </c>
      <c r="O169" s="11"/>
      <c r="P169" s="2">
        <v>21.41</v>
      </c>
      <c r="Q169" s="2"/>
      <c r="R169" s="19">
        <f t="shared" si="12"/>
        <v>2.0806044471362281E-6</v>
      </c>
      <c r="S169" s="2"/>
      <c r="T169" s="2"/>
      <c r="U169" s="2"/>
      <c r="V169" s="19">
        <f t="shared" si="13"/>
        <v>0</v>
      </c>
      <c r="W169" s="2"/>
      <c r="X169" s="2">
        <f t="shared" si="14"/>
        <v>21.41</v>
      </c>
      <c r="Y169" s="2"/>
      <c r="Z169" s="19">
        <f t="shared" si="15"/>
        <v>0</v>
      </c>
    </row>
    <row r="170" spans="1:26" s="24" customFormat="1" hidden="1" outlineLevel="1" x14ac:dyDescent="0.25">
      <c r="A170" s="44"/>
      <c r="B170" s="11" t="str">
        <f>CONCATENATE("          ", "5518", " - ", "FREIGHT-IN-STUDY GUIDES")</f>
        <v xml:space="preserve">          5518 - FREIGHT-IN-STUDY GUIDES</v>
      </c>
      <c r="C170" s="11"/>
      <c r="D170" s="2"/>
      <c r="E170" s="2"/>
      <c r="F170" s="19">
        <f t="shared" si="8"/>
        <v>0</v>
      </c>
      <c r="G170" s="2"/>
      <c r="H170" s="2"/>
      <c r="I170" s="2"/>
      <c r="J170" s="19">
        <f t="shared" si="9"/>
        <v>0</v>
      </c>
      <c r="K170" s="2"/>
      <c r="L170" s="2">
        <f t="shared" si="10"/>
        <v>0</v>
      </c>
      <c r="M170" s="2"/>
      <c r="N170" s="19">
        <f t="shared" si="11"/>
        <v>0</v>
      </c>
      <c r="O170" s="11"/>
      <c r="P170" s="2">
        <v>21.13</v>
      </c>
      <c r="Q170" s="2"/>
      <c r="R170" s="19">
        <f t="shared" si="12"/>
        <v>2.0533943002329982E-6</v>
      </c>
      <c r="S170" s="2"/>
      <c r="T170" s="2"/>
      <c r="U170" s="2"/>
      <c r="V170" s="19">
        <f t="shared" si="13"/>
        <v>0</v>
      </c>
      <c r="W170" s="2"/>
      <c r="X170" s="2">
        <f t="shared" si="14"/>
        <v>21.13</v>
      </c>
      <c r="Y170" s="2"/>
      <c r="Z170" s="19">
        <f t="shared" si="15"/>
        <v>0</v>
      </c>
    </row>
    <row r="171" spans="1:26" s="24" customFormat="1" hidden="1" outlineLevel="1" x14ac:dyDescent="0.25">
      <c r="A171" s="44"/>
      <c r="B171" s="11" t="str">
        <f>CONCATENATE("          ", "5525", " - ", "FREIGHT-IN-TEST FORMS")</f>
        <v xml:space="preserve">          5525 - FREIGHT-IN-TEST FORMS</v>
      </c>
      <c r="C171" s="11"/>
      <c r="D171" s="2">
        <v>532.61</v>
      </c>
      <c r="E171" s="2"/>
      <c r="F171" s="19">
        <f t="shared" si="8"/>
        <v>6.6314455450633414E-4</v>
      </c>
      <c r="G171" s="2"/>
      <c r="H171" s="2"/>
      <c r="I171" s="2"/>
      <c r="J171" s="19">
        <f t="shared" si="9"/>
        <v>0</v>
      </c>
      <c r="K171" s="2"/>
      <c r="L171" s="2">
        <f t="shared" si="10"/>
        <v>532.61</v>
      </c>
      <c r="M171" s="2"/>
      <c r="N171" s="19">
        <f t="shared" si="11"/>
        <v>0</v>
      </c>
      <c r="O171" s="11"/>
      <c r="P171" s="2">
        <v>1155.02</v>
      </c>
      <c r="Q171" s="2"/>
      <c r="R171" s="19">
        <f t="shared" si="12"/>
        <v>1.1224379955774338E-4</v>
      </c>
      <c r="S171" s="2"/>
      <c r="T171" s="2"/>
      <c r="U171" s="2"/>
      <c r="V171" s="19">
        <f t="shared" si="13"/>
        <v>0</v>
      </c>
      <c r="W171" s="2"/>
      <c r="X171" s="2">
        <f t="shared" si="14"/>
        <v>1155.02</v>
      </c>
      <c r="Y171" s="2"/>
      <c r="Z171" s="19">
        <f t="shared" si="15"/>
        <v>0</v>
      </c>
    </row>
    <row r="172" spans="1:26" s="24" customFormat="1" hidden="1" outlineLevel="1" x14ac:dyDescent="0.25">
      <c r="A172" s="44"/>
      <c r="B172" s="11" t="str">
        <f>CONCATENATE("          ", "5526", " - ", "FREIGHT-IN-WRITING INSTRUMENTS")</f>
        <v xml:space="preserve">          5526 - FREIGHT-IN-WRITING INSTRUMENTS</v>
      </c>
      <c r="C172" s="11"/>
      <c r="D172" s="2"/>
      <c r="E172" s="2"/>
      <c r="F172" s="19">
        <f t="shared" si="8"/>
        <v>0</v>
      </c>
      <c r="G172" s="2"/>
      <c r="H172" s="2"/>
      <c r="I172" s="2"/>
      <c r="J172" s="19">
        <f t="shared" si="9"/>
        <v>0</v>
      </c>
      <c r="K172" s="2"/>
      <c r="L172" s="2">
        <f t="shared" si="10"/>
        <v>0</v>
      </c>
      <c r="M172" s="2"/>
      <c r="N172" s="19">
        <f t="shared" si="11"/>
        <v>0</v>
      </c>
      <c r="O172" s="11"/>
      <c r="P172" s="2">
        <v>260.35000000000002</v>
      </c>
      <c r="Q172" s="2"/>
      <c r="R172" s="19">
        <f t="shared" si="12"/>
        <v>2.5300577665199297E-5</v>
      </c>
      <c r="S172" s="2"/>
      <c r="T172" s="2"/>
      <c r="U172" s="2"/>
      <c r="V172" s="19">
        <f t="shared" si="13"/>
        <v>0</v>
      </c>
      <c r="W172" s="2"/>
      <c r="X172" s="2">
        <f t="shared" si="14"/>
        <v>260.35000000000002</v>
      </c>
      <c r="Y172" s="2"/>
      <c r="Z172" s="19">
        <f t="shared" si="15"/>
        <v>0</v>
      </c>
    </row>
    <row r="173" spans="1:26" s="24" customFormat="1" hidden="1" outlineLevel="1" x14ac:dyDescent="0.25">
      <c r="A173" s="44"/>
      <c r="B173" s="11" t="str">
        <f>CONCATENATE("          ", "5527", " - ", "FREIGHT-IN-SCHOOL SUPPLIES")</f>
        <v xml:space="preserve">          5527 - FREIGHT-IN-SCHOOL SUPPLIES</v>
      </c>
      <c r="C173" s="11"/>
      <c r="D173" s="2">
        <v>431.76</v>
      </c>
      <c r="E173" s="2"/>
      <c r="F173" s="19">
        <f t="shared" si="8"/>
        <v>5.3757776394295037E-4</v>
      </c>
      <c r="G173" s="2"/>
      <c r="H173" s="2"/>
      <c r="I173" s="2"/>
      <c r="J173" s="19">
        <f t="shared" si="9"/>
        <v>0</v>
      </c>
      <c r="K173" s="2"/>
      <c r="L173" s="2">
        <f t="shared" si="10"/>
        <v>431.76</v>
      </c>
      <c r="M173" s="2"/>
      <c r="N173" s="19">
        <f t="shared" si="11"/>
        <v>0</v>
      </c>
      <c r="O173" s="11"/>
      <c r="P173" s="2">
        <v>1651.6</v>
      </c>
      <c r="Q173" s="2"/>
      <c r="R173" s="19">
        <f t="shared" si="12"/>
        <v>1.605009950906209E-4</v>
      </c>
      <c r="S173" s="2"/>
      <c r="T173" s="2"/>
      <c r="U173" s="2"/>
      <c r="V173" s="19">
        <f t="shared" si="13"/>
        <v>0</v>
      </c>
      <c r="W173" s="2"/>
      <c r="X173" s="2">
        <f t="shared" si="14"/>
        <v>1651.6</v>
      </c>
      <c r="Y173" s="2"/>
      <c r="Z173" s="19">
        <f t="shared" si="15"/>
        <v>0</v>
      </c>
    </row>
    <row r="174" spans="1:26" s="24" customFormat="1" hidden="1" outlineLevel="1" x14ac:dyDescent="0.25">
      <c r="A174" s="44"/>
      <c r="B174" s="11" t="str">
        <f>CONCATENATE("          ", "5528", " - ", "FREIGHT-IN-ART/TECH")</f>
        <v xml:space="preserve">          5528 - FREIGHT-IN-ART/TECH</v>
      </c>
      <c r="C174" s="11"/>
      <c r="D174" s="2">
        <v>164.79</v>
      </c>
      <c r="E174" s="2"/>
      <c r="F174" s="19">
        <f t="shared" si="8"/>
        <v>2.0517750537372333E-4</v>
      </c>
      <c r="G174" s="2"/>
      <c r="H174" s="2"/>
      <c r="I174" s="2"/>
      <c r="J174" s="19">
        <f t="shared" si="9"/>
        <v>0</v>
      </c>
      <c r="K174" s="2"/>
      <c r="L174" s="2">
        <f t="shared" si="10"/>
        <v>164.79</v>
      </c>
      <c r="M174" s="2"/>
      <c r="N174" s="19">
        <f t="shared" si="11"/>
        <v>0</v>
      </c>
      <c r="O174" s="11"/>
      <c r="P174" s="2">
        <v>1496.25</v>
      </c>
      <c r="Q174" s="2"/>
      <c r="R174" s="19">
        <f t="shared" si="12"/>
        <v>1.4540422251413268E-4</v>
      </c>
      <c r="S174" s="2"/>
      <c r="T174" s="2"/>
      <c r="U174" s="2"/>
      <c r="V174" s="19">
        <f t="shared" si="13"/>
        <v>0</v>
      </c>
      <c r="W174" s="2"/>
      <c r="X174" s="2">
        <f t="shared" si="14"/>
        <v>1496.25</v>
      </c>
      <c r="Y174" s="2"/>
      <c r="Z174" s="19">
        <f t="shared" si="15"/>
        <v>0</v>
      </c>
    </row>
    <row r="175" spans="1:26" s="24" customFormat="1" hidden="1" outlineLevel="1" x14ac:dyDescent="0.25">
      <c r="A175" s="44"/>
      <c r="B175" s="11" t="str">
        <f>CONCATENATE("          ", "5540", " - ", "FREIGHT-IN-LOGO CLOTHING")</f>
        <v xml:space="preserve">          5540 - FREIGHT-IN-LOGO CLOTHING</v>
      </c>
      <c r="C175" s="11"/>
      <c r="D175" s="2">
        <v>2803.41</v>
      </c>
      <c r="E175" s="2"/>
      <c r="F175" s="19">
        <f t="shared" si="8"/>
        <v>3.4904828590311895E-3</v>
      </c>
      <c r="G175" s="2"/>
      <c r="H175" s="2"/>
      <c r="I175" s="2"/>
      <c r="J175" s="19">
        <f t="shared" si="9"/>
        <v>0</v>
      </c>
      <c r="K175" s="2"/>
      <c r="L175" s="2">
        <f t="shared" si="10"/>
        <v>2803.41</v>
      </c>
      <c r="M175" s="2"/>
      <c r="N175" s="19">
        <f t="shared" si="11"/>
        <v>0</v>
      </c>
      <c r="O175" s="11"/>
      <c r="P175" s="2">
        <v>28481.3</v>
      </c>
      <c r="Q175" s="2"/>
      <c r="R175" s="19">
        <f t="shared" si="12"/>
        <v>2.7677869892676807E-3</v>
      </c>
      <c r="S175" s="2"/>
      <c r="T175" s="2"/>
      <c r="U175" s="2"/>
      <c r="V175" s="19">
        <f t="shared" si="13"/>
        <v>0</v>
      </c>
      <c r="W175" s="2"/>
      <c r="X175" s="2">
        <f t="shared" si="14"/>
        <v>28481.3</v>
      </c>
      <c r="Y175" s="2"/>
      <c r="Z175" s="19">
        <f t="shared" si="15"/>
        <v>0</v>
      </c>
    </row>
    <row r="176" spans="1:26" s="24" customFormat="1" hidden="1" outlineLevel="1" x14ac:dyDescent="0.25">
      <c r="A176" s="44"/>
      <c r="B176" s="11" t="str">
        <f>CONCATENATE("          ", "5541", " - ", "FREIGHT-IN-LOGO GIFTS")</f>
        <v xml:space="preserve">          5541 - FREIGHT-IN-LOGO GIFTS</v>
      </c>
      <c r="C176" s="11"/>
      <c r="D176" s="2">
        <v>486.35</v>
      </c>
      <c r="E176" s="2"/>
      <c r="F176" s="19">
        <f t="shared" si="8"/>
        <v>6.0554693694101804E-4</v>
      </c>
      <c r="G176" s="2"/>
      <c r="H176" s="2"/>
      <c r="I176" s="2"/>
      <c r="J176" s="19">
        <f t="shared" si="9"/>
        <v>0</v>
      </c>
      <c r="K176" s="2"/>
      <c r="L176" s="2">
        <f t="shared" si="10"/>
        <v>486.35</v>
      </c>
      <c r="M176" s="2"/>
      <c r="N176" s="19">
        <f t="shared" si="11"/>
        <v>0</v>
      </c>
      <c r="O176" s="11"/>
      <c r="P176" s="2">
        <v>4073.92</v>
      </c>
      <c r="Q176" s="2"/>
      <c r="R176" s="19">
        <f t="shared" si="12"/>
        <v>3.9589986311430275E-4</v>
      </c>
      <c r="S176" s="2"/>
      <c r="T176" s="2"/>
      <c r="U176" s="2"/>
      <c r="V176" s="19">
        <f t="shared" si="13"/>
        <v>0</v>
      </c>
      <c r="W176" s="2"/>
      <c r="X176" s="2">
        <f t="shared" si="14"/>
        <v>4073.92</v>
      </c>
      <c r="Y176" s="2"/>
      <c r="Z176" s="19">
        <f t="shared" si="15"/>
        <v>0</v>
      </c>
    </row>
    <row r="177" spans="1:26" s="24" customFormat="1" hidden="1" outlineLevel="1" x14ac:dyDescent="0.25">
      <c r="A177" s="44"/>
      <c r="B177" s="11" t="str">
        <f>CONCATENATE("          ", "5542", " - ", "FREIGHT-IN-EVERYDAY GIFTS")</f>
        <v xml:space="preserve">          5542 - FREIGHT-IN-EVERYDAY GIFTS</v>
      </c>
      <c r="C177" s="11"/>
      <c r="D177" s="2">
        <v>43.37</v>
      </c>
      <c r="E177" s="2"/>
      <c r="F177" s="19">
        <f t="shared" si="8"/>
        <v>5.3999322823341107E-5</v>
      </c>
      <c r="G177" s="2"/>
      <c r="H177" s="2"/>
      <c r="I177" s="2"/>
      <c r="J177" s="19">
        <f t="shared" si="9"/>
        <v>0</v>
      </c>
      <c r="K177" s="2"/>
      <c r="L177" s="2">
        <f t="shared" si="10"/>
        <v>43.37</v>
      </c>
      <c r="M177" s="2"/>
      <c r="N177" s="19">
        <f t="shared" si="11"/>
        <v>0</v>
      </c>
      <c r="O177" s="11"/>
      <c r="P177" s="2">
        <v>1751.7</v>
      </c>
      <c r="Q177" s="2"/>
      <c r="R177" s="19">
        <f t="shared" si="12"/>
        <v>1.7022862260852547E-4</v>
      </c>
      <c r="S177" s="2"/>
      <c r="T177" s="2"/>
      <c r="U177" s="2"/>
      <c r="V177" s="19">
        <f t="shared" si="13"/>
        <v>0</v>
      </c>
      <c r="W177" s="2"/>
      <c r="X177" s="2">
        <f t="shared" si="14"/>
        <v>1751.7</v>
      </c>
      <c r="Y177" s="2"/>
      <c r="Z177" s="19">
        <f t="shared" si="15"/>
        <v>0</v>
      </c>
    </row>
    <row r="178" spans="1:26" s="24" customFormat="1" hidden="1" outlineLevel="1" x14ac:dyDescent="0.25">
      <c r="A178" s="44"/>
      <c r="B178" s="11" t="str">
        <f>CONCATENATE("          ", "5543", " - ", "FREIGHT-IN-CARDS")</f>
        <v xml:space="preserve">          5543 - FREIGHT-IN-CARDS</v>
      </c>
      <c r="C178" s="11"/>
      <c r="D178" s="2">
        <v>2779.77</v>
      </c>
      <c r="E178" s="2"/>
      <c r="F178" s="19">
        <f t="shared" si="8"/>
        <v>3.4610490570587712E-3</v>
      </c>
      <c r="G178" s="2"/>
      <c r="H178" s="2"/>
      <c r="I178" s="2"/>
      <c r="J178" s="19">
        <f t="shared" si="9"/>
        <v>0</v>
      </c>
      <c r="K178" s="2"/>
      <c r="L178" s="2">
        <f t="shared" si="10"/>
        <v>2779.77</v>
      </c>
      <c r="M178" s="2"/>
      <c r="N178" s="19">
        <f t="shared" si="11"/>
        <v>0</v>
      </c>
      <c r="O178" s="11"/>
      <c r="P178" s="2">
        <v>2901.12</v>
      </c>
      <c r="Q178" s="2"/>
      <c r="R178" s="19">
        <f t="shared" si="12"/>
        <v>2.8192821922820425E-4</v>
      </c>
      <c r="S178" s="2"/>
      <c r="T178" s="2"/>
      <c r="U178" s="2"/>
      <c r="V178" s="19">
        <f t="shared" si="13"/>
        <v>0</v>
      </c>
      <c r="W178" s="2"/>
      <c r="X178" s="2">
        <f t="shared" si="14"/>
        <v>2901.12</v>
      </c>
      <c r="Y178" s="2"/>
      <c r="Z178" s="19">
        <f t="shared" si="15"/>
        <v>0</v>
      </c>
    </row>
    <row r="179" spans="1:26" s="24" customFormat="1" hidden="1" outlineLevel="1" x14ac:dyDescent="0.25">
      <c r="A179" s="44"/>
      <c r="B179" s="11" t="str">
        <f>CONCATENATE("          ", "5544", " - ", "FREIGHT-IN-ACCESSORIES")</f>
        <v xml:space="preserve">          5544 - FREIGHT-IN-ACCESSORIES</v>
      </c>
      <c r="C179" s="11"/>
      <c r="D179" s="2">
        <v>41.13</v>
      </c>
      <c r="E179" s="2"/>
      <c r="F179" s="19">
        <f t="shared" si="8"/>
        <v>5.1210333127139039E-5</v>
      </c>
      <c r="G179" s="2"/>
      <c r="H179" s="2"/>
      <c r="I179" s="2"/>
      <c r="J179" s="19">
        <f t="shared" si="9"/>
        <v>0</v>
      </c>
      <c r="K179" s="2"/>
      <c r="L179" s="2">
        <f t="shared" si="10"/>
        <v>41.13</v>
      </c>
      <c r="M179" s="2"/>
      <c r="N179" s="19">
        <f t="shared" si="11"/>
        <v>0</v>
      </c>
      <c r="O179" s="11"/>
      <c r="P179" s="2">
        <v>483.44</v>
      </c>
      <c r="Q179" s="2"/>
      <c r="R179" s="19">
        <f t="shared" si="12"/>
        <v>4.6980262210347409E-5</v>
      </c>
      <c r="S179" s="2"/>
      <c r="T179" s="2"/>
      <c r="U179" s="2"/>
      <c r="V179" s="19">
        <f t="shared" si="13"/>
        <v>0</v>
      </c>
      <c r="W179" s="2"/>
      <c r="X179" s="2">
        <f t="shared" si="14"/>
        <v>483.44</v>
      </c>
      <c r="Y179" s="2"/>
      <c r="Z179" s="19">
        <f t="shared" si="15"/>
        <v>0</v>
      </c>
    </row>
    <row r="180" spans="1:26" s="24" customFormat="1" hidden="1" outlineLevel="1" x14ac:dyDescent="0.25">
      <c r="A180" s="44"/>
      <c r="B180" s="11" t="str">
        <f>CONCATENATE("          ", "5545", " - ", "FREIGHT-IN-SPECIAL ORDERS")</f>
        <v xml:space="preserve">          5545 - FREIGHT-IN-SPECIAL ORDERS</v>
      </c>
      <c r="C180" s="11"/>
      <c r="D180" s="2">
        <v>4.49</v>
      </c>
      <c r="E180" s="2"/>
      <c r="F180" s="19">
        <f t="shared" si="8"/>
        <v>5.5904302392621999E-6</v>
      </c>
      <c r="G180" s="2"/>
      <c r="H180" s="2"/>
      <c r="I180" s="2"/>
      <c r="J180" s="19">
        <f t="shared" si="9"/>
        <v>0</v>
      </c>
      <c r="K180" s="2"/>
      <c r="L180" s="2">
        <f t="shared" si="10"/>
        <v>4.49</v>
      </c>
      <c r="M180" s="2"/>
      <c r="N180" s="19">
        <f t="shared" si="11"/>
        <v>0</v>
      </c>
      <c r="O180" s="11"/>
      <c r="P180" s="2">
        <v>846.39</v>
      </c>
      <c r="Q180" s="2"/>
      <c r="R180" s="19">
        <f t="shared" si="12"/>
        <v>8.2251415133658659E-5</v>
      </c>
      <c r="S180" s="2"/>
      <c r="T180" s="2"/>
      <c r="U180" s="2"/>
      <c r="V180" s="19">
        <f t="shared" si="13"/>
        <v>0</v>
      </c>
      <c r="W180" s="2"/>
      <c r="X180" s="2">
        <f t="shared" si="14"/>
        <v>846.39</v>
      </c>
      <c r="Y180" s="2"/>
      <c r="Z180" s="19">
        <f t="shared" si="15"/>
        <v>0</v>
      </c>
    </row>
    <row r="181" spans="1:26" s="24" customFormat="1" hidden="1" outlineLevel="1" x14ac:dyDescent="0.25">
      <c r="A181" s="44"/>
      <c r="B181" s="11" t="str">
        <f>CONCATENATE("          ", "5581", " - ", "FREIGHT-IN-ELECTRONICS")</f>
        <v xml:space="preserve">          5581 - FREIGHT-IN-ELECTRONICS</v>
      </c>
      <c r="C181" s="11"/>
      <c r="D181" s="2"/>
      <c r="E181" s="2"/>
      <c r="F181" s="19">
        <f t="shared" si="8"/>
        <v>0</v>
      </c>
      <c r="G181" s="2"/>
      <c r="H181" s="2"/>
      <c r="I181" s="2"/>
      <c r="J181" s="19">
        <f t="shared" si="9"/>
        <v>0</v>
      </c>
      <c r="K181" s="2"/>
      <c r="L181" s="2">
        <f t="shared" si="10"/>
        <v>0</v>
      </c>
      <c r="M181" s="2"/>
      <c r="N181" s="19">
        <f t="shared" si="11"/>
        <v>0</v>
      </c>
      <c r="O181" s="11"/>
      <c r="P181" s="2">
        <v>105.75</v>
      </c>
      <c r="Q181" s="2"/>
      <c r="R181" s="19">
        <f t="shared" si="12"/>
        <v>1.0276689410773287E-5</v>
      </c>
      <c r="S181" s="2"/>
      <c r="T181" s="2"/>
      <c r="U181" s="2"/>
      <c r="V181" s="19">
        <f t="shared" si="13"/>
        <v>0</v>
      </c>
      <c r="W181" s="2"/>
      <c r="X181" s="2">
        <f t="shared" si="14"/>
        <v>105.75</v>
      </c>
      <c r="Y181" s="2"/>
      <c r="Z181" s="19">
        <f t="shared" si="15"/>
        <v>0</v>
      </c>
    </row>
    <row r="182" spans="1:26" s="24" customFormat="1" hidden="1" outlineLevel="1" x14ac:dyDescent="0.25">
      <c r="A182" s="44"/>
      <c r="B182" s="11" t="str">
        <f>CONCATENATE("          ", "5582", " - ", "FREIGHT-IN-COMPUTER HARDWARE")</f>
        <v xml:space="preserve">          5582 - FREIGHT-IN-COMPUTER HARDWARE</v>
      </c>
      <c r="C182" s="11"/>
      <c r="D182" s="2"/>
      <c r="E182" s="2"/>
      <c r="F182" s="19">
        <f t="shared" si="8"/>
        <v>0</v>
      </c>
      <c r="G182" s="2"/>
      <c r="H182" s="2"/>
      <c r="I182" s="2"/>
      <c r="J182" s="19">
        <f t="shared" si="9"/>
        <v>0</v>
      </c>
      <c r="K182" s="2"/>
      <c r="L182" s="2">
        <f t="shared" si="10"/>
        <v>0</v>
      </c>
      <c r="M182" s="2"/>
      <c r="N182" s="19">
        <f t="shared" si="11"/>
        <v>0</v>
      </c>
      <c r="O182" s="11"/>
      <c r="P182" s="2">
        <v>4.84</v>
      </c>
      <c r="Q182" s="2"/>
      <c r="R182" s="19">
        <f t="shared" si="12"/>
        <v>4.7034682504153865E-7</v>
      </c>
      <c r="S182" s="2"/>
      <c r="T182" s="2"/>
      <c r="U182" s="2"/>
      <c r="V182" s="19">
        <f t="shared" si="13"/>
        <v>0</v>
      </c>
      <c r="W182" s="2"/>
      <c r="X182" s="2">
        <f t="shared" si="14"/>
        <v>4.84</v>
      </c>
      <c r="Y182" s="2"/>
      <c r="Z182" s="19">
        <f t="shared" si="15"/>
        <v>0</v>
      </c>
    </row>
    <row r="183" spans="1:26" s="24" customFormat="1" hidden="1" outlineLevel="1" x14ac:dyDescent="0.25">
      <c r="A183" s="44"/>
      <c r="B183" s="11" t="str">
        <f>CONCATENATE("          ", "5583", " - ", "FREIGHT-IN-COMPUTER EQUIPMENT")</f>
        <v xml:space="preserve">          5583 - FREIGHT-IN-COMPUTER EQUIPMENT</v>
      </c>
      <c r="C183" s="11"/>
      <c r="D183" s="2">
        <v>8.3800000000000008</v>
      </c>
      <c r="E183" s="2"/>
      <c r="F183" s="19">
        <f t="shared" si="8"/>
        <v>1.04338096670417E-5</v>
      </c>
      <c r="G183" s="2"/>
      <c r="H183" s="2"/>
      <c r="I183" s="2"/>
      <c r="J183" s="19">
        <f t="shared" si="9"/>
        <v>0</v>
      </c>
      <c r="K183" s="2"/>
      <c r="L183" s="2">
        <f t="shared" si="10"/>
        <v>8.3800000000000008</v>
      </c>
      <c r="M183" s="2"/>
      <c r="N183" s="19">
        <f t="shared" si="11"/>
        <v>0</v>
      </c>
      <c r="O183" s="11"/>
      <c r="P183" s="2">
        <v>57.5</v>
      </c>
      <c r="Q183" s="2"/>
      <c r="R183" s="19">
        <f t="shared" si="12"/>
        <v>5.5877980247703457E-6</v>
      </c>
      <c r="S183" s="2"/>
      <c r="T183" s="2"/>
      <c r="U183" s="2"/>
      <c r="V183" s="19">
        <f t="shared" si="13"/>
        <v>0</v>
      </c>
      <c r="W183" s="2"/>
      <c r="X183" s="2">
        <f t="shared" si="14"/>
        <v>57.5</v>
      </c>
      <c r="Y183" s="2"/>
      <c r="Z183" s="19">
        <f t="shared" si="15"/>
        <v>0</v>
      </c>
    </row>
    <row r="184" spans="1:26" s="24" customFormat="1" hidden="1" outlineLevel="1" x14ac:dyDescent="0.25">
      <c r="A184" s="44"/>
      <c r="B184" s="11" t="str">
        <f>CONCATENATE("          ", "5586", " - ", "FREIGHT-IN-COMPUTER SUPPLIES")</f>
        <v xml:space="preserve">          5586 - FREIGHT-IN-COMPUTER SUPPLIES</v>
      </c>
      <c r="C184" s="11"/>
      <c r="D184" s="2">
        <v>74.489999999999995</v>
      </c>
      <c r="E184" s="2"/>
      <c r="F184" s="19">
        <f t="shared" si="8"/>
        <v>9.2746358245577107E-5</v>
      </c>
      <c r="G184" s="2"/>
      <c r="H184" s="2"/>
      <c r="I184" s="2"/>
      <c r="J184" s="19">
        <f t="shared" si="9"/>
        <v>0</v>
      </c>
      <c r="K184" s="2"/>
      <c r="L184" s="2">
        <f t="shared" si="10"/>
        <v>74.489999999999995</v>
      </c>
      <c r="M184" s="2"/>
      <c r="N184" s="19">
        <f t="shared" si="11"/>
        <v>0</v>
      </c>
      <c r="O184" s="11"/>
      <c r="P184" s="2">
        <v>270.31</v>
      </c>
      <c r="Q184" s="2"/>
      <c r="R184" s="19">
        <f t="shared" si="12"/>
        <v>2.6268481462185604E-5</v>
      </c>
      <c r="S184" s="2"/>
      <c r="T184" s="2"/>
      <c r="U184" s="2"/>
      <c r="V184" s="19">
        <f t="shared" si="13"/>
        <v>0</v>
      </c>
      <c r="W184" s="2"/>
      <c r="X184" s="2">
        <f t="shared" si="14"/>
        <v>270.31</v>
      </c>
      <c r="Y184" s="2"/>
      <c r="Z184" s="19">
        <f t="shared" si="15"/>
        <v>0</v>
      </c>
    </row>
    <row r="185" spans="1:26" s="24" customFormat="1" hidden="1" outlineLevel="1" x14ac:dyDescent="0.25">
      <c r="A185" s="44"/>
      <c r="B185" s="11" t="str">
        <f>CONCATENATE("          ", "5592", " - ", "FREIGHT-IN-GRAD MERCH")</f>
        <v xml:space="preserve">          5592 - FREIGHT-IN-GRAD MERCH</v>
      </c>
      <c r="C185" s="11"/>
      <c r="D185" s="2"/>
      <c r="E185" s="2"/>
      <c r="F185" s="19">
        <f t="shared" si="8"/>
        <v>0</v>
      </c>
      <c r="G185" s="2"/>
      <c r="H185" s="2"/>
      <c r="I185" s="2"/>
      <c r="J185" s="19">
        <f t="shared" si="9"/>
        <v>0</v>
      </c>
      <c r="K185" s="2"/>
      <c r="L185" s="2">
        <f t="shared" si="10"/>
        <v>0</v>
      </c>
      <c r="M185" s="2"/>
      <c r="N185" s="19">
        <f t="shared" si="11"/>
        <v>0</v>
      </c>
      <c r="O185" s="11"/>
      <c r="P185" s="2">
        <v>105.78</v>
      </c>
      <c r="Q185" s="2"/>
      <c r="R185" s="19">
        <f t="shared" si="12"/>
        <v>1.0279604783655777E-5</v>
      </c>
      <c r="S185" s="2"/>
      <c r="T185" s="2"/>
      <c r="U185" s="2"/>
      <c r="V185" s="19">
        <f t="shared" si="13"/>
        <v>0</v>
      </c>
      <c r="W185" s="2"/>
      <c r="X185" s="2">
        <f t="shared" si="14"/>
        <v>105.78</v>
      </c>
      <c r="Y185" s="2"/>
      <c r="Z185" s="19">
        <f t="shared" si="15"/>
        <v>0</v>
      </c>
    </row>
    <row r="186" spans="1:26" x14ac:dyDescent="0.25">
      <c r="A186" s="9"/>
      <c r="B186" s="10"/>
      <c r="C186" s="10"/>
      <c r="D186" s="3"/>
      <c r="E186" s="3"/>
      <c r="F186" s="8"/>
      <c r="G186" s="3"/>
      <c r="H186" s="3"/>
      <c r="I186" s="3"/>
      <c r="J186" s="8"/>
      <c r="K186" s="3"/>
      <c r="L186" s="3"/>
      <c r="M186" s="3"/>
      <c r="N186" s="8"/>
      <c r="O186" s="10"/>
      <c r="P186" s="3"/>
      <c r="Q186" s="3"/>
      <c r="R186" s="8"/>
      <c r="S186" s="3"/>
      <c r="T186" s="3"/>
      <c r="U186" s="3"/>
      <c r="V186" s="8"/>
      <c r="W186" s="3"/>
      <c r="X186" s="3"/>
      <c r="Y186" s="3"/>
      <c r="Z186" s="8"/>
    </row>
    <row r="187" spans="1:26" s="23" customFormat="1" x14ac:dyDescent="0.25">
      <c r="A187" s="10"/>
      <c r="B187" s="28" t="s">
        <v>6</v>
      </c>
      <c r="C187" s="28"/>
      <c r="D187" s="21">
        <f>D12-D127</f>
        <v>216959.27999999968</v>
      </c>
      <c r="E187" s="14"/>
      <c r="F187" s="22">
        <f>IF(D$12=0,0,D187/D$12)</f>
        <v>0.27013267697116988</v>
      </c>
      <c r="G187" s="14"/>
      <c r="H187" s="21">
        <f>H12-H127</f>
        <v>420126.16213000007</v>
      </c>
      <c r="I187" s="14"/>
      <c r="J187" s="22">
        <f>IF(H$12=0,0,H187/H$12)</f>
        <v>0.46413152416391829</v>
      </c>
      <c r="K187" s="15"/>
      <c r="L187" s="21">
        <f>+D187-H187</f>
        <v>-203166.88213000039</v>
      </c>
      <c r="M187" s="15"/>
      <c r="N187" s="22">
        <f>IF(H187=0,0,L187/H187)</f>
        <v>-0.48358540943978218</v>
      </c>
      <c r="O187" s="29"/>
      <c r="P187" s="21">
        <f>P12-P127</f>
        <v>3705821.2699999996</v>
      </c>
      <c r="Q187" s="14"/>
      <c r="R187" s="22">
        <f>IF(P$12=0,0,P187/P$12)</f>
        <v>0.36012836126361619</v>
      </c>
      <c r="S187" s="14"/>
      <c r="T187" s="21">
        <f>T12-T127</f>
        <v>4128727.1529100006</v>
      </c>
      <c r="U187" s="14"/>
      <c r="V187" s="22">
        <f>IF(T$12=0,0,T187/T$12)</f>
        <v>0.37919830877605848</v>
      </c>
      <c r="W187" s="15"/>
      <c r="X187" s="21">
        <f>+P187-T187</f>
        <v>-422905.88291000109</v>
      </c>
      <c r="Y187" s="15"/>
      <c r="Z187" s="22">
        <f>IF(T187=0,0,X187/T187)</f>
        <v>-0.10243008734833191</v>
      </c>
    </row>
    <row r="188" spans="1:26" x14ac:dyDescent="0.25">
      <c r="A188" s="9"/>
      <c r="B188" s="10"/>
      <c r="C188" s="9"/>
      <c r="D188" s="1"/>
      <c r="E188" s="1"/>
      <c r="F188" s="5"/>
      <c r="G188" s="1"/>
      <c r="H188" s="1"/>
      <c r="I188" s="1"/>
      <c r="J188" s="5"/>
      <c r="K188" s="1"/>
      <c r="L188" s="1"/>
      <c r="M188" s="1"/>
      <c r="N188" s="5"/>
      <c r="O188" s="36"/>
      <c r="P188" s="1"/>
      <c r="Q188" s="1"/>
      <c r="R188" s="5"/>
      <c r="S188" s="1"/>
      <c r="T188" s="1"/>
      <c r="U188" s="1"/>
      <c r="V188" s="5"/>
      <c r="W188" s="1"/>
      <c r="X188" s="1"/>
      <c r="Y188" s="1"/>
      <c r="Z188" s="5"/>
    </row>
    <row r="189" spans="1:26" s="23" customFormat="1" x14ac:dyDescent="0.25">
      <c r="A189" s="10"/>
      <c r="B189" s="29" t="s">
        <v>9</v>
      </c>
      <c r="C189" s="10"/>
      <c r="D189" s="20">
        <f>SUM(OSRRefD22x_0)</f>
        <v>385395.8299999999</v>
      </c>
      <c r="E189" s="20"/>
      <c r="F189" s="34">
        <f t="shared" ref="F189:F200" si="16">IF(D$12=0,0,D189/D$12)</f>
        <v>0.47985044590591386</v>
      </c>
      <c r="G189" s="20"/>
      <c r="H189" s="20">
        <f>SUM(OSRRefH22x_0)</f>
        <v>404808.60034605494</v>
      </c>
      <c r="I189" s="20"/>
      <c r="J189" s="34">
        <f t="shared" ref="J189:J200" si="17">IF(H$12=0,0,H189/H$12)</f>
        <v>0.44720955181824562</v>
      </c>
      <c r="K189" s="4"/>
      <c r="L189" s="20">
        <f t="shared" ref="L189:L200" si="18">+D189-H189</f>
        <v>-19412.77034605504</v>
      </c>
      <c r="M189" s="4"/>
      <c r="N189" s="34">
        <f t="shared" ref="N189:N200" si="19">IF(H189=0,0,L189/H189)</f>
        <v>-4.7955429626395853E-2</v>
      </c>
      <c r="O189" s="10"/>
      <c r="P189" s="20">
        <f>SUM(OSRRefP22x_0)</f>
        <v>3241543.1900000009</v>
      </c>
      <c r="Q189" s="20"/>
      <c r="R189" s="34">
        <f t="shared" ref="R189:R200" si="20">IF(P$12=0,0,P189/P$12)</f>
        <v>0.31501023711808296</v>
      </c>
      <c r="S189" s="20"/>
      <c r="T189" s="20">
        <f>SUM(OSRRefT22x_0)</f>
        <v>3422928.3978828746</v>
      </c>
      <c r="U189" s="20"/>
      <c r="V189" s="34">
        <f t="shared" ref="V189:V200" si="21">IF(T$12=0,0,T189/T$12)</f>
        <v>0.31437501473641771</v>
      </c>
      <c r="W189" s="4"/>
      <c r="X189" s="20">
        <f t="shared" ref="X189:X200" si="22">+P189-T189</f>
        <v>-181385.20788287371</v>
      </c>
      <c r="Y189" s="4"/>
      <c r="Z189" s="34">
        <f t="shared" ref="Z189:Z200" si="23">IF(T189=0,0,X189/T189)</f>
        <v>-5.2991236391349235E-2</v>
      </c>
    </row>
    <row r="190" spans="1:26" s="27" customFormat="1" outlineLevel="1" collapsed="1" x14ac:dyDescent="0.25">
      <c r="A190" s="26"/>
      <c r="B190" s="13" t="str">
        <f>CONCATENATE("     ","*Benefits                                         ")</f>
        <v xml:space="preserve">     *Benefits                                         </v>
      </c>
      <c r="C190" s="13"/>
      <c r="D190" s="1">
        <f>SUM(OSRRefD22_0x_0)</f>
        <v>46811.22</v>
      </c>
      <c r="E190" s="1"/>
      <c r="F190" s="5">
        <f t="shared" si="16"/>
        <v>5.8283933145825272E-2</v>
      </c>
      <c r="G190" s="1"/>
      <c r="H190" s="1">
        <f>SUM(OSRRefH22_0x_0)</f>
        <v>48430.752725983795</v>
      </c>
      <c r="I190" s="1"/>
      <c r="J190" s="5">
        <f t="shared" si="17"/>
        <v>5.3503545137856073E-2</v>
      </c>
      <c r="K190" s="1"/>
      <c r="L190" s="1">
        <f t="shared" si="18"/>
        <v>-1619.5327259837941</v>
      </c>
      <c r="M190" s="1"/>
      <c r="N190" s="5">
        <f t="shared" si="19"/>
        <v>-3.3440172510779326E-2</v>
      </c>
      <c r="O190" s="13"/>
      <c r="P190" s="1">
        <f>SUM(OSRRefP22_0x_0)</f>
        <v>418100.81</v>
      </c>
      <c r="Q190" s="1"/>
      <c r="R190" s="5">
        <f t="shared" si="20"/>
        <v>4.0630658787354459E-2</v>
      </c>
      <c r="S190" s="1"/>
      <c r="T190" s="1">
        <f>SUM(OSRRefT22_0x_0)</f>
        <v>414834.5096770571</v>
      </c>
      <c r="U190" s="1"/>
      <c r="V190" s="5">
        <f t="shared" si="21"/>
        <v>3.8100009679887532E-2</v>
      </c>
      <c r="W190" s="1"/>
      <c r="X190" s="1">
        <f t="shared" si="22"/>
        <v>3266.3003229429014</v>
      </c>
      <c r="Y190" s="1"/>
      <c r="Z190" s="5">
        <f t="shared" si="23"/>
        <v>7.8737430149812531E-3</v>
      </c>
    </row>
    <row r="191" spans="1:26" s="24" customFormat="1" hidden="1" outlineLevel="2" x14ac:dyDescent="0.25">
      <c r="A191" s="25"/>
      <c r="B191" s="11" t="str">
        <f>CONCATENATE("          ", "6111", " - ", "F.I.C.A.")</f>
        <v xml:space="preserve">          6111 - F.I.C.A.</v>
      </c>
      <c r="C191" s="11"/>
      <c r="D191" s="6">
        <v>8038.5</v>
      </c>
      <c r="E191" s="2"/>
      <c r="F191" s="7">
        <f t="shared" si="16"/>
        <v>1.0008613246839463E-2</v>
      </c>
      <c r="G191" s="2"/>
      <c r="H191" s="6">
        <v>7994.3831560793133</v>
      </c>
      <c r="I191" s="2"/>
      <c r="J191" s="7">
        <f t="shared" si="17"/>
        <v>8.8317404947357691E-3</v>
      </c>
      <c r="K191" s="2"/>
      <c r="L191" s="6">
        <f t="shared" si="18"/>
        <v>44.116843920686733</v>
      </c>
      <c r="M191" s="2"/>
      <c r="N191" s="7">
        <f t="shared" si="19"/>
        <v>5.518480045222522E-3</v>
      </c>
      <c r="O191" s="11"/>
      <c r="P191" s="6">
        <v>80474.36</v>
      </c>
      <c r="Q191" s="2"/>
      <c r="R191" s="7">
        <f t="shared" si="20"/>
        <v>7.8204255626549164E-3</v>
      </c>
      <c r="S191" s="2"/>
      <c r="T191" s="6">
        <v>78019.474166705157</v>
      </c>
      <c r="U191" s="2"/>
      <c r="V191" s="7">
        <f t="shared" si="21"/>
        <v>7.165610988548868E-3</v>
      </c>
      <c r="W191" s="2"/>
      <c r="X191" s="6">
        <f t="shared" si="22"/>
        <v>2454.8858332948439</v>
      </c>
      <c r="Y191" s="2"/>
      <c r="Z191" s="7">
        <f t="shared" si="23"/>
        <v>3.1465039459884846E-2</v>
      </c>
    </row>
    <row r="192" spans="1:26" s="24" customFormat="1" hidden="1" outlineLevel="2" x14ac:dyDescent="0.25">
      <c r="A192" s="25"/>
      <c r="B192" s="11" t="str">
        <f>CONCATENATE("          ", "6112", " - ", "COMPENSATION INSURANCE")</f>
        <v xml:space="preserve">          6112 - COMPENSATION INSURANCE</v>
      </c>
      <c r="C192" s="11"/>
      <c r="D192" s="6">
        <v>3078.48</v>
      </c>
      <c r="E192" s="2"/>
      <c r="F192" s="7">
        <f t="shared" si="16"/>
        <v>3.8329683035554334E-3</v>
      </c>
      <c r="G192" s="2"/>
      <c r="H192" s="6">
        <v>3517.2466719538456</v>
      </c>
      <c r="I192" s="2"/>
      <c r="J192" s="7">
        <f t="shared" si="17"/>
        <v>3.8856543721009027E-3</v>
      </c>
      <c r="K192" s="2"/>
      <c r="L192" s="6">
        <f t="shared" si="18"/>
        <v>-438.76667195384562</v>
      </c>
      <c r="M192" s="2"/>
      <c r="N192" s="7">
        <f t="shared" si="19"/>
        <v>-0.1247471994081407</v>
      </c>
      <c r="O192" s="11"/>
      <c r="P192" s="6">
        <v>21193.279999999999</v>
      </c>
      <c r="Q192" s="2"/>
      <c r="R192" s="7">
        <f t="shared" si="20"/>
        <v>2.0595437934331283E-3</v>
      </c>
      <c r="S192" s="2"/>
      <c r="T192" s="6">
        <v>30054.896953871139</v>
      </c>
      <c r="U192" s="2"/>
      <c r="V192" s="7">
        <f t="shared" si="21"/>
        <v>2.7603582589161902E-3</v>
      </c>
      <c r="W192" s="2"/>
      <c r="X192" s="6">
        <f t="shared" si="22"/>
        <v>-8861.6169538711401</v>
      </c>
      <c r="Y192" s="2"/>
      <c r="Z192" s="7">
        <f t="shared" si="23"/>
        <v>-0.29484769046029763</v>
      </c>
    </row>
    <row r="193" spans="1:26" s="24" customFormat="1" hidden="1" outlineLevel="2" x14ac:dyDescent="0.25">
      <c r="A193" s="25"/>
      <c r="B193" s="11" t="str">
        <f>CONCATENATE("          ", "6113", " - ", "GROUP INSURANCE")</f>
        <v xml:space="preserve">          6113 - GROUP INSURANCE</v>
      </c>
      <c r="C193" s="11"/>
      <c r="D193" s="6">
        <v>18842.59</v>
      </c>
      <c r="E193" s="2"/>
      <c r="F193" s="7">
        <f t="shared" si="16"/>
        <v>2.346062024989299E-2</v>
      </c>
      <c r="G193" s="2"/>
      <c r="H193" s="6">
        <v>19697.01923076923</v>
      </c>
      <c r="I193" s="2"/>
      <c r="J193" s="7">
        <f t="shared" si="17"/>
        <v>2.176014821527375E-2</v>
      </c>
      <c r="K193" s="2"/>
      <c r="L193" s="6">
        <f t="shared" si="18"/>
        <v>-854.42923076923034</v>
      </c>
      <c r="M193" s="2"/>
      <c r="N193" s="7">
        <f t="shared" si="19"/>
        <v>-4.3378605704689772E-2</v>
      </c>
      <c r="O193" s="11"/>
      <c r="P193" s="6">
        <v>155009.29999999999</v>
      </c>
      <c r="Q193" s="2"/>
      <c r="R193" s="7">
        <f t="shared" si="20"/>
        <v>1.5063663658452763E-2</v>
      </c>
      <c r="S193" s="2"/>
      <c r="T193" s="6">
        <v>158991.23076923078</v>
      </c>
      <c r="U193" s="2"/>
      <c r="V193" s="7">
        <f t="shared" si="21"/>
        <v>1.4602371041986497E-2</v>
      </c>
      <c r="W193" s="2"/>
      <c r="X193" s="6">
        <f t="shared" si="22"/>
        <v>-3981.9307692307921</v>
      </c>
      <c r="Y193" s="2"/>
      <c r="Z193" s="7">
        <f t="shared" si="23"/>
        <v>-2.5044971033719467E-2</v>
      </c>
    </row>
    <row r="194" spans="1:26" s="24" customFormat="1" hidden="1" outlineLevel="2" x14ac:dyDescent="0.25">
      <c r="A194" s="25"/>
      <c r="B194" s="11" t="str">
        <f>CONCATENATE("          ", "6114", " - ", "STATE UNEMPLOYMENT INSURANCE")</f>
        <v xml:space="preserve">          6114 - STATE UNEMPLOYMENT INSURANCE</v>
      </c>
      <c r="C194" s="11"/>
      <c r="D194" s="6">
        <v>505.2</v>
      </c>
      <c r="E194" s="2"/>
      <c r="F194" s="7">
        <f t="shared" si="16"/>
        <v>6.2901678326843279E-4</v>
      </c>
      <c r="G194" s="2"/>
      <c r="H194" s="6">
        <v>500.20487967870503</v>
      </c>
      <c r="I194" s="2"/>
      <c r="J194" s="7">
        <f t="shared" si="17"/>
        <v>5.5259794349029126E-4</v>
      </c>
      <c r="K194" s="2"/>
      <c r="L194" s="6">
        <f t="shared" si="18"/>
        <v>4.9951203212949622</v>
      </c>
      <c r="M194" s="2"/>
      <c r="N194" s="7">
        <f t="shared" si="19"/>
        <v>9.9861487247054886E-3</v>
      </c>
      <c r="O194" s="11"/>
      <c r="P194" s="6">
        <v>4205.5200000000004</v>
      </c>
      <c r="Q194" s="2"/>
      <c r="R194" s="7">
        <f t="shared" si="20"/>
        <v>4.0868863215882067E-4</v>
      </c>
      <c r="S194" s="2"/>
      <c r="T194" s="6">
        <v>4259.3453679444747</v>
      </c>
      <c r="U194" s="2"/>
      <c r="V194" s="7">
        <f t="shared" si="21"/>
        <v>3.9119479205093665E-4</v>
      </c>
      <c r="W194" s="2"/>
      <c r="X194" s="6">
        <f t="shared" si="22"/>
        <v>-53.825367944474237</v>
      </c>
      <c r="Y194" s="2"/>
      <c r="Z194" s="7">
        <f t="shared" si="23"/>
        <v>-1.2637004819933144E-2</v>
      </c>
    </row>
    <row r="195" spans="1:26" s="24" customFormat="1" hidden="1" outlineLevel="2" x14ac:dyDescent="0.25">
      <c r="A195" s="25"/>
      <c r="B195" s="11" t="str">
        <f>CONCATENATE("          ", "6115", " - ", "P.E.R.S.")</f>
        <v xml:space="preserve">          6115 - P.E.R.S.</v>
      </c>
      <c r="C195" s="11"/>
      <c r="D195" s="6">
        <v>6226.5</v>
      </c>
      <c r="E195" s="2"/>
      <c r="F195" s="7">
        <f t="shared" si="16"/>
        <v>7.7525197961617115E-3</v>
      </c>
      <c r="G195" s="2"/>
      <c r="H195" s="6">
        <v>6361.9776405384546</v>
      </c>
      <c r="I195" s="2"/>
      <c r="J195" s="7">
        <f t="shared" si="17"/>
        <v>7.0283515885549526E-3</v>
      </c>
      <c r="K195" s="2"/>
      <c r="L195" s="6">
        <f t="shared" si="18"/>
        <v>-135.47764053845458</v>
      </c>
      <c r="M195" s="2"/>
      <c r="N195" s="7">
        <f t="shared" si="19"/>
        <v>-2.1294894165485977E-2</v>
      </c>
      <c r="O195" s="11"/>
      <c r="P195" s="6">
        <v>58584.77</v>
      </c>
      <c r="Q195" s="2"/>
      <c r="R195" s="7">
        <f t="shared" si="20"/>
        <v>5.6932149928282608E-3</v>
      </c>
      <c r="S195" s="2"/>
      <c r="T195" s="6">
        <v>55280.92355471148</v>
      </c>
      <c r="U195" s="2"/>
      <c r="V195" s="7">
        <f t="shared" si="21"/>
        <v>5.0772143431058337E-3</v>
      </c>
      <c r="W195" s="2"/>
      <c r="X195" s="6">
        <f t="shared" si="22"/>
        <v>3303.8464452885164</v>
      </c>
      <c r="Y195" s="2"/>
      <c r="Z195" s="7">
        <f t="shared" si="23"/>
        <v>5.9764675277515986E-2</v>
      </c>
    </row>
    <row r="196" spans="1:26" s="24" customFormat="1" hidden="1" outlineLevel="2" x14ac:dyDescent="0.25">
      <c r="A196" s="25"/>
      <c r="B196" s="11" t="str">
        <f>CONCATENATE("          ", "6116", " - ", "EDUCATIONAL BENEFITS")</f>
        <v xml:space="preserve">          6116 - EDUCATIONAL BENEFITS</v>
      </c>
      <c r="C196" s="11"/>
      <c r="D196" s="6"/>
      <c r="E196" s="2"/>
      <c r="F196" s="7">
        <f t="shared" si="16"/>
        <v>0</v>
      </c>
      <c r="G196" s="2"/>
      <c r="H196" s="6">
        <v>0</v>
      </c>
      <c r="I196" s="2"/>
      <c r="J196" s="7">
        <f t="shared" si="17"/>
        <v>0</v>
      </c>
      <c r="K196" s="2"/>
      <c r="L196" s="6">
        <f t="shared" si="18"/>
        <v>0</v>
      </c>
      <c r="M196" s="2"/>
      <c r="N196" s="7">
        <f t="shared" si="19"/>
        <v>0</v>
      </c>
      <c r="O196" s="11"/>
      <c r="P196" s="6"/>
      <c r="Q196" s="2"/>
      <c r="R196" s="7">
        <f t="shared" si="20"/>
        <v>0</v>
      </c>
      <c r="S196" s="2"/>
      <c r="T196" s="6">
        <v>0</v>
      </c>
      <c r="U196" s="2"/>
      <c r="V196" s="7">
        <f t="shared" si="21"/>
        <v>0</v>
      </c>
      <c r="W196" s="2"/>
      <c r="X196" s="6">
        <f t="shared" si="22"/>
        <v>0</v>
      </c>
      <c r="Y196" s="2"/>
      <c r="Z196" s="7">
        <f t="shared" si="23"/>
        <v>0</v>
      </c>
    </row>
    <row r="197" spans="1:26" s="24" customFormat="1" hidden="1" outlineLevel="2" x14ac:dyDescent="0.25">
      <c r="A197" s="25"/>
      <c r="B197" s="11" t="str">
        <f>CONCATENATE("          ", "6117", " - ", "RETIREMENT STAFF HOURLY")</f>
        <v xml:space="preserve">          6117 - RETIREMENT STAFF HOURLY</v>
      </c>
      <c r="C197" s="11"/>
      <c r="D197" s="6">
        <v>205.96</v>
      </c>
      <c r="E197" s="2"/>
      <c r="F197" s="7">
        <f t="shared" si="16"/>
        <v>2.5643764188829456E-4</v>
      </c>
      <c r="G197" s="2"/>
      <c r="H197" s="6"/>
      <c r="I197" s="2"/>
      <c r="J197" s="7">
        <f t="shared" si="17"/>
        <v>0</v>
      </c>
      <c r="K197" s="2"/>
      <c r="L197" s="6">
        <f t="shared" si="18"/>
        <v>205.96</v>
      </c>
      <c r="M197" s="2"/>
      <c r="N197" s="7">
        <f t="shared" si="19"/>
        <v>0</v>
      </c>
      <c r="O197" s="11"/>
      <c r="P197" s="6">
        <v>2353.5500000000002</v>
      </c>
      <c r="Q197" s="2"/>
      <c r="R197" s="7">
        <f t="shared" si="20"/>
        <v>2.2871586158605648E-4</v>
      </c>
      <c r="S197" s="2"/>
      <c r="T197" s="6"/>
      <c r="U197" s="2"/>
      <c r="V197" s="7">
        <f t="shared" si="21"/>
        <v>0</v>
      </c>
      <c r="W197" s="2"/>
      <c r="X197" s="6">
        <f t="shared" si="22"/>
        <v>2353.5500000000002</v>
      </c>
      <c r="Y197" s="2"/>
      <c r="Z197" s="7">
        <f t="shared" si="23"/>
        <v>0</v>
      </c>
    </row>
    <row r="198" spans="1:26" s="24" customFormat="1" hidden="1" outlineLevel="2" x14ac:dyDescent="0.25">
      <c r="A198" s="25"/>
      <c r="B198" s="11" t="str">
        <f>CONCATENATE("          ", "6118", " - ", "VACATION")</f>
        <v xml:space="preserve">          6118 - VACATION</v>
      </c>
      <c r="C198" s="11"/>
      <c r="D198" s="6">
        <v>3853.99</v>
      </c>
      <c r="E198" s="2"/>
      <c r="F198" s="7">
        <f t="shared" si="16"/>
        <v>4.7985439282436796E-3</v>
      </c>
      <c r="G198" s="2"/>
      <c r="H198" s="6">
        <v>4591.3221527846117</v>
      </c>
      <c r="I198" s="2"/>
      <c r="J198" s="7">
        <f t="shared" si="17"/>
        <v>5.0722319645499572E-3</v>
      </c>
      <c r="K198" s="2"/>
      <c r="L198" s="6">
        <f t="shared" si="18"/>
        <v>-737.33215278461194</v>
      </c>
      <c r="M198" s="2"/>
      <c r="N198" s="7">
        <f t="shared" si="19"/>
        <v>-0.16059255444260734</v>
      </c>
      <c r="O198" s="11"/>
      <c r="P198" s="6">
        <v>43411.87</v>
      </c>
      <c r="Q198" s="2"/>
      <c r="R198" s="7">
        <f t="shared" si="20"/>
        <v>4.2187262858710793E-3</v>
      </c>
      <c r="S198" s="2"/>
      <c r="T198" s="6">
        <v>39889.524836865363</v>
      </c>
      <c r="U198" s="2"/>
      <c r="V198" s="7">
        <f t="shared" si="21"/>
        <v>3.6636086124894021E-3</v>
      </c>
      <c r="W198" s="2"/>
      <c r="X198" s="6">
        <f t="shared" si="22"/>
        <v>3522.3451631346397</v>
      </c>
      <c r="Y198" s="2"/>
      <c r="Z198" s="7">
        <f t="shared" si="23"/>
        <v>8.8302509933117473E-2</v>
      </c>
    </row>
    <row r="199" spans="1:26" s="24" customFormat="1" hidden="1" outlineLevel="2" x14ac:dyDescent="0.25">
      <c r="A199" s="25"/>
      <c r="B199" s="11" t="str">
        <f>CONCATENATE("          ", "6119", " - ", "SICK LEAVE")</f>
        <v xml:space="preserve">          6119 - SICK LEAVE</v>
      </c>
      <c r="C199" s="11"/>
      <c r="D199" s="6">
        <v>3642.46</v>
      </c>
      <c r="E199" s="2"/>
      <c r="F199" s="7">
        <f t="shared" si="16"/>
        <v>4.5351711646554544E-3</v>
      </c>
      <c r="G199" s="2"/>
      <c r="H199" s="6">
        <v>4218.5989941796333</v>
      </c>
      <c r="I199" s="2"/>
      <c r="J199" s="7">
        <f t="shared" si="17"/>
        <v>4.6604685865744887E-3</v>
      </c>
      <c r="K199" s="2"/>
      <c r="L199" s="6">
        <f t="shared" si="18"/>
        <v>-576.1389941796333</v>
      </c>
      <c r="M199" s="2"/>
      <c r="N199" s="7">
        <f t="shared" si="19"/>
        <v>-0.13657116852645335</v>
      </c>
      <c r="O199" s="11"/>
      <c r="P199" s="6">
        <v>35013.72</v>
      </c>
      <c r="Q199" s="2"/>
      <c r="R199" s="7">
        <f t="shared" si="20"/>
        <v>3.402601660101947E-3</v>
      </c>
      <c r="S199" s="2"/>
      <c r="T199" s="6">
        <v>35939.114027728727</v>
      </c>
      <c r="U199" s="2"/>
      <c r="V199" s="7">
        <f t="shared" si="21"/>
        <v>3.3007875680569881E-3</v>
      </c>
      <c r="W199" s="2"/>
      <c r="X199" s="6">
        <f t="shared" si="22"/>
        <v>-925.39402772872563</v>
      </c>
      <c r="Y199" s="2"/>
      <c r="Z199" s="7">
        <f t="shared" si="23"/>
        <v>-2.5748938246355779E-2</v>
      </c>
    </row>
    <row r="200" spans="1:26" s="24" customFormat="1" hidden="1" outlineLevel="2" x14ac:dyDescent="0.25">
      <c r="A200" s="25"/>
      <c r="B200" s="11" t="str">
        <f>CONCATENATE("          ", "6156", " - ", "EMPLOYEE MEALS")</f>
        <v xml:space="preserve">          6156 - EMPLOYEE MEALS</v>
      </c>
      <c r="C200" s="11"/>
      <c r="D200" s="6">
        <v>2417.54</v>
      </c>
      <c r="E200" s="2"/>
      <c r="F200" s="7">
        <f t="shared" si="16"/>
        <v>3.010042031319808E-3</v>
      </c>
      <c r="G200" s="2"/>
      <c r="H200" s="6">
        <v>1550</v>
      </c>
      <c r="I200" s="2"/>
      <c r="J200" s="7">
        <f t="shared" si="17"/>
        <v>1.7123519725759603E-3</v>
      </c>
      <c r="K200" s="2"/>
      <c r="L200" s="6">
        <f t="shared" si="18"/>
        <v>867.54</v>
      </c>
      <c r="M200" s="2"/>
      <c r="N200" s="7">
        <f t="shared" si="19"/>
        <v>0.5597032258064516</v>
      </c>
      <c r="O200" s="11"/>
      <c r="P200" s="6">
        <v>17854.439999999999</v>
      </c>
      <c r="Q200" s="2"/>
      <c r="R200" s="7">
        <f t="shared" si="20"/>
        <v>1.7350783402674895E-3</v>
      </c>
      <c r="S200" s="2"/>
      <c r="T200" s="6">
        <v>12400</v>
      </c>
      <c r="U200" s="2"/>
      <c r="V200" s="7">
        <f t="shared" si="21"/>
        <v>1.1388640747328218E-3</v>
      </c>
      <c r="W200" s="2"/>
      <c r="X200" s="6">
        <f t="shared" si="22"/>
        <v>5454.4399999999987</v>
      </c>
      <c r="Y200" s="2"/>
      <c r="Z200" s="7">
        <f t="shared" si="23"/>
        <v>0.43987419354838697</v>
      </c>
    </row>
    <row r="201" spans="1:26" s="27" customFormat="1" outlineLevel="1" collapsed="1" x14ac:dyDescent="0.25">
      <c r="A201" s="26"/>
      <c r="B201" s="13" t="str">
        <f>CONCATENATE("     ","*Payroll                                          ")</f>
        <v xml:space="preserve">     *Payroll                                          </v>
      </c>
      <c r="C201" s="13"/>
      <c r="D201" s="1">
        <f>SUM(OSRRefD22_1x_0)</f>
        <v>169934.84999999998</v>
      </c>
      <c r="E201" s="1"/>
      <c r="F201" s="5">
        <f t="shared" ref="F201:F211" si="24">IF(D$12=0,0,D201/D$12)</f>
        <v>0.21158327931948459</v>
      </c>
      <c r="G201" s="1"/>
      <c r="H201" s="1">
        <f>SUM(OSRRefH22_1x_0)</f>
        <v>184734.34762007114</v>
      </c>
      <c r="I201" s="1"/>
      <c r="J201" s="5">
        <f t="shared" ref="J201:J211" si="25">IF(H$12=0,0,H201/H$12)</f>
        <v>0.20408401583855612</v>
      </c>
      <c r="K201" s="1"/>
      <c r="L201" s="1">
        <f t="shared" ref="L201:L211" si="26">+D201-H201</f>
        <v>-14799.497620071168</v>
      </c>
      <c r="M201" s="1"/>
      <c r="N201" s="5">
        <f t="shared" ref="N201:N211" si="27">IF(H201=0,0,L201/H201)</f>
        <v>-8.011232242803136E-2</v>
      </c>
      <c r="O201" s="13"/>
      <c r="P201" s="1">
        <f>SUM(OSRRefP22_1x_0)</f>
        <v>1541309.19</v>
      </c>
      <c r="Q201" s="1"/>
      <c r="R201" s="5">
        <f t="shared" ref="R201:R211" si="28">IF(P$12=0,0,P201/P$12)</f>
        <v>0.14978303386856315</v>
      </c>
      <c r="S201" s="1"/>
      <c r="T201" s="1">
        <f>SUM(OSRRefT22_1x_0)</f>
        <v>1572323.8882058174</v>
      </c>
      <c r="U201" s="1"/>
      <c r="V201" s="5">
        <f t="shared" ref="V201:V211" si="29">IF(T$12=0,0,T201/T$12)</f>
        <v>0.14440832178401863</v>
      </c>
      <c r="W201" s="1"/>
      <c r="X201" s="1">
        <f t="shared" ref="X201:X211" si="30">+P201-T201</f>
        <v>-31014.698205817491</v>
      </c>
      <c r="Y201" s="1"/>
      <c r="Z201" s="5">
        <f t="shared" ref="Z201:Z211" si="31">IF(T201=0,0,X201/T201)</f>
        <v>-1.9725387649747177E-2</v>
      </c>
    </row>
    <row r="202" spans="1:26" s="24" customFormat="1" hidden="1" outlineLevel="2" x14ac:dyDescent="0.25">
      <c r="A202" s="25"/>
      <c r="B202" s="11" t="str">
        <f>CONCATENATE("          ", "6001", " - ", "ADMINISTRATIVE SALARIES")</f>
        <v xml:space="preserve">          6001 - ADMINISTRATIVE SALARIES</v>
      </c>
      <c r="C202" s="11"/>
      <c r="D202" s="6">
        <v>9109.57</v>
      </c>
      <c r="E202" s="2"/>
      <c r="F202" s="7">
        <f t="shared" si="24"/>
        <v>1.1342186101264086E-2</v>
      </c>
      <c r="G202" s="2"/>
      <c r="H202" s="6">
        <v>27651.922292615382</v>
      </c>
      <c r="I202" s="2"/>
      <c r="J202" s="7">
        <f t="shared" si="25"/>
        <v>3.0548273344049755E-2</v>
      </c>
      <c r="K202" s="2"/>
      <c r="L202" s="6">
        <f t="shared" si="26"/>
        <v>-18542.352292615382</v>
      </c>
      <c r="M202" s="2"/>
      <c r="N202" s="7">
        <f t="shared" si="27"/>
        <v>-0.67056286707297863</v>
      </c>
      <c r="O202" s="11"/>
      <c r="P202" s="6">
        <v>88416.11</v>
      </c>
      <c r="Q202" s="2"/>
      <c r="R202" s="7">
        <f t="shared" si="28"/>
        <v>8.5921976489717854E-3</v>
      </c>
      <c r="S202" s="2"/>
      <c r="T202" s="6">
        <v>241954.32006038461</v>
      </c>
      <c r="U202" s="2"/>
      <c r="V202" s="7">
        <f t="shared" si="29"/>
        <v>2.2222022809933784E-2</v>
      </c>
      <c r="W202" s="2"/>
      <c r="X202" s="6">
        <f t="shared" si="30"/>
        <v>-153538.21006038459</v>
      </c>
      <c r="Y202" s="2"/>
      <c r="Z202" s="7">
        <f t="shared" si="31"/>
        <v>-0.63457519593808454</v>
      </c>
    </row>
    <row r="203" spans="1:26" s="24" customFormat="1" hidden="1" outlineLevel="2" x14ac:dyDescent="0.25">
      <c r="A203" s="25"/>
      <c r="B203" s="11" t="str">
        <f>CONCATENATE("          ", "6002", " - ", "STAFF SALARIES")</f>
        <v xml:space="preserve">          6002 - STAFF SALARIES</v>
      </c>
      <c r="C203" s="11"/>
      <c r="D203" s="6">
        <v>54462.53</v>
      </c>
      <c r="E203" s="2"/>
      <c r="F203" s="7">
        <f t="shared" si="24"/>
        <v>6.7810462053168083E-2</v>
      </c>
      <c r="G203" s="2"/>
      <c r="H203" s="6">
        <v>39749.506545646182</v>
      </c>
      <c r="I203" s="2"/>
      <c r="J203" s="7">
        <f t="shared" si="25"/>
        <v>4.3912997382166634E-2</v>
      </c>
      <c r="K203" s="2"/>
      <c r="L203" s="6">
        <f t="shared" si="26"/>
        <v>14713.023454353817</v>
      </c>
      <c r="M203" s="2"/>
      <c r="N203" s="7">
        <f t="shared" si="27"/>
        <v>0.37014354976855318</v>
      </c>
      <c r="O203" s="11"/>
      <c r="P203" s="6">
        <v>494564.42</v>
      </c>
      <c r="Q203" s="2"/>
      <c r="R203" s="7">
        <f t="shared" si="28"/>
        <v>4.8061323290394635E-2</v>
      </c>
      <c r="S203" s="2"/>
      <c r="T203" s="6">
        <v>343794.61427440395</v>
      </c>
      <c r="U203" s="2"/>
      <c r="V203" s="7">
        <f t="shared" si="29"/>
        <v>3.1575430264818259E-2</v>
      </c>
      <c r="W203" s="2"/>
      <c r="X203" s="6">
        <f t="shared" si="30"/>
        <v>150769.80572559603</v>
      </c>
      <c r="Y203" s="2"/>
      <c r="Z203" s="7">
        <f t="shared" si="31"/>
        <v>0.43854615362082788</v>
      </c>
    </row>
    <row r="204" spans="1:26" s="24" customFormat="1" hidden="1" outlineLevel="2" x14ac:dyDescent="0.25">
      <c r="A204" s="25"/>
      <c r="B204" s="11" t="str">
        <f>CONCATENATE("          ", "6003", " - ", "STAFF HOURLY-9 MONTH")</f>
        <v xml:space="preserve">          6003 - STAFF HOURLY-9 MONTH</v>
      </c>
      <c r="C204" s="11"/>
      <c r="D204" s="6"/>
      <c r="E204" s="2"/>
      <c r="F204" s="7">
        <f t="shared" si="24"/>
        <v>0</v>
      </c>
      <c r="G204" s="2"/>
      <c r="H204" s="6">
        <v>0</v>
      </c>
      <c r="I204" s="2"/>
      <c r="J204" s="7">
        <f t="shared" si="25"/>
        <v>0</v>
      </c>
      <c r="K204" s="2"/>
      <c r="L204" s="6">
        <f t="shared" si="26"/>
        <v>0</v>
      </c>
      <c r="M204" s="2"/>
      <c r="N204" s="7">
        <f t="shared" si="27"/>
        <v>0</v>
      </c>
      <c r="O204" s="11"/>
      <c r="P204" s="6"/>
      <c r="Q204" s="2"/>
      <c r="R204" s="7">
        <f t="shared" si="28"/>
        <v>0</v>
      </c>
      <c r="S204" s="2"/>
      <c r="T204" s="6">
        <v>0</v>
      </c>
      <c r="U204" s="2"/>
      <c r="V204" s="7">
        <f t="shared" si="29"/>
        <v>0</v>
      </c>
      <c r="W204" s="2"/>
      <c r="X204" s="6">
        <f t="shared" si="30"/>
        <v>0</v>
      </c>
      <c r="Y204" s="2"/>
      <c r="Z204" s="7">
        <f t="shared" si="31"/>
        <v>0</v>
      </c>
    </row>
    <row r="205" spans="1:26" s="24" customFormat="1" hidden="1" outlineLevel="2" x14ac:dyDescent="0.25">
      <c r="A205" s="25"/>
      <c r="B205" s="11" t="str">
        <f>CONCATENATE("          ", "6004", " - ", "STAFF HOURLY")</f>
        <v xml:space="preserve">          6004 - STAFF HOURLY</v>
      </c>
      <c r="C205" s="11"/>
      <c r="D205" s="6">
        <v>8324.66</v>
      </c>
      <c r="E205" s="2"/>
      <c r="F205" s="7">
        <f t="shared" si="24"/>
        <v>1.0364906680529279E-2</v>
      </c>
      <c r="G205" s="2"/>
      <c r="H205" s="6">
        <v>23102.312382</v>
      </c>
      <c r="I205" s="2"/>
      <c r="J205" s="7">
        <f t="shared" si="25"/>
        <v>2.5522122695731439E-2</v>
      </c>
      <c r="K205" s="2"/>
      <c r="L205" s="6">
        <f t="shared" si="26"/>
        <v>-14777.652382</v>
      </c>
      <c r="M205" s="2"/>
      <c r="N205" s="7">
        <f t="shared" si="27"/>
        <v>-0.63966117926419785</v>
      </c>
      <c r="O205" s="11"/>
      <c r="P205" s="6">
        <v>29169.929999999997</v>
      </c>
      <c r="Q205" s="2"/>
      <c r="R205" s="7">
        <f t="shared" si="28"/>
        <v>2.8347074302032911E-3</v>
      </c>
      <c r="S205" s="2"/>
      <c r="T205" s="6">
        <v>198164.97052999999</v>
      </c>
      <c r="U205" s="2"/>
      <c r="V205" s="7">
        <f t="shared" si="29"/>
        <v>1.8200239177992364E-2</v>
      </c>
      <c r="W205" s="2"/>
      <c r="X205" s="6">
        <f t="shared" si="30"/>
        <v>-168995.04053</v>
      </c>
      <c r="Y205" s="2"/>
      <c r="Z205" s="7">
        <f t="shared" si="31"/>
        <v>-0.85279976616460584</v>
      </c>
    </row>
    <row r="206" spans="1:26" s="24" customFormat="1" hidden="1" outlineLevel="2" x14ac:dyDescent="0.25">
      <c r="A206" s="25"/>
      <c r="B206" s="11" t="str">
        <f>CONCATENATE("          ", "6005", " - ", "TEMPORARY WAGES-HOURLY")</f>
        <v xml:space="preserve">          6005 - TEMPORARY WAGES-HOURLY</v>
      </c>
      <c r="C206" s="11"/>
      <c r="D206" s="6">
        <v>22916.9</v>
      </c>
      <c r="E206" s="2"/>
      <c r="F206" s="7">
        <f t="shared" si="24"/>
        <v>2.8533481236113118E-2</v>
      </c>
      <c r="G206" s="2"/>
      <c r="H206" s="6">
        <v>2903.68</v>
      </c>
      <c r="I206" s="2"/>
      <c r="J206" s="7">
        <f t="shared" si="25"/>
        <v>3.2078207585350734E-3</v>
      </c>
      <c r="K206" s="2"/>
      <c r="L206" s="6">
        <f t="shared" si="26"/>
        <v>20013.22</v>
      </c>
      <c r="M206" s="2"/>
      <c r="N206" s="7">
        <f t="shared" si="27"/>
        <v>6.8923641723605913</v>
      </c>
      <c r="O206" s="11"/>
      <c r="P206" s="6">
        <v>173915.11000000002</v>
      </c>
      <c r="Q206" s="2"/>
      <c r="R206" s="7">
        <f t="shared" si="28"/>
        <v>1.6900913184968998E-2</v>
      </c>
      <c r="S206" s="2"/>
      <c r="T206" s="6">
        <v>27333.68</v>
      </c>
      <c r="U206" s="2"/>
      <c r="V206" s="7">
        <f t="shared" si="29"/>
        <v>2.5104311437292772E-3</v>
      </c>
      <c r="W206" s="2"/>
      <c r="X206" s="6">
        <f t="shared" si="30"/>
        <v>146581.43000000002</v>
      </c>
      <c r="Y206" s="2"/>
      <c r="Z206" s="7">
        <f t="shared" si="31"/>
        <v>5.3626672295863571</v>
      </c>
    </row>
    <row r="207" spans="1:26" s="24" customFormat="1" hidden="1" outlineLevel="2" x14ac:dyDescent="0.25">
      <c r="A207" s="25"/>
      <c r="B207" s="11" t="str">
        <f>CONCATENATE("          ", "6006", " - ", "TEMPORARY PART TIME")</f>
        <v xml:space="preserve">          6006 - TEMPORARY PART TIME</v>
      </c>
      <c r="C207" s="11"/>
      <c r="D207" s="6">
        <v>4155.9799999999996</v>
      </c>
      <c r="E207" s="2"/>
      <c r="F207" s="7">
        <f t="shared" si="24"/>
        <v>5.1745470525097802E-3</v>
      </c>
      <c r="G207" s="2"/>
      <c r="H207" s="6">
        <v>0</v>
      </c>
      <c r="I207" s="2"/>
      <c r="J207" s="7">
        <f t="shared" si="25"/>
        <v>0</v>
      </c>
      <c r="K207" s="2"/>
      <c r="L207" s="6">
        <f t="shared" si="26"/>
        <v>4155.9799999999996</v>
      </c>
      <c r="M207" s="2"/>
      <c r="N207" s="7">
        <f t="shared" si="27"/>
        <v>0</v>
      </c>
      <c r="O207" s="11"/>
      <c r="P207" s="6">
        <v>34217.07</v>
      </c>
      <c r="Q207" s="2"/>
      <c r="R207" s="7">
        <f t="shared" si="28"/>
        <v>3.3251839332074547E-3</v>
      </c>
      <c r="S207" s="2"/>
      <c r="T207" s="6">
        <v>0</v>
      </c>
      <c r="U207" s="2"/>
      <c r="V207" s="7">
        <f t="shared" si="29"/>
        <v>0</v>
      </c>
      <c r="W207" s="2"/>
      <c r="X207" s="6">
        <f t="shared" si="30"/>
        <v>34217.07</v>
      </c>
      <c r="Y207" s="2"/>
      <c r="Z207" s="7">
        <f t="shared" si="31"/>
        <v>0</v>
      </c>
    </row>
    <row r="208" spans="1:26" s="24" customFormat="1" hidden="1" outlineLevel="2" x14ac:dyDescent="0.25">
      <c r="A208" s="25"/>
      <c r="B208" s="11" t="str">
        <f>CONCATENATE("          ", "6007", " - ", "STUDENT HOURLY")</f>
        <v xml:space="preserve">          6007 - STUDENT HOURLY</v>
      </c>
      <c r="C208" s="11"/>
      <c r="D208" s="6">
        <v>68380.26999999999</v>
      </c>
      <c r="E208" s="2"/>
      <c r="F208" s="7">
        <f t="shared" si="24"/>
        <v>8.5139226988176775E-2</v>
      </c>
      <c r="G208" s="2"/>
      <c r="H208" s="6">
        <v>6304.8898079999999</v>
      </c>
      <c r="I208" s="2"/>
      <c r="J208" s="7">
        <f t="shared" si="25"/>
        <v>6.9652841932921726E-3</v>
      </c>
      <c r="K208" s="2"/>
      <c r="L208" s="6">
        <f t="shared" si="26"/>
        <v>62075.38019199999</v>
      </c>
      <c r="M208" s="2"/>
      <c r="N208" s="7">
        <f t="shared" si="27"/>
        <v>9.8455931954964928</v>
      </c>
      <c r="O208" s="11"/>
      <c r="P208" s="6">
        <v>707438.97</v>
      </c>
      <c r="Q208" s="2"/>
      <c r="R208" s="7">
        <f t="shared" si="28"/>
        <v>6.8748279638462043E-2</v>
      </c>
      <c r="S208" s="2"/>
      <c r="T208" s="6">
        <v>169714.00958519999</v>
      </c>
      <c r="U208" s="2"/>
      <c r="V208" s="7">
        <f t="shared" si="29"/>
        <v>1.5587192620600487E-2</v>
      </c>
      <c r="W208" s="2"/>
      <c r="X208" s="6">
        <f t="shared" si="30"/>
        <v>537724.96041479998</v>
      </c>
      <c r="Y208" s="2"/>
      <c r="Z208" s="7">
        <f t="shared" si="31"/>
        <v>3.1684182215072276</v>
      </c>
    </row>
    <row r="209" spans="1:26" s="24" customFormat="1" hidden="1" outlineLevel="2" x14ac:dyDescent="0.25">
      <c r="A209" s="25"/>
      <c r="B209" s="11" t="str">
        <f>CONCATENATE("          ", "6008", " - ", "STUDENT HOURLY-FICA EXEMPT")</f>
        <v xml:space="preserve">          6008 - STUDENT HOURLY-FICA EXEMPT</v>
      </c>
      <c r="C209" s="11"/>
      <c r="D209" s="6">
        <v>2584.94</v>
      </c>
      <c r="E209" s="2"/>
      <c r="F209" s="7">
        <f t="shared" si="24"/>
        <v>3.2184692077234811E-3</v>
      </c>
      <c r="G209" s="2"/>
      <c r="H209" s="6">
        <v>85022.036591809607</v>
      </c>
      <c r="I209" s="2"/>
      <c r="J209" s="7">
        <f t="shared" si="25"/>
        <v>9.3927517464781063E-2</v>
      </c>
      <c r="K209" s="2"/>
      <c r="L209" s="6">
        <f t="shared" si="26"/>
        <v>-82437.096591809604</v>
      </c>
      <c r="M209" s="2"/>
      <c r="N209" s="7">
        <f t="shared" si="27"/>
        <v>-0.96959682332228425</v>
      </c>
      <c r="O209" s="11"/>
      <c r="P209" s="6">
        <v>13587.58</v>
      </c>
      <c r="Q209" s="2"/>
      <c r="R209" s="7">
        <f t="shared" si="28"/>
        <v>1.3204287423549401E-3</v>
      </c>
      <c r="S209" s="2"/>
      <c r="T209" s="6">
        <v>591362.29375582875</v>
      </c>
      <c r="U209" s="2"/>
      <c r="V209" s="7">
        <f t="shared" si="29"/>
        <v>5.4313005766944436E-2</v>
      </c>
      <c r="W209" s="2"/>
      <c r="X209" s="6">
        <f t="shared" si="30"/>
        <v>-577774.71375582879</v>
      </c>
      <c r="Y209" s="2"/>
      <c r="Z209" s="7">
        <f t="shared" si="31"/>
        <v>-0.97702325605898332</v>
      </c>
    </row>
    <row r="210" spans="1:26" s="24" customFormat="1" hidden="1" outlineLevel="2" x14ac:dyDescent="0.25">
      <c r="A210" s="25"/>
      <c r="B210" s="11" t="str">
        <f>CONCATENATE("          ", "6009", " - ", "TEMPORARY-SEASONAL")</f>
        <v xml:space="preserve">          6009 - TEMPORARY-SEASONAL</v>
      </c>
      <c r="C210" s="11"/>
      <c r="D210" s="6"/>
      <c r="E210" s="2"/>
      <c r="F210" s="7">
        <f t="shared" si="24"/>
        <v>0</v>
      </c>
      <c r="G210" s="2"/>
      <c r="H210" s="6">
        <v>0</v>
      </c>
      <c r="I210" s="2"/>
      <c r="J210" s="7">
        <f t="shared" si="25"/>
        <v>0</v>
      </c>
      <c r="K210" s="2"/>
      <c r="L210" s="6">
        <f t="shared" si="26"/>
        <v>0</v>
      </c>
      <c r="M210" s="2"/>
      <c r="N210" s="7">
        <f t="shared" si="27"/>
        <v>0</v>
      </c>
      <c r="O210" s="11"/>
      <c r="P210" s="6"/>
      <c r="Q210" s="2"/>
      <c r="R210" s="7">
        <f t="shared" si="28"/>
        <v>0</v>
      </c>
      <c r="S210" s="2"/>
      <c r="T210" s="6">
        <v>0</v>
      </c>
      <c r="U210" s="2"/>
      <c r="V210" s="7">
        <f t="shared" si="29"/>
        <v>0</v>
      </c>
      <c r="W210" s="2"/>
      <c r="X210" s="6">
        <f t="shared" si="30"/>
        <v>0</v>
      </c>
      <c r="Y210" s="2"/>
      <c r="Z210" s="7">
        <f t="shared" si="31"/>
        <v>0</v>
      </c>
    </row>
    <row r="211" spans="1:26" s="24" customFormat="1" hidden="1" outlineLevel="2" x14ac:dyDescent="0.25">
      <c r="A211" s="25"/>
      <c r="B211" s="11" t="str">
        <f>CONCATENATE("          ", "6010", " - ", "GRATUITY")</f>
        <v xml:space="preserve">          6010 - GRATUITY</v>
      </c>
      <c r="C211" s="11"/>
      <c r="D211" s="6"/>
      <c r="E211" s="2"/>
      <c r="F211" s="7">
        <f t="shared" si="24"/>
        <v>0</v>
      </c>
      <c r="G211" s="2"/>
      <c r="H211" s="6">
        <v>0</v>
      </c>
      <c r="I211" s="2"/>
      <c r="J211" s="7">
        <f t="shared" si="25"/>
        <v>0</v>
      </c>
      <c r="K211" s="2"/>
      <c r="L211" s="6">
        <f t="shared" si="26"/>
        <v>0</v>
      </c>
      <c r="M211" s="2"/>
      <c r="N211" s="7">
        <f t="shared" si="27"/>
        <v>0</v>
      </c>
      <c r="O211" s="11"/>
      <c r="P211" s="6"/>
      <c r="Q211" s="2"/>
      <c r="R211" s="7">
        <f t="shared" si="28"/>
        <v>0</v>
      </c>
      <c r="S211" s="2"/>
      <c r="T211" s="6">
        <v>0</v>
      </c>
      <c r="U211" s="2"/>
      <c r="V211" s="7">
        <f t="shared" si="29"/>
        <v>0</v>
      </c>
      <c r="W211" s="2"/>
      <c r="X211" s="6">
        <f t="shared" si="30"/>
        <v>0</v>
      </c>
      <c r="Y211" s="2"/>
      <c r="Z211" s="7">
        <f t="shared" si="31"/>
        <v>0</v>
      </c>
    </row>
    <row r="212" spans="1:26" s="27" customFormat="1" outlineLevel="1" collapsed="1" x14ac:dyDescent="0.25">
      <c r="A212" s="26"/>
      <c r="B212" s="13" t="str">
        <f>CONCATENATE("     ","Advertising/Promo                                 ")</f>
        <v xml:space="preserve">     Advertising/Promo                                 </v>
      </c>
      <c r="C212" s="13"/>
      <c r="D212" s="1">
        <f>SUM(OSRRefD22_2x_0)</f>
        <v>2888.23</v>
      </c>
      <c r="E212" s="1"/>
      <c r="F212" s="5">
        <f t="shared" ref="F212:F216" si="32">IF(D$12=0,0,D212/D$12)</f>
        <v>3.5960909420811272E-3</v>
      </c>
      <c r="G212" s="1"/>
      <c r="H212" s="1">
        <f>SUM(OSRRefH22_2x_0)</f>
        <v>6470</v>
      </c>
      <c r="I212" s="1"/>
      <c r="J212" s="5">
        <f t="shared" ref="J212:J216" si="33">IF(H$12=0,0,H212/H$12)</f>
        <v>7.1476885564944921E-3</v>
      </c>
      <c r="K212" s="1"/>
      <c r="L212" s="1">
        <f t="shared" ref="L212:L216" si="34">+D212-H212</f>
        <v>-3581.77</v>
      </c>
      <c r="M212" s="1"/>
      <c r="N212" s="5">
        <f t="shared" ref="N212:N216" si="35">IF(H212=0,0,L212/H212)</f>
        <v>-0.55359659969088104</v>
      </c>
      <c r="O212" s="13"/>
      <c r="P212" s="1">
        <f>SUM(OSRRefP22_2x_0)</f>
        <v>44892.09</v>
      </c>
      <c r="Q212" s="1"/>
      <c r="R212" s="5">
        <f t="shared" ref="R212:R216" si="36">IF(P$12=0,0,P212/P$12)</f>
        <v>4.3625727274750016E-3</v>
      </c>
      <c r="S212" s="1"/>
      <c r="T212" s="1">
        <f>SUM(OSRRefT22_2x_0)</f>
        <v>55610</v>
      </c>
      <c r="U212" s="1"/>
      <c r="V212" s="5">
        <f t="shared" ref="V212:V216" si="37">IF(T$12=0,0,T212/T$12)</f>
        <v>5.1074379996687274E-3</v>
      </c>
      <c r="W212" s="1"/>
      <c r="X212" s="1">
        <f t="shared" ref="X212:X216" si="38">+P212-T212</f>
        <v>-10717.910000000003</v>
      </c>
      <c r="Y212" s="1"/>
      <c r="Z212" s="5">
        <f t="shared" ref="Z212:Z216" si="39">IF(T212=0,0,X212/T212)</f>
        <v>-0.1927335011688546</v>
      </c>
    </row>
    <row r="213" spans="1:26" s="24" customFormat="1" hidden="1" outlineLevel="2" x14ac:dyDescent="0.25">
      <c r="A213" s="25"/>
      <c r="B213" s="11" t="str">
        <f>CONCATENATE("          ", "6362", " - ", "ADVERTISING EXPENSE")</f>
        <v xml:space="preserve">          6362 - ADVERTISING EXPENSE</v>
      </c>
      <c r="C213" s="11"/>
      <c r="D213" s="6">
        <v>2888.23</v>
      </c>
      <c r="E213" s="2"/>
      <c r="F213" s="7">
        <f t="shared" si="32"/>
        <v>3.5960909420811272E-3</v>
      </c>
      <c r="G213" s="2"/>
      <c r="H213" s="6">
        <v>6470</v>
      </c>
      <c r="I213" s="2"/>
      <c r="J213" s="7">
        <f t="shared" si="33"/>
        <v>7.1476885564944921E-3</v>
      </c>
      <c r="K213" s="2"/>
      <c r="L213" s="6">
        <f t="shared" si="34"/>
        <v>-3581.77</v>
      </c>
      <c r="M213" s="2"/>
      <c r="N213" s="7">
        <f t="shared" si="35"/>
        <v>-0.55359659969088104</v>
      </c>
      <c r="O213" s="11"/>
      <c r="P213" s="6">
        <v>44892.09</v>
      </c>
      <c r="Q213" s="2"/>
      <c r="R213" s="7">
        <f t="shared" si="36"/>
        <v>4.3625727274750016E-3</v>
      </c>
      <c r="S213" s="2"/>
      <c r="T213" s="6">
        <v>55610</v>
      </c>
      <c r="U213" s="2"/>
      <c r="V213" s="7">
        <f t="shared" si="37"/>
        <v>5.1074379996687274E-3</v>
      </c>
      <c r="W213" s="2"/>
      <c r="X213" s="6">
        <f t="shared" si="38"/>
        <v>-10717.910000000003</v>
      </c>
      <c r="Y213" s="2"/>
      <c r="Z213" s="7">
        <f t="shared" si="39"/>
        <v>-0.1927335011688546</v>
      </c>
    </row>
    <row r="214" spans="1:26" s="27" customFormat="1" outlineLevel="1" collapsed="1" x14ac:dyDescent="0.25">
      <c r="A214" s="26"/>
      <c r="B214" s="13" t="str">
        <f>CONCATENATE("     ","Bad Debts/Over/Short                              ")</f>
        <v xml:space="preserve">     Bad Debts/Over/Short                              </v>
      </c>
      <c r="C214" s="13"/>
      <c r="D214" s="1">
        <f>SUM(OSRRefD22_3x_0)</f>
        <v>-35.479999999999997</v>
      </c>
      <c r="E214" s="1"/>
      <c r="F214" s="5">
        <f t="shared" si="32"/>
        <v>-4.4175604652343612E-5</v>
      </c>
      <c r="G214" s="1"/>
      <c r="H214" s="1">
        <f>SUM(OSRRefH22_3x_0)</f>
        <v>135</v>
      </c>
      <c r="I214" s="1"/>
      <c r="J214" s="5">
        <f t="shared" si="33"/>
        <v>1.4914033309532557E-4</v>
      </c>
      <c r="K214" s="1"/>
      <c r="L214" s="1">
        <f t="shared" si="34"/>
        <v>-170.48</v>
      </c>
      <c r="M214" s="1"/>
      <c r="N214" s="5">
        <f t="shared" si="35"/>
        <v>-1.2628148148148148</v>
      </c>
      <c r="O214" s="13"/>
      <c r="P214" s="1">
        <f>SUM(OSRRefP22_3x_0)</f>
        <v>19.539999999999996</v>
      </c>
      <c r="Q214" s="1"/>
      <c r="R214" s="5">
        <f t="shared" si="36"/>
        <v>1.8988795374610876E-6</v>
      </c>
      <c r="S214" s="1"/>
      <c r="T214" s="1">
        <f>SUM(OSRRefT22_3x_0)</f>
        <v>1080</v>
      </c>
      <c r="U214" s="1"/>
      <c r="V214" s="5">
        <f t="shared" si="37"/>
        <v>9.9191387154148997E-5</v>
      </c>
      <c r="W214" s="1"/>
      <c r="X214" s="1">
        <f t="shared" si="38"/>
        <v>-1060.46</v>
      </c>
      <c r="Y214" s="1"/>
      <c r="Z214" s="5">
        <f t="shared" si="39"/>
        <v>-0.98190740740740745</v>
      </c>
    </row>
    <row r="215" spans="1:26" s="24" customFormat="1" hidden="1" outlineLevel="2" x14ac:dyDescent="0.25">
      <c r="A215" s="25"/>
      <c r="B215" s="11" t="str">
        <f>CONCATENATE("          ", "6272", " - ", "CASH (OVER/SHORT)")</f>
        <v xml:space="preserve">          6272 - CASH (OVER/SHORT)</v>
      </c>
      <c r="C215" s="11"/>
      <c r="D215" s="6">
        <v>-35.479999999999997</v>
      </c>
      <c r="E215" s="2"/>
      <c r="F215" s="7">
        <f t="shared" si="32"/>
        <v>-4.4175604652343612E-5</v>
      </c>
      <c r="G215" s="2"/>
      <c r="H215" s="6">
        <v>125</v>
      </c>
      <c r="I215" s="2"/>
      <c r="J215" s="7">
        <f t="shared" si="33"/>
        <v>1.3809290101419035E-4</v>
      </c>
      <c r="K215" s="2"/>
      <c r="L215" s="6">
        <f t="shared" si="34"/>
        <v>-160.47999999999999</v>
      </c>
      <c r="M215" s="2"/>
      <c r="N215" s="7">
        <f t="shared" si="35"/>
        <v>-1.2838399999999999</v>
      </c>
      <c r="O215" s="11"/>
      <c r="P215" s="6">
        <v>-25.26</v>
      </c>
      <c r="Q215" s="2"/>
      <c r="R215" s="7">
        <f t="shared" si="36"/>
        <v>-2.4547439670556339E-6</v>
      </c>
      <c r="S215" s="2"/>
      <c r="T215" s="6">
        <v>1000</v>
      </c>
      <c r="U215" s="2"/>
      <c r="V215" s="7">
        <f t="shared" si="37"/>
        <v>9.1843876994582405E-5</v>
      </c>
      <c r="W215" s="2"/>
      <c r="X215" s="6">
        <f t="shared" si="38"/>
        <v>-1025.26</v>
      </c>
      <c r="Y215" s="2"/>
      <c r="Z215" s="7">
        <f t="shared" si="39"/>
        <v>-1.0252600000000001</v>
      </c>
    </row>
    <row r="216" spans="1:26" s="24" customFormat="1" hidden="1" outlineLevel="2" x14ac:dyDescent="0.25">
      <c r="A216" s="25"/>
      <c r="B216" s="11" t="str">
        <f>CONCATENATE("          ", "6342", " - ", "BAD DEBT")</f>
        <v xml:space="preserve">          6342 - BAD DEBT</v>
      </c>
      <c r="C216" s="11"/>
      <c r="D216" s="6"/>
      <c r="E216" s="2"/>
      <c r="F216" s="7">
        <f t="shared" si="32"/>
        <v>0</v>
      </c>
      <c r="G216" s="2"/>
      <c r="H216" s="6">
        <v>10</v>
      </c>
      <c r="I216" s="2"/>
      <c r="J216" s="7">
        <f t="shared" si="33"/>
        <v>1.1047432081135227E-5</v>
      </c>
      <c r="K216" s="2"/>
      <c r="L216" s="6">
        <f t="shared" si="34"/>
        <v>-10</v>
      </c>
      <c r="M216" s="2"/>
      <c r="N216" s="7">
        <f t="shared" si="35"/>
        <v>-1</v>
      </c>
      <c r="O216" s="11"/>
      <c r="P216" s="6">
        <v>44.8</v>
      </c>
      <c r="Q216" s="2"/>
      <c r="R216" s="7">
        <f t="shared" si="36"/>
        <v>4.3536235045167213E-6</v>
      </c>
      <c r="S216" s="2"/>
      <c r="T216" s="6">
        <v>80</v>
      </c>
      <c r="U216" s="2"/>
      <c r="V216" s="7">
        <f t="shared" si="37"/>
        <v>7.3475101595665918E-6</v>
      </c>
      <c r="W216" s="2"/>
      <c r="X216" s="6">
        <f t="shared" si="38"/>
        <v>-35.200000000000003</v>
      </c>
      <c r="Y216" s="2"/>
      <c r="Z216" s="7">
        <f t="shared" si="39"/>
        <v>-0.44000000000000006</v>
      </c>
    </row>
    <row r="217" spans="1:26" s="27" customFormat="1" outlineLevel="1" collapsed="1" x14ac:dyDescent="0.25">
      <c r="A217" s="26"/>
      <c r="B217" s="13" t="str">
        <f>CONCATENATE("     ","Bank/card Fees                                    ")</f>
        <v xml:space="preserve">     Bank/card Fees                                    </v>
      </c>
      <c r="C217" s="13"/>
      <c r="D217" s="1">
        <f>SUM(OSRRefD22_4x_0)</f>
        <v>13910.91</v>
      </c>
      <c r="E217" s="1"/>
      <c r="F217" s="5">
        <f t="shared" ref="F217:F223" si="40">IF(D$12=0,0,D217/D$12)</f>
        <v>1.7320261006604658E-2</v>
      </c>
      <c r="G217" s="1"/>
      <c r="H217" s="1">
        <f>SUM(OSRRefH22_4x_0)</f>
        <v>14600</v>
      </c>
      <c r="I217" s="1"/>
      <c r="J217" s="5">
        <f t="shared" ref="J217:J223" si="41">IF(H$12=0,0,H217/H$12)</f>
        <v>1.6129250838457433E-2</v>
      </c>
      <c r="K217" s="1"/>
      <c r="L217" s="1">
        <f t="shared" ref="L217:L223" si="42">+D217-H217</f>
        <v>-689.09000000000015</v>
      </c>
      <c r="M217" s="1"/>
      <c r="N217" s="5">
        <f t="shared" ref="N217:N223" si="43">IF(H217=0,0,L217/H217)</f>
        <v>-4.7197945205479465E-2</v>
      </c>
      <c r="O217" s="13"/>
      <c r="P217" s="1">
        <f>SUM(OSRRefP22_4x_0)</f>
        <v>131235.68</v>
      </c>
      <c r="Q217" s="1"/>
      <c r="R217" s="5">
        <f t="shared" ref="R217:R223" si="44">IF(P$12=0,0,P217/P$12)</f>
        <v>1.2753364756232923E-2</v>
      </c>
      <c r="S217" s="1"/>
      <c r="T217" s="1">
        <f>SUM(OSRRefT22_4x_0)</f>
        <v>141985</v>
      </c>
      <c r="U217" s="1"/>
      <c r="V217" s="5">
        <f t="shared" ref="V217:V223" si="45">IF(T$12=0,0,T217/T$12)</f>
        <v>1.3040452875075782E-2</v>
      </c>
      <c r="W217" s="1"/>
      <c r="X217" s="1">
        <f t="shared" ref="X217:X223" si="46">+P217-T217</f>
        <v>-10749.320000000007</v>
      </c>
      <c r="Y217" s="1"/>
      <c r="Z217" s="5">
        <f t="shared" ref="Z217:Z223" si="47">IF(T217=0,0,X217/T217)</f>
        <v>-7.5707433883861017E-2</v>
      </c>
    </row>
    <row r="218" spans="1:26" s="24" customFormat="1" hidden="1" outlineLevel="2" x14ac:dyDescent="0.25">
      <c r="A218" s="25"/>
      <c r="B218" s="11" t="str">
        <f>CONCATENATE("          ", "6381", " - ", "BANK/CREDIT CARD FEES")</f>
        <v xml:space="preserve">          6381 - BANK/CREDIT CARD FEES</v>
      </c>
      <c r="C218" s="11"/>
      <c r="D218" s="6">
        <v>13910.91</v>
      </c>
      <c r="E218" s="2"/>
      <c r="F218" s="7">
        <f t="shared" si="40"/>
        <v>1.7320261006604658E-2</v>
      </c>
      <c r="G218" s="2"/>
      <c r="H218" s="6">
        <v>14600</v>
      </c>
      <c r="I218" s="2"/>
      <c r="J218" s="7">
        <f t="shared" si="41"/>
        <v>1.6129250838457433E-2</v>
      </c>
      <c r="K218" s="2"/>
      <c r="L218" s="6">
        <f t="shared" si="42"/>
        <v>-689.09000000000015</v>
      </c>
      <c r="M218" s="2"/>
      <c r="N218" s="7">
        <f t="shared" si="43"/>
        <v>-4.7197945205479465E-2</v>
      </c>
      <c r="O218" s="11"/>
      <c r="P218" s="6">
        <v>131235.68</v>
      </c>
      <c r="Q218" s="2"/>
      <c r="R218" s="7">
        <f t="shared" si="44"/>
        <v>1.2753364756232923E-2</v>
      </c>
      <c r="S218" s="2"/>
      <c r="T218" s="6">
        <v>141985</v>
      </c>
      <c r="U218" s="2"/>
      <c r="V218" s="7">
        <f t="shared" si="45"/>
        <v>1.3040452875075782E-2</v>
      </c>
      <c r="W218" s="2"/>
      <c r="X218" s="6">
        <f t="shared" si="46"/>
        <v>-10749.320000000007</v>
      </c>
      <c r="Y218" s="2"/>
      <c r="Z218" s="7">
        <f t="shared" si="47"/>
        <v>-7.5707433883861017E-2</v>
      </c>
    </row>
    <row r="219" spans="1:26" s="27" customFormat="1" outlineLevel="1" collapsed="1" x14ac:dyDescent="0.25">
      <c r="A219" s="26"/>
      <c r="B219" s="13" t="str">
        <f>CONCATENATE("     ","Depreciation                                      ")</f>
        <v xml:space="preserve">     Depreciation                                      </v>
      </c>
      <c r="C219" s="13"/>
      <c r="D219" s="1">
        <f>SUM(OSRRefD22_5x_0)</f>
        <v>30578.65</v>
      </c>
      <c r="E219" s="1"/>
      <c r="F219" s="5">
        <f t="shared" si="40"/>
        <v>3.8073008827575736E-2</v>
      </c>
      <c r="G219" s="1"/>
      <c r="H219" s="1">
        <f>SUM(OSRRefH22_5x_0)</f>
        <v>31271</v>
      </c>
      <c r="I219" s="1"/>
      <c r="J219" s="5">
        <f t="shared" si="41"/>
        <v>3.4546424860917968E-2</v>
      </c>
      <c r="K219" s="1"/>
      <c r="L219" s="1">
        <f t="shared" si="42"/>
        <v>-692.34999999999854</v>
      </c>
      <c r="M219" s="1"/>
      <c r="N219" s="5">
        <f t="shared" si="43"/>
        <v>-2.214032170381499E-2</v>
      </c>
      <c r="O219" s="13"/>
      <c r="P219" s="1">
        <f>SUM(OSRRefP22_5x_0)</f>
        <v>240133.5</v>
      </c>
      <c r="Q219" s="1"/>
      <c r="R219" s="5">
        <f t="shared" si="44"/>
        <v>2.3335956469238084E-2</v>
      </c>
      <c r="S219" s="1"/>
      <c r="T219" s="1">
        <f>SUM(OSRRefT22_5x_0)</f>
        <v>244585</v>
      </c>
      <c r="U219" s="1"/>
      <c r="V219" s="5">
        <f t="shared" si="45"/>
        <v>2.2463634654719938E-2</v>
      </c>
      <c r="W219" s="1"/>
      <c r="X219" s="1">
        <f t="shared" si="46"/>
        <v>-4451.5</v>
      </c>
      <c r="Y219" s="1"/>
      <c r="Z219" s="5">
        <f t="shared" si="47"/>
        <v>-1.8200216693583009E-2</v>
      </c>
    </row>
    <row r="220" spans="1:26" s="24" customFormat="1" hidden="1" outlineLevel="2" x14ac:dyDescent="0.25">
      <c r="A220" s="25"/>
      <c r="B220" s="11" t="str">
        <f>CONCATENATE("          ", "6321", " - ", "BUILDING DEPRECIATION")</f>
        <v xml:space="preserve">          6321 - BUILDING DEPRECIATION</v>
      </c>
      <c r="C220" s="11"/>
      <c r="D220" s="6">
        <v>16396.52</v>
      </c>
      <c r="E220" s="2"/>
      <c r="F220" s="7">
        <f t="shared" si="40"/>
        <v>2.0415055952487181E-2</v>
      </c>
      <c r="G220" s="2"/>
      <c r="H220" s="6">
        <v>16397</v>
      </c>
      <c r="I220" s="2"/>
      <c r="J220" s="7">
        <f t="shared" si="41"/>
        <v>1.8114474383437433E-2</v>
      </c>
      <c r="K220" s="2"/>
      <c r="L220" s="6">
        <f t="shared" si="42"/>
        <v>-0.47999999999956344</v>
      </c>
      <c r="M220" s="2"/>
      <c r="N220" s="7">
        <f t="shared" si="43"/>
        <v>-2.927364761844017E-5</v>
      </c>
      <c r="O220" s="11"/>
      <c r="P220" s="6">
        <v>131172.16</v>
      </c>
      <c r="Q220" s="2"/>
      <c r="R220" s="7">
        <f t="shared" si="44"/>
        <v>1.2747191940049736E-2</v>
      </c>
      <c r="S220" s="2"/>
      <c r="T220" s="6">
        <v>131344</v>
      </c>
      <c r="U220" s="2"/>
      <c r="V220" s="7">
        <f t="shared" si="45"/>
        <v>1.206314217997643E-2</v>
      </c>
      <c r="W220" s="2"/>
      <c r="X220" s="6">
        <f t="shared" si="46"/>
        <v>-171.83999999999651</v>
      </c>
      <c r="Y220" s="2"/>
      <c r="Z220" s="7">
        <f t="shared" si="47"/>
        <v>-1.3083201364355928E-3</v>
      </c>
    </row>
    <row r="221" spans="1:26" s="24" customFormat="1" hidden="1" outlineLevel="2" x14ac:dyDescent="0.25">
      <c r="A221" s="25"/>
      <c r="B221" s="11" t="str">
        <f>CONCATENATE("          ", "6322", " - ", "EQUIPMENT DEPRECIATION EXPENSE")</f>
        <v xml:space="preserve">          6322 - EQUIPMENT DEPRECIATION EXPENSE</v>
      </c>
      <c r="C221" s="11"/>
      <c r="D221" s="6">
        <v>14182.13</v>
      </c>
      <c r="E221" s="2"/>
      <c r="F221" s="7">
        <f t="shared" si="40"/>
        <v>1.7657952875088555E-2</v>
      </c>
      <c r="G221" s="2"/>
      <c r="H221" s="6">
        <v>13049</v>
      </c>
      <c r="I221" s="2"/>
      <c r="J221" s="7">
        <f t="shared" si="41"/>
        <v>1.4415794122673358E-2</v>
      </c>
      <c r="K221" s="2"/>
      <c r="L221" s="6">
        <f t="shared" si="42"/>
        <v>1133.1299999999992</v>
      </c>
      <c r="M221" s="2"/>
      <c r="N221" s="7">
        <f t="shared" si="43"/>
        <v>8.6836539198405949E-2</v>
      </c>
      <c r="O221" s="11"/>
      <c r="P221" s="6">
        <v>108961.34</v>
      </c>
      <c r="Q221" s="2"/>
      <c r="R221" s="7">
        <f t="shared" si="44"/>
        <v>1.0588764529188348E-2</v>
      </c>
      <c r="S221" s="2"/>
      <c r="T221" s="6">
        <v>104392</v>
      </c>
      <c r="U221" s="2"/>
      <c r="V221" s="7">
        <f t="shared" si="45"/>
        <v>9.5877660072184456E-3</v>
      </c>
      <c r="W221" s="2"/>
      <c r="X221" s="6">
        <f t="shared" si="46"/>
        <v>4569.3399999999965</v>
      </c>
      <c r="Y221" s="2"/>
      <c r="Z221" s="7">
        <f t="shared" si="47"/>
        <v>4.3770978619051236E-2</v>
      </c>
    </row>
    <row r="222" spans="1:26" s="24" customFormat="1" hidden="1" outlineLevel="2" x14ac:dyDescent="0.25">
      <c r="A222" s="25"/>
      <c r="B222" s="11" t="str">
        <f>CONCATENATE("          ", "6324", " - ", "FURNITURE + FIXT DEPRECIATION")</f>
        <v xml:space="preserve">          6324 - FURNITURE + FIXT DEPRECIATION</v>
      </c>
      <c r="C222" s="11"/>
      <c r="D222" s="6"/>
      <c r="E222" s="2"/>
      <c r="F222" s="7">
        <f t="shared" si="40"/>
        <v>0</v>
      </c>
      <c r="G222" s="2"/>
      <c r="H222" s="6">
        <v>1492</v>
      </c>
      <c r="I222" s="2"/>
      <c r="J222" s="7">
        <f t="shared" si="41"/>
        <v>1.6482768665053759E-3</v>
      </c>
      <c r="K222" s="2"/>
      <c r="L222" s="6">
        <f t="shared" si="42"/>
        <v>-1492</v>
      </c>
      <c r="M222" s="2"/>
      <c r="N222" s="7">
        <f t="shared" si="43"/>
        <v>-1</v>
      </c>
      <c r="O222" s="11"/>
      <c r="P222" s="6"/>
      <c r="Q222" s="2"/>
      <c r="R222" s="7">
        <f t="shared" si="44"/>
        <v>0</v>
      </c>
      <c r="S222" s="2"/>
      <c r="T222" s="6">
        <v>7184</v>
      </c>
      <c r="U222" s="2"/>
      <c r="V222" s="7">
        <f t="shared" si="45"/>
        <v>6.5980641232907993E-4</v>
      </c>
      <c r="W222" s="2"/>
      <c r="X222" s="6">
        <f t="shared" si="46"/>
        <v>-7184</v>
      </c>
      <c r="Y222" s="2"/>
      <c r="Z222" s="7">
        <f t="shared" si="47"/>
        <v>-1</v>
      </c>
    </row>
    <row r="223" spans="1:26" s="24" customFormat="1" hidden="1" outlineLevel="2" x14ac:dyDescent="0.25">
      <c r="A223" s="25"/>
      <c r="B223" s="11" t="str">
        <f>CONCATENATE("          ", "6326", " - ", "VEHICLES DEPRECIATION EXPENSE")</f>
        <v xml:space="preserve">          6326 - VEHICLES DEPRECIATION EXPENSE</v>
      </c>
      <c r="C223" s="11"/>
      <c r="D223" s="6"/>
      <c r="E223" s="2"/>
      <c r="F223" s="7">
        <f t="shared" si="40"/>
        <v>0</v>
      </c>
      <c r="G223" s="2"/>
      <c r="H223" s="6">
        <v>333</v>
      </c>
      <c r="I223" s="2"/>
      <c r="J223" s="7">
        <f t="shared" si="41"/>
        <v>3.6787948830180306E-4</v>
      </c>
      <c r="K223" s="2"/>
      <c r="L223" s="6">
        <f t="shared" si="42"/>
        <v>-333</v>
      </c>
      <c r="M223" s="2"/>
      <c r="N223" s="7">
        <f t="shared" si="43"/>
        <v>-1</v>
      </c>
      <c r="O223" s="11"/>
      <c r="P223" s="6"/>
      <c r="Q223" s="2"/>
      <c r="R223" s="7">
        <f t="shared" si="44"/>
        <v>0</v>
      </c>
      <c r="S223" s="2"/>
      <c r="T223" s="6">
        <v>1665</v>
      </c>
      <c r="U223" s="2"/>
      <c r="V223" s="7">
        <f t="shared" si="45"/>
        <v>1.529200551959797E-4</v>
      </c>
      <c r="W223" s="2"/>
      <c r="X223" s="6">
        <f t="shared" si="46"/>
        <v>-1665</v>
      </c>
      <c r="Y223" s="2"/>
      <c r="Z223" s="7">
        <f t="shared" si="47"/>
        <v>-1</v>
      </c>
    </row>
    <row r="224" spans="1:26" s="27" customFormat="1" outlineLevel="1" collapsed="1" x14ac:dyDescent="0.25">
      <c r="A224" s="26"/>
      <c r="B224" s="13" t="str">
        <f>CONCATENATE("     ","Discounts and Markdowns                           ")</f>
        <v xml:space="preserve">     Discounts and Markdowns                           </v>
      </c>
      <c r="C224" s="13"/>
      <c r="D224" s="1">
        <f>SUM(OSRRefD22_6x_0)</f>
        <v>33282.050000000003</v>
      </c>
      <c r="E224" s="1"/>
      <c r="F224" s="5">
        <f t="shared" ref="F224:F226" si="48">IF(D$12=0,0,D224/D$12)</f>
        <v>4.1438970767179624E-2</v>
      </c>
      <c r="G224" s="1"/>
      <c r="H224" s="1">
        <f>SUM(OSRRefH22_6x_0)</f>
        <v>29725</v>
      </c>
      <c r="I224" s="1"/>
      <c r="J224" s="5">
        <f t="shared" ref="J224:J226" si="49">IF(H$12=0,0,H224/H$12)</f>
        <v>3.2838491861174463E-2</v>
      </c>
      <c r="K224" s="1"/>
      <c r="L224" s="1">
        <f t="shared" ref="L224:L226" si="50">+D224-H224</f>
        <v>3557.0500000000029</v>
      </c>
      <c r="M224" s="1"/>
      <c r="N224" s="5">
        <f t="shared" ref="N224:N226" si="51">IF(H224=0,0,L224/H224)</f>
        <v>0.11966526492851146</v>
      </c>
      <c r="O224" s="13"/>
      <c r="P224" s="1">
        <f>SUM(OSRRefP22_6x_0)</f>
        <v>308653.90999999997</v>
      </c>
      <c r="Q224" s="1"/>
      <c r="R224" s="5">
        <f t="shared" ref="R224:R226" si="52">IF(P$12=0,0,P224/P$12)</f>
        <v>2.9994707976272069E-2</v>
      </c>
      <c r="S224" s="1"/>
      <c r="T224" s="1">
        <f>SUM(OSRRefT22_6x_0)</f>
        <v>276700</v>
      </c>
      <c r="U224" s="1"/>
      <c r="V224" s="5">
        <f t="shared" ref="V224:V226" si="53">IF(T$12=0,0,T224/T$12)</f>
        <v>2.5413200764400949E-2</v>
      </c>
      <c r="W224" s="1"/>
      <c r="X224" s="1">
        <f t="shared" ref="X224:X226" si="54">+P224-T224</f>
        <v>31953.909999999974</v>
      </c>
      <c r="Y224" s="1"/>
      <c r="Z224" s="5">
        <f t="shared" ref="Z224:Z226" si="55">IF(T224=0,0,X224/T224)</f>
        <v>0.11548214672930963</v>
      </c>
    </row>
    <row r="225" spans="1:26" s="24" customFormat="1" hidden="1" outlineLevel="2" x14ac:dyDescent="0.25">
      <c r="A225" s="25"/>
      <c r="B225" s="11" t="str">
        <f>CONCATENATE("          ", "6382", " - ", "DISCOUNTS/MARK DOWNS")</f>
        <v xml:space="preserve">          6382 - DISCOUNTS/MARK DOWNS</v>
      </c>
      <c r="C225" s="11"/>
      <c r="D225" s="6">
        <v>33470.82</v>
      </c>
      <c r="E225" s="2"/>
      <c r="F225" s="7">
        <f t="shared" si="48"/>
        <v>4.1674005403318934E-2</v>
      </c>
      <c r="G225" s="2"/>
      <c r="H225" s="6">
        <v>29725</v>
      </c>
      <c r="I225" s="2"/>
      <c r="J225" s="7">
        <f t="shared" si="49"/>
        <v>3.2838491861174463E-2</v>
      </c>
      <c r="K225" s="2"/>
      <c r="L225" s="6">
        <f t="shared" si="50"/>
        <v>3745.8199999999997</v>
      </c>
      <c r="M225" s="2"/>
      <c r="N225" s="7">
        <f t="shared" si="51"/>
        <v>0.12601581160639191</v>
      </c>
      <c r="O225" s="11"/>
      <c r="P225" s="6">
        <v>311749.68</v>
      </c>
      <c r="Q225" s="2"/>
      <c r="R225" s="7">
        <f t="shared" si="52"/>
        <v>3.0295552106552822E-2</v>
      </c>
      <c r="S225" s="2"/>
      <c r="T225" s="6">
        <v>276700</v>
      </c>
      <c r="U225" s="2"/>
      <c r="V225" s="7">
        <f t="shared" si="53"/>
        <v>2.5413200764400949E-2</v>
      </c>
      <c r="W225" s="2"/>
      <c r="X225" s="6">
        <f t="shared" si="54"/>
        <v>35049.679999999993</v>
      </c>
      <c r="Y225" s="2"/>
      <c r="Z225" s="7">
        <f t="shared" si="55"/>
        <v>0.12667032887603902</v>
      </c>
    </row>
    <row r="226" spans="1:26" s="24" customFormat="1" hidden="1" outlineLevel="2" x14ac:dyDescent="0.25">
      <c r="A226" s="25"/>
      <c r="B226" s="11" t="str">
        <f>CONCATENATE("          ", "9175", " - ", "EARNED DISCOUNTS")</f>
        <v xml:space="preserve">          9175 - EARNED DISCOUNTS</v>
      </c>
      <c r="C226" s="11"/>
      <c r="D226" s="6">
        <v>-188.77</v>
      </c>
      <c r="E226" s="2"/>
      <c r="F226" s="7">
        <f t="shared" si="48"/>
        <v>-2.3503463613931523E-4</v>
      </c>
      <c r="G226" s="2"/>
      <c r="H226" s="6"/>
      <c r="I226" s="2"/>
      <c r="J226" s="7">
        <f t="shared" si="49"/>
        <v>0</v>
      </c>
      <c r="K226" s="2"/>
      <c r="L226" s="6">
        <f t="shared" si="50"/>
        <v>-188.77</v>
      </c>
      <c r="M226" s="2"/>
      <c r="N226" s="7">
        <f t="shared" si="51"/>
        <v>0</v>
      </c>
      <c r="O226" s="11"/>
      <c r="P226" s="6">
        <v>-3095.77</v>
      </c>
      <c r="Q226" s="2"/>
      <c r="R226" s="7">
        <f t="shared" si="52"/>
        <v>-3.0084413028075291E-4</v>
      </c>
      <c r="S226" s="2"/>
      <c r="T226" s="6"/>
      <c r="U226" s="2"/>
      <c r="V226" s="7">
        <f t="shared" si="53"/>
        <v>0</v>
      </c>
      <c r="W226" s="2"/>
      <c r="X226" s="6">
        <f t="shared" si="54"/>
        <v>-3095.77</v>
      </c>
      <c r="Y226" s="2"/>
      <c r="Z226" s="7">
        <f t="shared" si="55"/>
        <v>0</v>
      </c>
    </row>
    <row r="227" spans="1:26" s="27" customFormat="1" outlineLevel="1" collapsed="1" x14ac:dyDescent="0.25">
      <c r="A227" s="26"/>
      <c r="B227" s="13" t="str">
        <f>CONCATENATE("     ","Donations                                         ")</f>
        <v xml:space="preserve">     Donations                                         </v>
      </c>
      <c r="C227" s="13"/>
      <c r="D227" s="1">
        <f>SUM(OSRRefD22_7x_0)</f>
        <v>1804</v>
      </c>
      <c r="E227" s="1"/>
      <c r="F227" s="5">
        <f t="shared" ref="F227:F229" si="56">IF(D$12=0,0,D227/D$12)</f>
        <v>2.2461327731913157E-3</v>
      </c>
      <c r="G227" s="1"/>
      <c r="H227" s="1">
        <f>SUM(OSRRefH22_7x_0)</f>
        <v>1025</v>
      </c>
      <c r="I227" s="1"/>
      <c r="J227" s="5">
        <f t="shared" ref="J227:J229" si="57">IF(H$12=0,0,H227/H$12)</f>
        <v>1.1323617883163609E-3</v>
      </c>
      <c r="K227" s="1"/>
      <c r="L227" s="1">
        <f t="shared" ref="L227:L229" si="58">+D227-H227</f>
        <v>779</v>
      </c>
      <c r="M227" s="1"/>
      <c r="N227" s="5">
        <f t="shared" ref="N227:N229" si="59">IF(H227=0,0,L227/H227)</f>
        <v>0.76</v>
      </c>
      <c r="O227" s="13"/>
      <c r="P227" s="1">
        <f>SUM(OSRRefP22_7x_0)</f>
        <v>11602.22</v>
      </c>
      <c r="Q227" s="1"/>
      <c r="R227" s="5">
        <f t="shared" ref="R227:R229" si="60">IF(P$12=0,0,P227/P$12)</f>
        <v>1.1274932521556694E-3</v>
      </c>
      <c r="S227" s="1"/>
      <c r="T227" s="1">
        <f>SUM(OSRRefT22_7x_0)</f>
        <v>8275</v>
      </c>
      <c r="U227" s="1"/>
      <c r="V227" s="5">
        <f t="shared" ref="V227:V229" si="61">IF(T$12=0,0,T227/T$12)</f>
        <v>7.6000808213016937E-4</v>
      </c>
      <c r="W227" s="1"/>
      <c r="X227" s="1">
        <f t="shared" ref="X227:X229" si="62">+P227-T227</f>
        <v>3327.2199999999993</v>
      </c>
      <c r="Y227" s="1"/>
      <c r="Z227" s="5">
        <f t="shared" ref="Z227:Z229" si="63">IF(T227=0,0,X227/T227)</f>
        <v>0.40208096676737154</v>
      </c>
    </row>
    <row r="228" spans="1:26" s="24" customFormat="1" hidden="1" outlineLevel="2" x14ac:dyDescent="0.25">
      <c r="A228" s="25"/>
      <c r="B228" s="11" t="str">
        <f>CONCATENATE("          ", "6395", " - ", "DONATION-OFF CAMPUS")</f>
        <v xml:space="preserve">          6395 - DONATION-OFF CAMPUS</v>
      </c>
      <c r="C228" s="11"/>
      <c r="D228" s="6"/>
      <c r="E228" s="2"/>
      <c r="F228" s="7">
        <f t="shared" si="56"/>
        <v>0</v>
      </c>
      <c r="G228" s="2"/>
      <c r="H228" s="6">
        <v>1025</v>
      </c>
      <c r="I228" s="2"/>
      <c r="J228" s="7">
        <f t="shared" si="57"/>
        <v>1.1323617883163609E-3</v>
      </c>
      <c r="K228" s="2"/>
      <c r="L228" s="6">
        <f t="shared" si="58"/>
        <v>-1025</v>
      </c>
      <c r="M228" s="2"/>
      <c r="N228" s="7">
        <f t="shared" si="59"/>
        <v>-1</v>
      </c>
      <c r="O228" s="11"/>
      <c r="P228" s="6"/>
      <c r="Q228" s="2"/>
      <c r="R228" s="7">
        <f t="shared" si="60"/>
        <v>0</v>
      </c>
      <c r="S228" s="2"/>
      <c r="T228" s="6">
        <v>8275</v>
      </c>
      <c r="U228" s="2"/>
      <c r="V228" s="7">
        <f t="shared" si="61"/>
        <v>7.6000808213016937E-4</v>
      </c>
      <c r="W228" s="2"/>
      <c r="X228" s="6">
        <f t="shared" si="62"/>
        <v>-8275</v>
      </c>
      <c r="Y228" s="2"/>
      <c r="Z228" s="7">
        <f t="shared" si="63"/>
        <v>-1</v>
      </c>
    </row>
    <row r="229" spans="1:26" s="24" customFormat="1" hidden="1" outlineLevel="2" x14ac:dyDescent="0.25">
      <c r="A229" s="25"/>
      <c r="B229" s="11" t="str">
        <f>CONCATENATE("          ", "6399", " - ", "DONATION-ON CAMPUS")</f>
        <v xml:space="preserve">          6399 - DONATION-ON CAMPUS</v>
      </c>
      <c r="C229" s="11"/>
      <c r="D229" s="6">
        <v>1804</v>
      </c>
      <c r="E229" s="2"/>
      <c r="F229" s="7">
        <f t="shared" si="56"/>
        <v>2.2461327731913157E-3</v>
      </c>
      <c r="G229" s="2"/>
      <c r="H229" s="6"/>
      <c r="I229" s="2"/>
      <c r="J229" s="7">
        <f t="shared" si="57"/>
        <v>0</v>
      </c>
      <c r="K229" s="2"/>
      <c r="L229" s="6">
        <f t="shared" si="58"/>
        <v>1804</v>
      </c>
      <c r="M229" s="2"/>
      <c r="N229" s="7">
        <f t="shared" si="59"/>
        <v>0</v>
      </c>
      <c r="O229" s="11"/>
      <c r="P229" s="6">
        <v>11602.22</v>
      </c>
      <c r="Q229" s="2"/>
      <c r="R229" s="7">
        <f t="shared" si="60"/>
        <v>1.1274932521556694E-3</v>
      </c>
      <c r="S229" s="2"/>
      <c r="T229" s="6"/>
      <c r="U229" s="2"/>
      <c r="V229" s="7">
        <f t="shared" si="61"/>
        <v>0</v>
      </c>
      <c r="W229" s="2"/>
      <c r="X229" s="6">
        <f t="shared" si="62"/>
        <v>11602.22</v>
      </c>
      <c r="Y229" s="2"/>
      <c r="Z229" s="7">
        <f t="shared" si="63"/>
        <v>0</v>
      </c>
    </row>
    <row r="230" spans="1:26" s="27" customFormat="1" outlineLevel="1" collapsed="1" x14ac:dyDescent="0.25">
      <c r="A230" s="26"/>
      <c r="B230" s="13" t="str">
        <f>CONCATENATE("     ","Employees' Appreciation                           ")</f>
        <v xml:space="preserve">     Employees' Appreciation                           </v>
      </c>
      <c r="C230" s="13"/>
      <c r="D230" s="1">
        <f>SUM(OSRRefD22_8x_0)</f>
        <v>90.54</v>
      </c>
      <c r="E230" s="1"/>
      <c r="F230" s="5">
        <f t="shared" ref="F230:F236" si="64">IF(D$12=0,0,D230/D$12)</f>
        <v>1.1272996745273932E-4</v>
      </c>
      <c r="G230" s="1"/>
      <c r="H230" s="1">
        <f>SUM(OSRRefH22_8x_0)</f>
        <v>740</v>
      </c>
      <c r="I230" s="1"/>
      <c r="J230" s="5">
        <f t="shared" ref="J230:J236" si="65">IF(H$12=0,0,H230/H$12)</f>
        <v>8.175099740040068E-4</v>
      </c>
      <c r="K230" s="1"/>
      <c r="L230" s="1">
        <f t="shared" ref="L230:L236" si="66">+D230-H230</f>
        <v>-649.46</v>
      </c>
      <c r="M230" s="1"/>
      <c r="N230" s="5">
        <f t="shared" ref="N230:N236" si="67">IF(H230=0,0,L230/H230)</f>
        <v>-0.87764864864864867</v>
      </c>
      <c r="O230" s="13"/>
      <c r="P230" s="1">
        <f>SUM(OSRRefP22_8x_0)</f>
        <v>1284.58</v>
      </c>
      <c r="Q230" s="1"/>
      <c r="R230" s="5">
        <f t="shared" ref="R230:R236" si="68">IF(P$12=0,0,P230/P$12)</f>
        <v>1.2483432324625199E-4</v>
      </c>
      <c r="S230" s="1"/>
      <c r="T230" s="1">
        <f>SUM(OSRRefT22_8x_0)</f>
        <v>6095</v>
      </c>
      <c r="U230" s="1"/>
      <c r="V230" s="5">
        <f t="shared" ref="V230:V236" si="69">IF(T$12=0,0,T230/T$12)</f>
        <v>5.5978843028197973E-4</v>
      </c>
      <c r="W230" s="1"/>
      <c r="X230" s="1">
        <f t="shared" ref="X230:X236" si="70">+P230-T230</f>
        <v>-4810.42</v>
      </c>
      <c r="Y230" s="1"/>
      <c r="Z230" s="5">
        <f t="shared" ref="Z230:Z236" si="71">IF(T230=0,0,X230/T230)</f>
        <v>-0.78924036095159966</v>
      </c>
    </row>
    <row r="231" spans="1:26" s="24" customFormat="1" hidden="1" outlineLevel="2" x14ac:dyDescent="0.25">
      <c r="A231" s="25"/>
      <c r="B231" s="11" t="str">
        <f>CONCATENATE("          ", "6277", " - ", "EMPLOYEE APPRECIATION")</f>
        <v xml:space="preserve">          6277 - EMPLOYEE APPRECIATION</v>
      </c>
      <c r="C231" s="11"/>
      <c r="D231" s="6">
        <v>90.54</v>
      </c>
      <c r="E231" s="2"/>
      <c r="F231" s="7">
        <f t="shared" si="64"/>
        <v>1.1272996745273932E-4</v>
      </c>
      <c r="G231" s="2"/>
      <c r="H231" s="6">
        <v>740</v>
      </c>
      <c r="I231" s="2"/>
      <c r="J231" s="7">
        <f t="shared" si="65"/>
        <v>8.175099740040068E-4</v>
      </c>
      <c r="K231" s="2"/>
      <c r="L231" s="6">
        <f t="shared" si="66"/>
        <v>-649.46</v>
      </c>
      <c r="M231" s="2"/>
      <c r="N231" s="7">
        <f t="shared" si="67"/>
        <v>-0.87764864864864867</v>
      </c>
      <c r="O231" s="11"/>
      <c r="P231" s="6">
        <v>1284.58</v>
      </c>
      <c r="Q231" s="2"/>
      <c r="R231" s="7">
        <f t="shared" si="68"/>
        <v>1.2483432324625199E-4</v>
      </c>
      <c r="S231" s="2"/>
      <c r="T231" s="6">
        <v>6095</v>
      </c>
      <c r="U231" s="2"/>
      <c r="V231" s="7">
        <f t="shared" si="69"/>
        <v>5.5978843028197973E-4</v>
      </c>
      <c r="W231" s="2"/>
      <c r="X231" s="6">
        <f t="shared" si="70"/>
        <v>-4810.42</v>
      </c>
      <c r="Y231" s="2"/>
      <c r="Z231" s="7">
        <f t="shared" si="71"/>
        <v>-0.78924036095159966</v>
      </c>
    </row>
    <row r="232" spans="1:26" s="27" customFormat="1" outlineLevel="1" collapsed="1" x14ac:dyDescent="0.25">
      <c r="A232" s="26"/>
      <c r="B232" s="13" t="str">
        <f>CONCATENATE("     ","Equipment Rental                                  ")</f>
        <v xml:space="preserve">     Equipment Rental                                  </v>
      </c>
      <c r="C232" s="13"/>
      <c r="D232" s="1">
        <f>SUM(OSRRefD22_9x_0)</f>
        <v>1388.16</v>
      </c>
      <c r="E232" s="1"/>
      <c r="F232" s="5">
        <f t="shared" si="64"/>
        <v>1.728376757446373E-3</v>
      </c>
      <c r="G232" s="1"/>
      <c r="H232" s="1">
        <f>SUM(OSRRefH22_9x_0)</f>
        <v>3225</v>
      </c>
      <c r="I232" s="1"/>
      <c r="J232" s="5">
        <f t="shared" si="65"/>
        <v>3.5627968461661107E-3</v>
      </c>
      <c r="K232" s="1"/>
      <c r="L232" s="1">
        <f t="shared" si="66"/>
        <v>-1836.84</v>
      </c>
      <c r="M232" s="1"/>
      <c r="N232" s="5">
        <f t="shared" si="67"/>
        <v>-0.56956279069767435</v>
      </c>
      <c r="O232" s="13"/>
      <c r="P232" s="1">
        <f>SUM(OSRRefP22_9x_0)</f>
        <v>13866.46</v>
      </c>
      <c r="Q232" s="1"/>
      <c r="R232" s="5">
        <f t="shared" si="68"/>
        <v>1.3475300486705565E-3</v>
      </c>
      <c r="S232" s="1"/>
      <c r="T232" s="1">
        <f>SUM(OSRRefT22_9x_0)</f>
        <v>25800</v>
      </c>
      <c r="U232" s="1"/>
      <c r="V232" s="5">
        <f t="shared" si="69"/>
        <v>2.3695720264602258E-3</v>
      </c>
      <c r="W232" s="1"/>
      <c r="X232" s="1">
        <f t="shared" si="70"/>
        <v>-11933.54</v>
      </c>
      <c r="Y232" s="1"/>
      <c r="Z232" s="5">
        <f t="shared" si="71"/>
        <v>-0.46254031007751939</v>
      </c>
    </row>
    <row r="233" spans="1:26" s="24" customFormat="1" hidden="1" outlineLevel="2" x14ac:dyDescent="0.25">
      <c r="A233" s="25"/>
      <c r="B233" s="11" t="str">
        <f>CONCATENATE("          ", "6351", " - ", "EQUIPMENT RENTAL")</f>
        <v xml:space="preserve">          6351 - EQUIPMENT RENTAL</v>
      </c>
      <c r="C233" s="11"/>
      <c r="D233" s="6">
        <v>1388.16</v>
      </c>
      <c r="E233" s="2"/>
      <c r="F233" s="7">
        <f t="shared" si="64"/>
        <v>1.728376757446373E-3</v>
      </c>
      <c r="G233" s="2"/>
      <c r="H233" s="6">
        <v>3225</v>
      </c>
      <c r="I233" s="2"/>
      <c r="J233" s="7">
        <f t="shared" si="65"/>
        <v>3.5627968461661107E-3</v>
      </c>
      <c r="K233" s="2"/>
      <c r="L233" s="6">
        <f t="shared" si="66"/>
        <v>-1836.84</v>
      </c>
      <c r="M233" s="2"/>
      <c r="N233" s="7">
        <f t="shared" si="67"/>
        <v>-0.56956279069767435</v>
      </c>
      <c r="O233" s="11"/>
      <c r="P233" s="6">
        <v>13866.46</v>
      </c>
      <c r="Q233" s="2"/>
      <c r="R233" s="7">
        <f t="shared" si="68"/>
        <v>1.3475300486705565E-3</v>
      </c>
      <c r="S233" s="2"/>
      <c r="T233" s="6">
        <v>25800</v>
      </c>
      <c r="U233" s="2"/>
      <c r="V233" s="7">
        <f t="shared" si="69"/>
        <v>2.3695720264602258E-3</v>
      </c>
      <c r="W233" s="2"/>
      <c r="X233" s="6">
        <f t="shared" si="70"/>
        <v>-11933.54</v>
      </c>
      <c r="Y233" s="2"/>
      <c r="Z233" s="7">
        <f t="shared" si="71"/>
        <v>-0.46254031007751939</v>
      </c>
    </row>
    <row r="234" spans="1:26" s="27" customFormat="1" outlineLevel="1" collapsed="1" x14ac:dyDescent="0.25">
      <c r="A234" s="26"/>
      <c r="B234" s="13" t="str">
        <f>CONCATENATE("     ","Freight out/Postage                               ")</f>
        <v xml:space="preserve">     Freight out/Postage                               </v>
      </c>
      <c r="C234" s="13"/>
      <c r="D234" s="1">
        <f>SUM(OSRRefD22_10x_0)</f>
        <v>5427.98</v>
      </c>
      <c r="E234" s="1"/>
      <c r="F234" s="5">
        <f t="shared" si="64"/>
        <v>6.7582947728531025E-3</v>
      </c>
      <c r="G234" s="1"/>
      <c r="H234" s="1">
        <f>SUM(OSRRefH22_10x_0)</f>
        <v>-1185</v>
      </c>
      <c r="I234" s="1"/>
      <c r="J234" s="5">
        <f t="shared" si="65"/>
        <v>-1.3091207016145245E-3</v>
      </c>
      <c r="K234" s="1"/>
      <c r="L234" s="1">
        <f t="shared" si="66"/>
        <v>6612.98</v>
      </c>
      <c r="M234" s="1"/>
      <c r="N234" s="5">
        <f t="shared" si="67"/>
        <v>-5.5805738396624465</v>
      </c>
      <c r="O234" s="13"/>
      <c r="P234" s="1">
        <f>SUM(OSRRefP22_10x_0)</f>
        <v>-1188.1100000000079</v>
      </c>
      <c r="Q234" s="1"/>
      <c r="R234" s="5">
        <f t="shared" si="68"/>
        <v>-1.1545945584712938E-4</v>
      </c>
      <c r="S234" s="1"/>
      <c r="T234" s="1">
        <f>SUM(OSRRefT22_10x_0)</f>
        <v>-54180</v>
      </c>
      <c r="U234" s="1"/>
      <c r="V234" s="5">
        <f t="shared" si="69"/>
        <v>-4.9761012555664744E-3</v>
      </c>
      <c r="W234" s="1"/>
      <c r="X234" s="1">
        <f t="shared" si="70"/>
        <v>52991.889999999992</v>
      </c>
      <c r="Y234" s="1"/>
      <c r="Z234" s="5">
        <f t="shared" si="71"/>
        <v>-0.97807105943152439</v>
      </c>
    </row>
    <row r="235" spans="1:26" s="24" customFormat="1" hidden="1" outlineLevel="2" x14ac:dyDescent="0.25">
      <c r="A235" s="25"/>
      <c r="B235" s="11" t="str">
        <f>CONCATENATE("          ", "6305", " - ", "FREIGHT OUT")</f>
        <v xml:space="preserve">          6305 - FREIGHT OUT</v>
      </c>
      <c r="C235" s="11"/>
      <c r="D235" s="6">
        <v>8972.7999999999993</v>
      </c>
      <c r="E235" s="2"/>
      <c r="F235" s="7">
        <f t="shared" si="64"/>
        <v>1.1171895868786605E-2</v>
      </c>
      <c r="G235" s="2"/>
      <c r="H235" s="6">
        <v>-1225</v>
      </c>
      <c r="I235" s="2"/>
      <c r="J235" s="7">
        <f t="shared" si="65"/>
        <v>-1.3533104299390654E-3</v>
      </c>
      <c r="K235" s="2"/>
      <c r="L235" s="6">
        <f t="shared" si="66"/>
        <v>10197.799999999999</v>
      </c>
      <c r="M235" s="2"/>
      <c r="N235" s="7">
        <f t="shared" si="67"/>
        <v>-8.3247346938775504</v>
      </c>
      <c r="O235" s="11"/>
      <c r="P235" s="6">
        <v>46034.52</v>
      </c>
      <c r="Q235" s="2"/>
      <c r="R235" s="7">
        <f t="shared" si="68"/>
        <v>4.47359304221306E-3</v>
      </c>
      <c r="S235" s="2"/>
      <c r="T235" s="6">
        <v>-54500</v>
      </c>
      <c r="U235" s="2"/>
      <c r="V235" s="7">
        <f t="shared" si="69"/>
        <v>-5.0054912962047404E-3</v>
      </c>
      <c r="W235" s="2"/>
      <c r="X235" s="6">
        <f t="shared" si="70"/>
        <v>100534.51999999999</v>
      </c>
      <c r="Y235" s="2"/>
      <c r="Z235" s="7">
        <f t="shared" si="71"/>
        <v>-1.8446700917431191</v>
      </c>
    </row>
    <row r="236" spans="1:26" s="24" customFormat="1" hidden="1" outlineLevel="2" x14ac:dyDescent="0.25">
      <c r="A236" s="25"/>
      <c r="B236" s="11" t="str">
        <f>CONCATENATE("          ", "6307", " - ", "POSTAGE")</f>
        <v xml:space="preserve">          6307 - POSTAGE</v>
      </c>
      <c r="C236" s="11"/>
      <c r="D236" s="6">
        <v>-3544.82</v>
      </c>
      <c r="E236" s="2"/>
      <c r="F236" s="7">
        <f t="shared" si="64"/>
        <v>-4.4136010959335038E-3</v>
      </c>
      <c r="G236" s="2"/>
      <c r="H236" s="6">
        <v>40</v>
      </c>
      <c r="I236" s="2"/>
      <c r="J236" s="7">
        <f t="shared" si="65"/>
        <v>4.4189728324540909E-5</v>
      </c>
      <c r="K236" s="2"/>
      <c r="L236" s="6">
        <f t="shared" si="66"/>
        <v>-3584.82</v>
      </c>
      <c r="M236" s="2"/>
      <c r="N236" s="7">
        <f t="shared" si="67"/>
        <v>-89.620500000000007</v>
      </c>
      <c r="O236" s="11"/>
      <c r="P236" s="6">
        <v>-47222.630000000005</v>
      </c>
      <c r="Q236" s="2"/>
      <c r="R236" s="7">
        <f t="shared" si="68"/>
        <v>-4.5890524980601892E-3</v>
      </c>
      <c r="S236" s="2"/>
      <c r="T236" s="6">
        <v>320</v>
      </c>
      <c r="U236" s="2"/>
      <c r="V236" s="7">
        <f t="shared" si="69"/>
        <v>2.9390040638266367E-5</v>
      </c>
      <c r="W236" s="2"/>
      <c r="X236" s="6">
        <f t="shared" si="70"/>
        <v>-47542.630000000005</v>
      </c>
      <c r="Y236" s="2"/>
      <c r="Z236" s="7">
        <f t="shared" si="71"/>
        <v>-148.57071875000003</v>
      </c>
    </row>
    <row r="237" spans="1:26" s="27" customFormat="1" outlineLevel="1" collapsed="1" x14ac:dyDescent="0.25">
      <c r="A237" s="26"/>
      <c r="B237" s="13" t="str">
        <f>CONCATENATE("     ","General                                           ")</f>
        <v xml:space="preserve">     General                                           </v>
      </c>
      <c r="C237" s="13"/>
      <c r="D237" s="1">
        <f>SUM(OSRRefD22_11x_0)</f>
        <v>0</v>
      </c>
      <c r="E237" s="1"/>
      <c r="F237" s="5">
        <f t="shared" ref="F237:F251" si="72">IF(D$12=0,0,D237/D$12)</f>
        <v>0</v>
      </c>
      <c r="G237" s="1"/>
      <c r="H237" s="1">
        <f>SUM(OSRRefH22_11x_0)</f>
        <v>480</v>
      </c>
      <c r="I237" s="1"/>
      <c r="J237" s="5">
        <f t="shared" ref="J237:J251" si="73">IF(H$12=0,0,H237/H$12)</f>
        <v>5.3027673989449093E-4</v>
      </c>
      <c r="K237" s="1"/>
      <c r="L237" s="1">
        <f t="shared" ref="L237:L251" si="74">+D237-H237</f>
        <v>-480</v>
      </c>
      <c r="M237" s="1"/>
      <c r="N237" s="5">
        <f t="shared" ref="N237:N251" si="75">IF(H237=0,0,L237/H237)</f>
        <v>-1</v>
      </c>
      <c r="O237" s="13"/>
      <c r="P237" s="1">
        <f>SUM(OSRRefP22_11x_0)</f>
        <v>-1031.5899999999999</v>
      </c>
      <c r="Q237" s="1"/>
      <c r="R237" s="5">
        <f t="shared" ref="R237:R251" si="76">IF(P$12=0,0,P237/P$12)</f>
        <v>-1.0024898372822332E-4</v>
      </c>
      <c r="S237" s="1"/>
      <c r="T237" s="1">
        <f>SUM(OSRRefT22_11x_0)</f>
        <v>18605</v>
      </c>
      <c r="U237" s="1"/>
      <c r="V237" s="5">
        <f t="shared" ref="V237:V251" si="77">IF(T$12=0,0,T237/T$12)</f>
        <v>1.7087553314842055E-3</v>
      </c>
      <c r="W237" s="1"/>
      <c r="X237" s="1">
        <f t="shared" ref="X237:X251" si="78">+P237-T237</f>
        <v>-19636.59</v>
      </c>
      <c r="Y237" s="1"/>
      <c r="Z237" s="5">
        <f t="shared" ref="Z237:Z251" si="79">IF(T237=0,0,X237/T237)</f>
        <v>-1.0554469228701961</v>
      </c>
    </row>
    <row r="238" spans="1:26" s="24" customFormat="1" hidden="1" outlineLevel="2" x14ac:dyDescent="0.25">
      <c r="A238" s="25"/>
      <c r="B238" s="11" t="str">
        <f>CONCATENATE("          ", "6279", " - ", "GENERAL EXPENSE")</f>
        <v xml:space="preserve">          6279 - GENERAL EXPENSE</v>
      </c>
      <c r="C238" s="11"/>
      <c r="D238" s="6"/>
      <c r="E238" s="2"/>
      <c r="F238" s="7">
        <f t="shared" si="72"/>
        <v>0</v>
      </c>
      <c r="G238" s="2"/>
      <c r="H238" s="6">
        <v>480</v>
      </c>
      <c r="I238" s="2"/>
      <c r="J238" s="7">
        <f t="shared" si="73"/>
        <v>5.3027673989449093E-4</v>
      </c>
      <c r="K238" s="2"/>
      <c r="L238" s="6">
        <f t="shared" si="74"/>
        <v>-480</v>
      </c>
      <c r="M238" s="2"/>
      <c r="N238" s="7">
        <f t="shared" si="75"/>
        <v>-1</v>
      </c>
      <c r="O238" s="11"/>
      <c r="P238" s="6">
        <v>-1031.5899999999999</v>
      </c>
      <c r="Q238" s="2"/>
      <c r="R238" s="7">
        <f t="shared" si="76"/>
        <v>-1.0024898372822332E-4</v>
      </c>
      <c r="S238" s="2"/>
      <c r="T238" s="6">
        <v>18605</v>
      </c>
      <c r="U238" s="2"/>
      <c r="V238" s="7">
        <f t="shared" si="77"/>
        <v>1.7087553314842055E-3</v>
      </c>
      <c r="W238" s="2"/>
      <c r="X238" s="6">
        <f t="shared" si="78"/>
        <v>-19636.59</v>
      </c>
      <c r="Y238" s="2"/>
      <c r="Z238" s="7">
        <f t="shared" si="79"/>
        <v>-1.0554469228701961</v>
      </c>
    </row>
    <row r="239" spans="1:26" s="27" customFormat="1" outlineLevel="1" collapsed="1" x14ac:dyDescent="0.25">
      <c r="A239" s="26"/>
      <c r="B239" s="13" t="str">
        <f>CONCATENATE("     ","Insurance                                         ")</f>
        <v xml:space="preserve">     Insurance                                         </v>
      </c>
      <c r="C239" s="13"/>
      <c r="D239" s="1">
        <f>SUM(OSRRefD22_12x_0)</f>
        <v>4044.74</v>
      </c>
      <c r="E239" s="1"/>
      <c r="F239" s="5">
        <f t="shared" si="72"/>
        <v>5.0360438320608877E-3</v>
      </c>
      <c r="G239" s="1"/>
      <c r="H239" s="1">
        <f>SUM(OSRRefH22_12x_0)</f>
        <v>3815</v>
      </c>
      <c r="I239" s="1"/>
      <c r="J239" s="5">
        <f t="shared" si="73"/>
        <v>4.2145953389530894E-3</v>
      </c>
      <c r="K239" s="1"/>
      <c r="L239" s="1">
        <f t="shared" si="74"/>
        <v>229.73999999999978</v>
      </c>
      <c r="M239" s="1"/>
      <c r="N239" s="5">
        <f t="shared" si="75"/>
        <v>6.0220183486238477E-2</v>
      </c>
      <c r="O239" s="13"/>
      <c r="P239" s="1">
        <f>SUM(OSRRefP22_12x_0)</f>
        <v>32357.919999999998</v>
      </c>
      <c r="Q239" s="1"/>
      <c r="R239" s="5">
        <f t="shared" si="76"/>
        <v>3.1445134167248151E-3</v>
      </c>
      <c r="S239" s="1"/>
      <c r="T239" s="1">
        <f>SUM(OSRRefT22_12x_0)</f>
        <v>30520</v>
      </c>
      <c r="U239" s="1"/>
      <c r="V239" s="5">
        <f t="shared" si="77"/>
        <v>2.8030751258746548E-3</v>
      </c>
      <c r="W239" s="1"/>
      <c r="X239" s="1">
        <f t="shared" si="78"/>
        <v>1837.9199999999983</v>
      </c>
      <c r="Y239" s="1"/>
      <c r="Z239" s="5">
        <f t="shared" si="79"/>
        <v>6.0220183486238477E-2</v>
      </c>
    </row>
    <row r="240" spans="1:26" s="24" customFormat="1" hidden="1" outlineLevel="2" x14ac:dyDescent="0.25">
      <c r="A240" s="25"/>
      <c r="B240" s="11" t="str">
        <f>CONCATENATE("          ", "6314", " - ", "LIABILITY INSURANCE")</f>
        <v xml:space="preserve">          6314 - LIABILITY INSURANCE</v>
      </c>
      <c r="C240" s="11"/>
      <c r="D240" s="6">
        <v>4044.74</v>
      </c>
      <c r="E240" s="2"/>
      <c r="F240" s="7">
        <f t="shared" si="72"/>
        <v>5.0360438320608877E-3</v>
      </c>
      <c r="G240" s="2"/>
      <c r="H240" s="6">
        <v>3815</v>
      </c>
      <c r="I240" s="2"/>
      <c r="J240" s="7">
        <f t="shared" si="73"/>
        <v>4.2145953389530894E-3</v>
      </c>
      <c r="K240" s="2"/>
      <c r="L240" s="6">
        <f t="shared" si="74"/>
        <v>229.73999999999978</v>
      </c>
      <c r="M240" s="2"/>
      <c r="N240" s="7">
        <f t="shared" si="75"/>
        <v>6.0220183486238477E-2</v>
      </c>
      <c r="O240" s="11"/>
      <c r="P240" s="6">
        <v>32357.919999999998</v>
      </c>
      <c r="Q240" s="2"/>
      <c r="R240" s="7">
        <f t="shared" si="76"/>
        <v>3.1445134167248151E-3</v>
      </c>
      <c r="S240" s="2"/>
      <c r="T240" s="6">
        <v>30520</v>
      </c>
      <c r="U240" s="2"/>
      <c r="V240" s="7">
        <f t="shared" si="77"/>
        <v>2.8030751258746548E-3</v>
      </c>
      <c r="W240" s="2"/>
      <c r="X240" s="6">
        <f t="shared" si="78"/>
        <v>1837.9199999999983</v>
      </c>
      <c r="Y240" s="2"/>
      <c r="Z240" s="7">
        <f t="shared" si="79"/>
        <v>6.0220183486238477E-2</v>
      </c>
    </row>
    <row r="241" spans="1:26" s="27" customFormat="1" outlineLevel="1" collapsed="1" x14ac:dyDescent="0.25">
      <c r="A241" s="26"/>
      <c r="B241" s="13" t="str">
        <f>CONCATENATE("     ","Inventory Adjustment                              ")</f>
        <v xml:space="preserve">     Inventory Adjustment                              </v>
      </c>
      <c r="C241" s="13"/>
      <c r="D241" s="1">
        <f>SUM(OSRRefD22_13x_0)</f>
        <v>4250</v>
      </c>
      <c r="E241" s="1"/>
      <c r="F241" s="5">
        <f t="shared" si="72"/>
        <v>5.29160991466912E-3</v>
      </c>
      <c r="G241" s="1"/>
      <c r="H241" s="1">
        <f>SUM(OSRRefH22_13x_0)</f>
        <v>4250</v>
      </c>
      <c r="I241" s="1"/>
      <c r="J241" s="5">
        <f t="shared" si="73"/>
        <v>4.6951586344824714E-3</v>
      </c>
      <c r="K241" s="1"/>
      <c r="L241" s="1">
        <f t="shared" si="74"/>
        <v>0</v>
      </c>
      <c r="M241" s="1"/>
      <c r="N241" s="5">
        <f t="shared" si="75"/>
        <v>0</v>
      </c>
      <c r="O241" s="13"/>
      <c r="P241" s="1">
        <f>SUM(OSRRefP22_13x_0)</f>
        <v>39700</v>
      </c>
      <c r="Q241" s="1"/>
      <c r="R241" s="5">
        <f t="shared" si="76"/>
        <v>3.8580101144936128E-3</v>
      </c>
      <c r="S241" s="1"/>
      <c r="T241" s="1">
        <f>SUM(OSRRefT22_13x_0)</f>
        <v>39700</v>
      </c>
      <c r="U241" s="1"/>
      <c r="V241" s="5">
        <f t="shared" si="77"/>
        <v>3.6462019166849211E-3</v>
      </c>
      <c r="W241" s="1"/>
      <c r="X241" s="1">
        <f t="shared" si="78"/>
        <v>0</v>
      </c>
      <c r="Y241" s="1"/>
      <c r="Z241" s="5">
        <f t="shared" si="79"/>
        <v>0</v>
      </c>
    </row>
    <row r="242" spans="1:26" s="24" customFormat="1" hidden="1" outlineLevel="2" x14ac:dyDescent="0.25">
      <c r="A242" s="25"/>
      <c r="B242" s="11" t="str">
        <f>CONCATENATE("          ", "6408", " - ", "INVENTORY ADJUSTMENT")</f>
        <v xml:space="preserve">          6408 - INVENTORY ADJUSTMENT</v>
      </c>
      <c r="C242" s="11"/>
      <c r="D242" s="6">
        <v>4250</v>
      </c>
      <c r="E242" s="2"/>
      <c r="F242" s="7">
        <f t="shared" si="72"/>
        <v>5.29160991466912E-3</v>
      </c>
      <c r="G242" s="2"/>
      <c r="H242" s="6">
        <v>4250</v>
      </c>
      <c r="I242" s="2"/>
      <c r="J242" s="7">
        <f t="shared" si="73"/>
        <v>4.6951586344824714E-3</v>
      </c>
      <c r="K242" s="2"/>
      <c r="L242" s="6">
        <f t="shared" si="74"/>
        <v>0</v>
      </c>
      <c r="M242" s="2"/>
      <c r="N242" s="7">
        <f t="shared" si="75"/>
        <v>0</v>
      </c>
      <c r="O242" s="11"/>
      <c r="P242" s="6">
        <v>39700</v>
      </c>
      <c r="Q242" s="2"/>
      <c r="R242" s="7">
        <f t="shared" si="76"/>
        <v>3.8580101144936128E-3</v>
      </c>
      <c r="S242" s="2"/>
      <c r="T242" s="6">
        <v>39700</v>
      </c>
      <c r="U242" s="2"/>
      <c r="V242" s="7">
        <f t="shared" si="77"/>
        <v>3.6462019166849211E-3</v>
      </c>
      <c r="W242" s="2"/>
      <c r="X242" s="6">
        <f t="shared" si="78"/>
        <v>0</v>
      </c>
      <c r="Y242" s="2"/>
      <c r="Z242" s="7">
        <f t="shared" si="79"/>
        <v>0</v>
      </c>
    </row>
    <row r="243" spans="1:26" s="27" customFormat="1" outlineLevel="1" collapsed="1" x14ac:dyDescent="0.25">
      <c r="A243" s="26"/>
      <c r="B243" s="13" t="str">
        <f>CONCATENATE("     ","Professional Services                             ")</f>
        <v xml:space="preserve">     Professional Services                             </v>
      </c>
      <c r="C243" s="13"/>
      <c r="D243" s="1">
        <f>SUM(OSRRefD22_14x_0)</f>
        <v>0</v>
      </c>
      <c r="E243" s="1"/>
      <c r="F243" s="5">
        <f t="shared" si="72"/>
        <v>0</v>
      </c>
      <c r="G243" s="1"/>
      <c r="H243" s="1">
        <f>SUM(OSRRefH22_14x_0)</f>
        <v>1015</v>
      </c>
      <c r="I243" s="1"/>
      <c r="J243" s="5">
        <f t="shared" si="73"/>
        <v>1.1213143562352256E-3</v>
      </c>
      <c r="K243" s="1"/>
      <c r="L243" s="1">
        <f t="shared" si="74"/>
        <v>-1015</v>
      </c>
      <c r="M243" s="1"/>
      <c r="N243" s="5">
        <f t="shared" si="75"/>
        <v>-1</v>
      </c>
      <c r="O243" s="13"/>
      <c r="P243" s="1">
        <f>SUM(OSRRefP22_14x_0)</f>
        <v>6199.56</v>
      </c>
      <c r="Q243" s="1"/>
      <c r="R243" s="5">
        <f t="shared" si="76"/>
        <v>6.0246763691209129E-4</v>
      </c>
      <c r="S243" s="1"/>
      <c r="T243" s="1">
        <f>SUM(OSRRefT22_14x_0)</f>
        <v>11020</v>
      </c>
      <c r="U243" s="1"/>
      <c r="V243" s="5">
        <f t="shared" si="77"/>
        <v>1.0121195244802981E-3</v>
      </c>
      <c r="W243" s="1"/>
      <c r="X243" s="1">
        <f t="shared" si="78"/>
        <v>-4820.4399999999996</v>
      </c>
      <c r="Y243" s="1"/>
      <c r="Z243" s="5">
        <f t="shared" si="79"/>
        <v>-0.43742649727767691</v>
      </c>
    </row>
    <row r="244" spans="1:26" s="24" customFormat="1" hidden="1" outlineLevel="2" x14ac:dyDescent="0.25">
      <c r="A244" s="25"/>
      <c r="B244" s="11" t="str">
        <f>CONCATENATE("          ", "6336", " - ", "PROFESSIONAL SERVICES")</f>
        <v xml:space="preserve">          6336 - PROFESSIONAL SERVICES</v>
      </c>
      <c r="C244" s="11"/>
      <c r="D244" s="6"/>
      <c r="E244" s="2"/>
      <c r="F244" s="7">
        <f t="shared" si="72"/>
        <v>0</v>
      </c>
      <c r="G244" s="2"/>
      <c r="H244" s="6">
        <v>1015</v>
      </c>
      <c r="I244" s="2"/>
      <c r="J244" s="7">
        <f t="shared" si="73"/>
        <v>1.1213143562352256E-3</v>
      </c>
      <c r="K244" s="2"/>
      <c r="L244" s="6">
        <f t="shared" si="74"/>
        <v>-1015</v>
      </c>
      <c r="M244" s="2"/>
      <c r="N244" s="7">
        <f t="shared" si="75"/>
        <v>-1</v>
      </c>
      <c r="O244" s="11"/>
      <c r="P244" s="6">
        <v>6199.56</v>
      </c>
      <c r="Q244" s="2"/>
      <c r="R244" s="7">
        <f t="shared" si="76"/>
        <v>6.0246763691209129E-4</v>
      </c>
      <c r="S244" s="2"/>
      <c r="T244" s="6">
        <v>11020</v>
      </c>
      <c r="U244" s="2"/>
      <c r="V244" s="7">
        <f t="shared" si="77"/>
        <v>1.0121195244802981E-3</v>
      </c>
      <c r="W244" s="2"/>
      <c r="X244" s="6">
        <f t="shared" si="78"/>
        <v>-4820.4399999999996</v>
      </c>
      <c r="Y244" s="2"/>
      <c r="Z244" s="7">
        <f t="shared" si="79"/>
        <v>-0.43742649727767691</v>
      </c>
    </row>
    <row r="245" spans="1:26" s="27" customFormat="1" outlineLevel="1" collapsed="1" x14ac:dyDescent="0.25">
      <c r="A245" s="26"/>
      <c r="B245" s="13" t="str">
        <f>CONCATENATE("     ","Rent                                              ")</f>
        <v xml:space="preserve">     Rent                                              </v>
      </c>
      <c r="C245" s="13"/>
      <c r="D245" s="1">
        <f>SUM(OSRRefD22_15x_0)</f>
        <v>6100</v>
      </c>
      <c r="E245" s="1"/>
      <c r="F245" s="5">
        <f t="shared" si="72"/>
        <v>7.5950165834074426E-3</v>
      </c>
      <c r="G245" s="1"/>
      <c r="H245" s="1">
        <f>SUM(OSRRefH22_15x_0)</f>
        <v>6400</v>
      </c>
      <c r="I245" s="1"/>
      <c r="J245" s="5">
        <f t="shared" si="73"/>
        <v>7.0703565319265452E-3</v>
      </c>
      <c r="K245" s="1"/>
      <c r="L245" s="1">
        <f t="shared" si="74"/>
        <v>-300</v>
      </c>
      <c r="M245" s="1"/>
      <c r="N245" s="5">
        <f t="shared" si="75"/>
        <v>-4.6875E-2</v>
      </c>
      <c r="O245" s="13"/>
      <c r="P245" s="1">
        <f>SUM(OSRRefP22_15x_0)</f>
        <v>50400</v>
      </c>
      <c r="Q245" s="1"/>
      <c r="R245" s="5">
        <f t="shared" si="76"/>
        <v>4.897826442581312E-3</v>
      </c>
      <c r="S245" s="1"/>
      <c r="T245" s="1">
        <f>SUM(OSRRefT22_15x_0)</f>
        <v>51200</v>
      </c>
      <c r="U245" s="1"/>
      <c r="V245" s="5">
        <f t="shared" si="77"/>
        <v>4.7024065021226188E-3</v>
      </c>
      <c r="W245" s="1"/>
      <c r="X245" s="1">
        <f t="shared" si="78"/>
        <v>-800</v>
      </c>
      <c r="Y245" s="1"/>
      <c r="Z245" s="5">
        <f t="shared" si="79"/>
        <v>-1.5625E-2</v>
      </c>
    </row>
    <row r="246" spans="1:26" s="24" customFormat="1" hidden="1" outlineLevel="2" x14ac:dyDescent="0.25">
      <c r="A246" s="25"/>
      <c r="B246" s="11" t="str">
        <f>CONCATENATE("          ", "6273", " - ", "RENT")</f>
        <v xml:space="preserve">          6273 - RENT</v>
      </c>
      <c r="C246" s="11"/>
      <c r="D246" s="6">
        <v>6100</v>
      </c>
      <c r="E246" s="2"/>
      <c r="F246" s="7">
        <f t="shared" si="72"/>
        <v>7.5950165834074426E-3</v>
      </c>
      <c r="G246" s="2"/>
      <c r="H246" s="6">
        <v>6400</v>
      </c>
      <c r="I246" s="2"/>
      <c r="J246" s="7">
        <f t="shared" si="73"/>
        <v>7.0703565319265452E-3</v>
      </c>
      <c r="K246" s="2"/>
      <c r="L246" s="6">
        <f t="shared" si="74"/>
        <v>-300</v>
      </c>
      <c r="M246" s="2"/>
      <c r="N246" s="7">
        <f t="shared" si="75"/>
        <v>-4.6875E-2</v>
      </c>
      <c r="O246" s="11"/>
      <c r="P246" s="6">
        <v>50400</v>
      </c>
      <c r="Q246" s="2"/>
      <c r="R246" s="7">
        <f t="shared" si="76"/>
        <v>4.897826442581312E-3</v>
      </c>
      <c r="S246" s="2"/>
      <c r="T246" s="6">
        <v>51200</v>
      </c>
      <c r="U246" s="2"/>
      <c r="V246" s="7">
        <f t="shared" si="77"/>
        <v>4.7024065021226188E-3</v>
      </c>
      <c r="W246" s="2"/>
      <c r="X246" s="6">
        <f t="shared" si="78"/>
        <v>-800</v>
      </c>
      <c r="Y246" s="2"/>
      <c r="Z246" s="7">
        <f t="shared" si="79"/>
        <v>-1.5625E-2</v>
      </c>
    </row>
    <row r="247" spans="1:26" s="27" customFormat="1" outlineLevel="1" collapsed="1" x14ac:dyDescent="0.25">
      <c r="A247" s="26"/>
      <c r="B247" s="13" t="str">
        <f>CONCATENATE("     ","Repair and Maintenance                            ")</f>
        <v xml:space="preserve">     Repair and Maintenance                            </v>
      </c>
      <c r="C247" s="13"/>
      <c r="D247" s="1">
        <f>SUM(OSRRefD22_16x_0)</f>
        <v>6641.84</v>
      </c>
      <c r="E247" s="1"/>
      <c r="F247" s="5">
        <f t="shared" si="72"/>
        <v>8.2696532695637516E-3</v>
      </c>
      <c r="G247" s="1"/>
      <c r="H247" s="1">
        <f>SUM(OSRRefH22_16x_0)</f>
        <v>14540</v>
      </c>
      <c r="I247" s="1"/>
      <c r="J247" s="5">
        <f t="shared" si="73"/>
        <v>1.606296624597062E-2</v>
      </c>
      <c r="K247" s="1"/>
      <c r="L247" s="1">
        <f t="shared" si="74"/>
        <v>-7898.16</v>
      </c>
      <c r="M247" s="1"/>
      <c r="N247" s="5">
        <f t="shared" si="75"/>
        <v>-0.54320220082530946</v>
      </c>
      <c r="O247" s="13"/>
      <c r="P247" s="1">
        <f>SUM(OSRRefP22_16x_0)</f>
        <v>108352.8</v>
      </c>
      <c r="Q247" s="1"/>
      <c r="R247" s="5">
        <f t="shared" si="76"/>
        <v>1.0529627162058023E-2</v>
      </c>
      <c r="S247" s="1"/>
      <c r="T247" s="1">
        <f>SUM(OSRRefT22_16x_0)</f>
        <v>160955</v>
      </c>
      <c r="U247" s="1"/>
      <c r="V247" s="5">
        <f t="shared" si="77"/>
        <v>1.4782731221663009E-2</v>
      </c>
      <c r="W247" s="1"/>
      <c r="X247" s="1">
        <f t="shared" si="78"/>
        <v>-52602.2</v>
      </c>
      <c r="Y247" s="1"/>
      <c r="Z247" s="5">
        <f t="shared" si="79"/>
        <v>-0.3268130844024727</v>
      </c>
    </row>
    <row r="248" spans="1:26" s="24" customFormat="1" hidden="1" outlineLevel="2" x14ac:dyDescent="0.25">
      <c r="A248" s="25"/>
      <c r="B248" s="11" t="str">
        <f>CONCATENATE("          ", "6371", " - ", "COMPUTER SOFTWARE MAINTENANCE")</f>
        <v xml:space="preserve">          6371 - COMPUTER SOFTWARE MAINTENANCE</v>
      </c>
      <c r="C248" s="11"/>
      <c r="D248" s="6">
        <v>601</v>
      </c>
      <c r="E248" s="2"/>
      <c r="F248" s="7">
        <f t="shared" si="72"/>
        <v>7.4829589616850372E-4</v>
      </c>
      <c r="G248" s="2"/>
      <c r="H248" s="6"/>
      <c r="I248" s="2"/>
      <c r="J248" s="7">
        <f t="shared" si="73"/>
        <v>0</v>
      </c>
      <c r="K248" s="2"/>
      <c r="L248" s="6">
        <f t="shared" si="74"/>
        <v>601</v>
      </c>
      <c r="M248" s="2"/>
      <c r="N248" s="7">
        <f t="shared" si="75"/>
        <v>0</v>
      </c>
      <c r="O248" s="11"/>
      <c r="P248" s="6">
        <v>15155.4</v>
      </c>
      <c r="Q248" s="2"/>
      <c r="R248" s="7">
        <f t="shared" si="76"/>
        <v>1.4727880727757304E-3</v>
      </c>
      <c r="S248" s="2"/>
      <c r="T248" s="6">
        <v>48535</v>
      </c>
      <c r="U248" s="2"/>
      <c r="V248" s="7">
        <f t="shared" si="77"/>
        <v>4.4576425699320568E-3</v>
      </c>
      <c r="W248" s="2"/>
      <c r="X248" s="6">
        <f t="shared" si="78"/>
        <v>-33379.599999999999</v>
      </c>
      <c r="Y248" s="2"/>
      <c r="Z248" s="7">
        <f t="shared" si="79"/>
        <v>-0.68774286597300915</v>
      </c>
    </row>
    <row r="249" spans="1:26" s="24" customFormat="1" hidden="1" outlineLevel="2" x14ac:dyDescent="0.25">
      <c r="A249" s="25"/>
      <c r="B249" s="11" t="str">
        <f>CONCATENATE("          ", "6372", " - ", "COMPUTER HARDWARE MAINTENANCE")</f>
        <v xml:space="preserve">          6372 - COMPUTER HARDWARE MAINTENANCE</v>
      </c>
      <c r="C249" s="11"/>
      <c r="D249" s="6"/>
      <c r="E249" s="2"/>
      <c r="F249" s="7">
        <f t="shared" si="72"/>
        <v>0</v>
      </c>
      <c r="G249" s="2"/>
      <c r="H249" s="6"/>
      <c r="I249" s="2"/>
      <c r="J249" s="7">
        <f t="shared" si="73"/>
        <v>0</v>
      </c>
      <c r="K249" s="2"/>
      <c r="L249" s="6">
        <f t="shared" si="74"/>
        <v>0</v>
      </c>
      <c r="M249" s="2"/>
      <c r="N249" s="7">
        <f t="shared" si="75"/>
        <v>0</v>
      </c>
      <c r="O249" s="11"/>
      <c r="P249" s="6">
        <v>52.32</v>
      </c>
      <c r="Q249" s="2"/>
      <c r="R249" s="7">
        <f t="shared" si="76"/>
        <v>5.0844103070605995E-6</v>
      </c>
      <c r="S249" s="2"/>
      <c r="T249" s="6">
        <v>2000</v>
      </c>
      <c r="U249" s="2"/>
      <c r="V249" s="7">
        <f t="shared" si="77"/>
        <v>1.8368775398916481E-4</v>
      </c>
      <c r="W249" s="2"/>
      <c r="X249" s="6">
        <f t="shared" si="78"/>
        <v>-1947.68</v>
      </c>
      <c r="Y249" s="2"/>
      <c r="Z249" s="7">
        <f t="shared" si="79"/>
        <v>-0.97384000000000004</v>
      </c>
    </row>
    <row r="250" spans="1:26" s="24" customFormat="1" hidden="1" outlineLevel="2" x14ac:dyDescent="0.25">
      <c r="A250" s="25"/>
      <c r="B250" s="11" t="str">
        <f>CONCATENATE("          ", "6373", " - ", "MAINTENANCE CONTRACTS")</f>
        <v xml:space="preserve">          6373 - MAINTENANCE CONTRACTS</v>
      </c>
      <c r="C250" s="11"/>
      <c r="D250" s="6">
        <v>4914.58</v>
      </c>
      <c r="E250" s="2"/>
      <c r="F250" s="7">
        <f t="shared" si="72"/>
        <v>6.1190682951610736E-3</v>
      </c>
      <c r="G250" s="2"/>
      <c r="H250" s="6">
        <v>7040</v>
      </c>
      <c r="I250" s="2"/>
      <c r="J250" s="7">
        <f t="shared" si="73"/>
        <v>7.7773921851192005E-3</v>
      </c>
      <c r="K250" s="2"/>
      <c r="L250" s="6">
        <f t="shared" si="74"/>
        <v>-2125.42</v>
      </c>
      <c r="M250" s="2"/>
      <c r="N250" s="7">
        <f t="shared" si="75"/>
        <v>-0.30190624999999999</v>
      </c>
      <c r="O250" s="11"/>
      <c r="P250" s="6">
        <v>57454.080000000002</v>
      </c>
      <c r="Q250" s="2"/>
      <c r="R250" s="7">
        <f t="shared" si="76"/>
        <v>5.5833355606782166E-3</v>
      </c>
      <c r="S250" s="2"/>
      <c r="T250" s="6">
        <v>56395</v>
      </c>
      <c r="U250" s="2"/>
      <c r="V250" s="7">
        <f t="shared" si="77"/>
        <v>5.1795354431094743E-3</v>
      </c>
      <c r="W250" s="2"/>
      <c r="X250" s="6">
        <f t="shared" si="78"/>
        <v>1059.0800000000017</v>
      </c>
      <c r="Y250" s="2"/>
      <c r="Z250" s="7">
        <f t="shared" si="79"/>
        <v>1.8779679049561161E-2</v>
      </c>
    </row>
    <row r="251" spans="1:26" s="24" customFormat="1" hidden="1" outlineLevel="2" x14ac:dyDescent="0.25">
      <c r="A251" s="25"/>
      <c r="B251" s="11" t="str">
        <f>CONCATENATE("          ", "6375", " - ", "OUTSIDE REPAIRS &amp; MAINTENANCE")</f>
        <v xml:space="preserve">          6375 - OUTSIDE REPAIRS &amp; MAINTENANCE</v>
      </c>
      <c r="C251" s="11"/>
      <c r="D251" s="6">
        <v>1126.26</v>
      </c>
      <c r="E251" s="2"/>
      <c r="F251" s="7">
        <f t="shared" si="72"/>
        <v>1.4022890782341747E-3</v>
      </c>
      <c r="G251" s="2"/>
      <c r="H251" s="6">
        <v>7500</v>
      </c>
      <c r="I251" s="2"/>
      <c r="J251" s="7">
        <f t="shared" si="73"/>
        <v>8.2855740608514198E-3</v>
      </c>
      <c r="K251" s="2"/>
      <c r="L251" s="6">
        <f t="shared" si="74"/>
        <v>-6373.74</v>
      </c>
      <c r="M251" s="2"/>
      <c r="N251" s="7">
        <f t="shared" si="75"/>
        <v>-0.84983199999999992</v>
      </c>
      <c r="O251" s="11"/>
      <c r="P251" s="6">
        <v>35691</v>
      </c>
      <c r="Q251" s="2"/>
      <c r="R251" s="7">
        <f t="shared" si="76"/>
        <v>3.4684191182970158E-3</v>
      </c>
      <c r="S251" s="2"/>
      <c r="T251" s="6">
        <v>54025</v>
      </c>
      <c r="U251" s="2"/>
      <c r="V251" s="7">
        <f t="shared" si="77"/>
        <v>4.9618654546323138E-3</v>
      </c>
      <c r="W251" s="2"/>
      <c r="X251" s="6">
        <f t="shared" si="78"/>
        <v>-18334</v>
      </c>
      <c r="Y251" s="2"/>
      <c r="Z251" s="7">
        <f t="shared" si="79"/>
        <v>-0.33936140675613141</v>
      </c>
    </row>
    <row r="252" spans="1:26" s="27" customFormat="1" outlineLevel="1" collapsed="1" x14ac:dyDescent="0.25">
      <c r="A252" s="26"/>
      <c r="B252" s="13" t="str">
        <f>CONCATENATE("     ","Royalty &amp; Commissions                             ")</f>
        <v xml:space="preserve">     Royalty &amp; Commissions                             </v>
      </c>
      <c r="C252" s="13"/>
      <c r="D252" s="1">
        <f>SUM(OSRRefD22_17x_0)</f>
        <v>24310.91</v>
      </c>
      <c r="E252" s="1"/>
      <c r="F252" s="5">
        <f t="shared" ref="F252:F256" si="80">IF(D$12=0,0,D252/D$12)</f>
        <v>3.0269141738971446E-2</v>
      </c>
      <c r="G252" s="1"/>
      <c r="H252" s="1">
        <f>SUM(OSRRefH22_17x_0)</f>
        <v>16485</v>
      </c>
      <c r="I252" s="1"/>
      <c r="J252" s="5">
        <f t="shared" ref="J252:J256" si="81">IF(H$12=0,0,H252/H$12)</f>
        <v>1.8211691785751421E-2</v>
      </c>
      <c r="K252" s="1"/>
      <c r="L252" s="1">
        <f t="shared" ref="L252:L256" si="82">+D252-H252</f>
        <v>7825.91</v>
      </c>
      <c r="M252" s="1"/>
      <c r="N252" s="5">
        <f t="shared" ref="N252:N256" si="83">IF(H252=0,0,L252/H252)</f>
        <v>0.47472914771003943</v>
      </c>
      <c r="O252" s="13"/>
      <c r="P252" s="1">
        <f>SUM(OSRRefP22_17x_0)</f>
        <v>96403.07</v>
      </c>
      <c r="Q252" s="1"/>
      <c r="R252" s="5">
        <f t="shared" ref="R252:R256" si="84">IF(P$12=0,0,P252/P$12)</f>
        <v>9.3683632022225644E-3</v>
      </c>
      <c r="S252" s="1"/>
      <c r="T252" s="1">
        <f>SUM(OSRRefT22_17x_0)</f>
        <v>131880</v>
      </c>
      <c r="U252" s="1"/>
      <c r="V252" s="5">
        <f t="shared" ref="V252:V256" si="85">IF(T$12=0,0,T252/T$12)</f>
        <v>1.2112370498045527E-2</v>
      </c>
      <c r="W252" s="1"/>
      <c r="X252" s="1">
        <f t="shared" ref="X252:X256" si="86">+P252-T252</f>
        <v>-35476.929999999993</v>
      </c>
      <c r="Y252" s="1"/>
      <c r="Z252" s="5">
        <f t="shared" ref="Z252:Z256" si="87">IF(T252=0,0,X252/T252)</f>
        <v>-0.26900917500758259</v>
      </c>
    </row>
    <row r="253" spans="1:26" s="24" customFormat="1" hidden="1" outlineLevel="2" x14ac:dyDescent="0.25">
      <c r="A253" s="25"/>
      <c r="B253" s="11" t="str">
        <f>CONCATENATE("          ", "6252", " - ", "ROYALTY DUE CSTV")</f>
        <v xml:space="preserve">          6252 - ROYALTY DUE CSTV</v>
      </c>
      <c r="C253" s="11"/>
      <c r="D253" s="6"/>
      <c r="E253" s="2"/>
      <c r="F253" s="7">
        <f t="shared" si="80"/>
        <v>0</v>
      </c>
      <c r="G253" s="2"/>
      <c r="H253" s="6">
        <v>1085</v>
      </c>
      <c r="I253" s="2"/>
      <c r="J253" s="7">
        <f t="shared" si="81"/>
        <v>1.1986463808031722E-3</v>
      </c>
      <c r="K253" s="2"/>
      <c r="L253" s="6">
        <f t="shared" si="82"/>
        <v>-1085</v>
      </c>
      <c r="M253" s="2"/>
      <c r="N253" s="7">
        <f t="shared" si="83"/>
        <v>-1</v>
      </c>
      <c r="O253" s="11"/>
      <c r="P253" s="6"/>
      <c r="Q253" s="2"/>
      <c r="R253" s="7">
        <f t="shared" si="84"/>
        <v>0</v>
      </c>
      <c r="S253" s="2"/>
      <c r="T253" s="6">
        <v>8680</v>
      </c>
      <c r="U253" s="2"/>
      <c r="V253" s="7">
        <f t="shared" si="85"/>
        <v>7.9720485231297522E-4</v>
      </c>
      <c r="W253" s="2"/>
      <c r="X253" s="6">
        <f t="shared" si="86"/>
        <v>-8680</v>
      </c>
      <c r="Y253" s="2"/>
      <c r="Z253" s="7">
        <f t="shared" si="87"/>
        <v>-1</v>
      </c>
    </row>
    <row r="254" spans="1:26" s="24" customFormat="1" hidden="1" outlineLevel="2" x14ac:dyDescent="0.25">
      <c r="A254" s="25"/>
      <c r="B254" s="11" t="str">
        <f>CONCATENATE("          ", "6253", " - ", "ROYALTY DUE ATHLETICS-LRG")</f>
        <v xml:space="preserve">          6253 - ROYALTY DUE ATHLETICS-LRG</v>
      </c>
      <c r="C254" s="11"/>
      <c r="D254" s="6">
        <v>12278.49</v>
      </c>
      <c r="E254" s="2"/>
      <c r="F254" s="7">
        <f t="shared" si="80"/>
        <v>1.5287759863803679E-2</v>
      </c>
      <c r="G254" s="2"/>
      <c r="H254" s="6">
        <v>3700</v>
      </c>
      <c r="I254" s="2"/>
      <c r="J254" s="7">
        <f t="shared" si="81"/>
        <v>4.0875498700200345E-3</v>
      </c>
      <c r="K254" s="2"/>
      <c r="L254" s="6">
        <f t="shared" si="82"/>
        <v>8578.49</v>
      </c>
      <c r="M254" s="2"/>
      <c r="N254" s="7">
        <f t="shared" si="83"/>
        <v>2.3185108108108108</v>
      </c>
      <c r="O254" s="11"/>
      <c r="P254" s="6">
        <v>16645.439999999999</v>
      </c>
      <c r="Q254" s="2"/>
      <c r="R254" s="7">
        <f t="shared" si="84"/>
        <v>1.6175888131031877E-3</v>
      </c>
      <c r="S254" s="2"/>
      <c r="T254" s="6">
        <v>29600</v>
      </c>
      <c r="U254" s="2"/>
      <c r="V254" s="7">
        <f t="shared" si="85"/>
        <v>2.718578759039639E-3</v>
      </c>
      <c r="W254" s="2"/>
      <c r="X254" s="6">
        <f t="shared" si="86"/>
        <v>-12954.560000000001</v>
      </c>
      <c r="Y254" s="2"/>
      <c r="Z254" s="7">
        <f t="shared" si="87"/>
        <v>-0.43765405405405411</v>
      </c>
    </row>
    <row r="255" spans="1:26" s="24" customFormat="1" hidden="1" outlineLevel="2" x14ac:dyDescent="0.25">
      <c r="A255" s="25"/>
      <c r="B255" s="11" t="str">
        <f>CONCATENATE("          ", "6254", " - ", "ROYALTY &amp; COMMISSIONS")</f>
        <v xml:space="preserve">          6254 - ROYALTY &amp; COMMISSIONS</v>
      </c>
      <c r="C255" s="11"/>
      <c r="D255" s="6">
        <v>3471.1</v>
      </c>
      <c r="E255" s="2"/>
      <c r="F255" s="7">
        <f t="shared" si="80"/>
        <v>4.3218134528959957E-3</v>
      </c>
      <c r="G255" s="2"/>
      <c r="H255" s="6">
        <v>11700</v>
      </c>
      <c r="I255" s="2"/>
      <c r="J255" s="7">
        <f t="shared" si="81"/>
        <v>1.2925495534928217E-2</v>
      </c>
      <c r="K255" s="2"/>
      <c r="L255" s="6">
        <f t="shared" si="82"/>
        <v>-8228.9</v>
      </c>
      <c r="M255" s="2"/>
      <c r="N255" s="7">
        <f t="shared" si="83"/>
        <v>-0.70332478632478634</v>
      </c>
      <c r="O255" s="11"/>
      <c r="P255" s="6">
        <v>6795.75</v>
      </c>
      <c r="Q255" s="2"/>
      <c r="R255" s="7">
        <f t="shared" si="84"/>
        <v>6.604048422057927E-4</v>
      </c>
      <c r="S255" s="2"/>
      <c r="T255" s="6">
        <v>93600</v>
      </c>
      <c r="U255" s="2"/>
      <c r="V255" s="7">
        <f t="shared" si="85"/>
        <v>8.5965868866929133E-3</v>
      </c>
      <c r="W255" s="2"/>
      <c r="X255" s="6">
        <f t="shared" si="86"/>
        <v>-86804.25</v>
      </c>
      <c r="Y255" s="2"/>
      <c r="Z255" s="7">
        <f t="shared" si="87"/>
        <v>-0.92739583333333331</v>
      </c>
    </row>
    <row r="256" spans="1:26" s="24" customFormat="1" hidden="1" outlineLevel="2" x14ac:dyDescent="0.25">
      <c r="A256" s="25"/>
      <c r="B256" s="11" t="str">
        <f>CONCATENATE("          ", "6259", " - ", "ROYALTY &amp; COMMISSIONS")</f>
        <v xml:space="preserve">          6259 - ROYALTY &amp; COMMISSIONS</v>
      </c>
      <c r="C256" s="11"/>
      <c r="D256" s="6">
        <v>8561.32</v>
      </c>
      <c r="E256" s="2"/>
      <c r="F256" s="7">
        <f t="shared" si="80"/>
        <v>1.0659568422271771E-2</v>
      </c>
      <c r="G256" s="2"/>
      <c r="H256" s="6"/>
      <c r="I256" s="2"/>
      <c r="J256" s="7">
        <f t="shared" si="81"/>
        <v>0</v>
      </c>
      <c r="K256" s="2"/>
      <c r="L256" s="6">
        <f t="shared" si="82"/>
        <v>8561.32</v>
      </c>
      <c r="M256" s="2"/>
      <c r="N256" s="7">
        <f t="shared" si="83"/>
        <v>0</v>
      </c>
      <c r="O256" s="11"/>
      <c r="P256" s="6">
        <v>72961.88</v>
      </c>
      <c r="Q256" s="2"/>
      <c r="R256" s="7">
        <f t="shared" si="84"/>
        <v>7.090369546913583E-3</v>
      </c>
      <c r="S256" s="2"/>
      <c r="T256" s="6"/>
      <c r="U256" s="2"/>
      <c r="V256" s="7">
        <f t="shared" si="85"/>
        <v>0</v>
      </c>
      <c r="W256" s="2"/>
      <c r="X256" s="6">
        <f t="shared" si="86"/>
        <v>72961.88</v>
      </c>
      <c r="Y256" s="2"/>
      <c r="Z256" s="7">
        <f t="shared" si="87"/>
        <v>0</v>
      </c>
    </row>
    <row r="257" spans="1:26" s="27" customFormat="1" outlineLevel="1" collapsed="1" x14ac:dyDescent="0.25">
      <c r="A257" s="26"/>
      <c r="B257" s="13" t="str">
        <f>CONCATENATE("     ","Services                                          ")</f>
        <v xml:space="preserve">     Services                                          </v>
      </c>
      <c r="C257" s="13"/>
      <c r="D257" s="1">
        <f>SUM(OSRRefD22_18x_0)</f>
        <v>4769.88</v>
      </c>
      <c r="E257" s="1"/>
      <c r="F257" s="5">
        <f t="shared" ref="F257:F261" si="88">IF(D$12=0,0,D257/D$12)</f>
        <v>5.938904541125163E-3</v>
      </c>
      <c r="G257" s="1"/>
      <c r="H257" s="1">
        <f>SUM(OSRRefH22_18x_0)</f>
        <v>4442.5</v>
      </c>
      <c r="I257" s="1"/>
      <c r="J257" s="5">
        <f t="shared" ref="J257:J261" si="89">IF(H$12=0,0,H257/H$12)</f>
        <v>4.9078217020443252E-3</v>
      </c>
      <c r="K257" s="1"/>
      <c r="L257" s="1">
        <f t="shared" ref="L257:L261" si="90">+D257-H257</f>
        <v>327.38000000000011</v>
      </c>
      <c r="M257" s="1"/>
      <c r="N257" s="5">
        <f t="shared" ref="N257:N261" si="91">IF(H257=0,0,L257/H257)</f>
        <v>7.3692740574001145E-2</v>
      </c>
      <c r="O257" s="13"/>
      <c r="P257" s="1">
        <f>SUM(OSRRefP22_18x_0)</f>
        <v>37020.06</v>
      </c>
      <c r="Q257" s="1"/>
      <c r="R257" s="5">
        <f t="shared" ref="R257:R261" si="92">IF(P$12=0,0,P257/P$12)</f>
        <v>3.5975759677370376E-3</v>
      </c>
      <c r="S257" s="1"/>
      <c r="T257" s="1">
        <f>SUM(OSRRefT22_18x_0)</f>
        <v>35805</v>
      </c>
      <c r="U257" s="1"/>
      <c r="V257" s="5">
        <f t="shared" ref="V257:V261" si="93">IF(T$12=0,0,T257/T$12)</f>
        <v>3.2884700157910229E-3</v>
      </c>
      <c r="W257" s="1"/>
      <c r="X257" s="1">
        <f t="shared" ref="X257:X261" si="94">+P257-T257</f>
        <v>1215.0599999999977</v>
      </c>
      <c r="Y257" s="1"/>
      <c r="Z257" s="5">
        <f t="shared" ref="Z257:Z261" si="95">IF(T257=0,0,X257/T257)</f>
        <v>3.3935483870967675E-2</v>
      </c>
    </row>
    <row r="258" spans="1:26" s="24" customFormat="1" hidden="1" outlineLevel="2" x14ac:dyDescent="0.25">
      <c r="A258" s="25"/>
      <c r="B258" s="11" t="str">
        <f>CONCATENATE("          ", "6282", " - ", "JANITORIAL/EXTERMINATOR EXPENS")</f>
        <v xml:space="preserve">          6282 - JANITORIAL/EXTERMINATOR EXPENS</v>
      </c>
      <c r="C258" s="11"/>
      <c r="D258" s="6">
        <v>266.5</v>
      </c>
      <c r="E258" s="2"/>
      <c r="F258" s="7">
        <f t="shared" si="88"/>
        <v>3.3181506876689892E-4</v>
      </c>
      <c r="G258" s="2"/>
      <c r="H258" s="6">
        <v>50</v>
      </c>
      <c r="I258" s="2"/>
      <c r="J258" s="7">
        <f t="shared" si="89"/>
        <v>5.5237160405676134E-5</v>
      </c>
      <c r="K258" s="2"/>
      <c r="L258" s="6">
        <f t="shared" si="90"/>
        <v>216.5</v>
      </c>
      <c r="M258" s="2"/>
      <c r="N258" s="7">
        <f t="shared" si="91"/>
        <v>4.33</v>
      </c>
      <c r="O258" s="11"/>
      <c r="P258" s="6">
        <v>2153.02</v>
      </c>
      <c r="Q258" s="2"/>
      <c r="R258" s="7">
        <f t="shared" si="92"/>
        <v>2.0922853744853999E-4</v>
      </c>
      <c r="S258" s="2"/>
      <c r="T258" s="6">
        <v>400</v>
      </c>
      <c r="U258" s="2"/>
      <c r="V258" s="7">
        <f t="shared" si="93"/>
        <v>3.6737550797832959E-5</v>
      </c>
      <c r="W258" s="2"/>
      <c r="X258" s="6">
        <f t="shared" si="94"/>
        <v>1753.02</v>
      </c>
      <c r="Y258" s="2"/>
      <c r="Z258" s="7">
        <f t="shared" si="95"/>
        <v>4.3825500000000002</v>
      </c>
    </row>
    <row r="259" spans="1:26" s="24" customFormat="1" hidden="1" outlineLevel="2" x14ac:dyDescent="0.25">
      <c r="A259" s="25"/>
      <c r="B259" s="11" t="str">
        <f>CONCATENATE("          ", "6283", " - ", "PLANT SERVICE")</f>
        <v xml:space="preserve">          6283 - PLANT SERVICE</v>
      </c>
      <c r="C259" s="11"/>
      <c r="D259" s="6"/>
      <c r="E259" s="2"/>
      <c r="F259" s="7">
        <f t="shared" si="88"/>
        <v>0</v>
      </c>
      <c r="G259" s="2"/>
      <c r="H259" s="6">
        <v>60</v>
      </c>
      <c r="I259" s="2"/>
      <c r="J259" s="7">
        <f t="shared" si="89"/>
        <v>6.6284592486811367E-5</v>
      </c>
      <c r="K259" s="2"/>
      <c r="L259" s="6">
        <f t="shared" si="90"/>
        <v>-60</v>
      </c>
      <c r="M259" s="2"/>
      <c r="N259" s="7">
        <f t="shared" si="91"/>
        <v>-1</v>
      </c>
      <c r="O259" s="11"/>
      <c r="P259" s="6">
        <v>541.98</v>
      </c>
      <c r="Q259" s="2"/>
      <c r="R259" s="7">
        <f t="shared" si="92"/>
        <v>5.2669126495044033E-5</v>
      </c>
      <c r="S259" s="2"/>
      <c r="T259" s="6">
        <v>480</v>
      </c>
      <c r="U259" s="2"/>
      <c r="V259" s="7">
        <f t="shared" si="93"/>
        <v>4.4085060957399551E-5</v>
      </c>
      <c r="W259" s="2"/>
      <c r="X259" s="6">
        <f t="shared" si="94"/>
        <v>61.980000000000018</v>
      </c>
      <c r="Y259" s="2"/>
      <c r="Z259" s="7">
        <f t="shared" si="95"/>
        <v>0.12912500000000005</v>
      </c>
    </row>
    <row r="260" spans="1:26" s="24" customFormat="1" hidden="1" outlineLevel="2" x14ac:dyDescent="0.25">
      <c r="A260" s="25"/>
      <c r="B260" s="11" t="str">
        <f>CONCATENATE("          ", "6284", " - ", "TRASH REMOVAL EXPENSE")</f>
        <v xml:space="preserve">          6284 - TRASH REMOVAL EXPENSE</v>
      </c>
      <c r="C260" s="11"/>
      <c r="D260" s="6">
        <v>134.82</v>
      </c>
      <c r="E260" s="2"/>
      <c r="F260" s="7">
        <f t="shared" si="88"/>
        <v>1.6786231734016252E-4</v>
      </c>
      <c r="G260" s="2"/>
      <c r="H260" s="6">
        <v>62.5</v>
      </c>
      <c r="I260" s="2"/>
      <c r="J260" s="7">
        <f t="shared" si="89"/>
        <v>6.9046450507095173E-5</v>
      </c>
      <c r="K260" s="2"/>
      <c r="L260" s="6">
        <f t="shared" si="90"/>
        <v>72.319999999999993</v>
      </c>
      <c r="M260" s="2"/>
      <c r="N260" s="7">
        <f t="shared" si="91"/>
        <v>1.1571199999999999</v>
      </c>
      <c r="O260" s="11"/>
      <c r="P260" s="6">
        <v>1078.56</v>
      </c>
      <c r="Q260" s="2"/>
      <c r="R260" s="7">
        <f t="shared" si="92"/>
        <v>1.0481348587124007E-4</v>
      </c>
      <c r="S260" s="2"/>
      <c r="T260" s="6">
        <v>500</v>
      </c>
      <c r="U260" s="2"/>
      <c r="V260" s="7">
        <f t="shared" si="93"/>
        <v>4.5921938497291202E-5</v>
      </c>
      <c r="W260" s="2"/>
      <c r="X260" s="6">
        <f t="shared" si="94"/>
        <v>578.55999999999995</v>
      </c>
      <c r="Y260" s="2"/>
      <c r="Z260" s="7">
        <f t="shared" si="95"/>
        <v>1.1571199999999999</v>
      </c>
    </row>
    <row r="261" spans="1:26" s="24" customFormat="1" hidden="1" outlineLevel="2" x14ac:dyDescent="0.25">
      <c r="A261" s="25"/>
      <c r="B261" s="11" t="str">
        <f>CONCATENATE("          ", "6285", " - ", "JANITORIAL SERVICES")</f>
        <v xml:space="preserve">          6285 - JANITORIAL SERVICES</v>
      </c>
      <c r="C261" s="11"/>
      <c r="D261" s="6">
        <v>4368.5600000000004</v>
      </c>
      <c r="E261" s="2"/>
      <c r="F261" s="7">
        <f t="shared" si="88"/>
        <v>5.4392271550181013E-3</v>
      </c>
      <c r="G261" s="2"/>
      <c r="H261" s="6">
        <v>4270</v>
      </c>
      <c r="I261" s="2"/>
      <c r="J261" s="7">
        <f t="shared" si="89"/>
        <v>4.7172534986447421E-3</v>
      </c>
      <c r="K261" s="2"/>
      <c r="L261" s="6">
        <f t="shared" si="90"/>
        <v>98.5600000000004</v>
      </c>
      <c r="M261" s="2"/>
      <c r="N261" s="7">
        <f t="shared" si="91"/>
        <v>2.3081967213114847E-2</v>
      </c>
      <c r="O261" s="11"/>
      <c r="P261" s="6">
        <v>33246.5</v>
      </c>
      <c r="Q261" s="2"/>
      <c r="R261" s="7">
        <f t="shared" si="92"/>
        <v>3.2308648179222139E-3</v>
      </c>
      <c r="S261" s="2"/>
      <c r="T261" s="6">
        <v>34425</v>
      </c>
      <c r="U261" s="2"/>
      <c r="V261" s="7">
        <f t="shared" si="93"/>
        <v>3.161725465538499E-3</v>
      </c>
      <c r="W261" s="2"/>
      <c r="X261" s="6">
        <f t="shared" si="94"/>
        <v>-1178.5</v>
      </c>
      <c r="Y261" s="2"/>
      <c r="Z261" s="7">
        <f t="shared" si="95"/>
        <v>-3.4233841684822075E-2</v>
      </c>
    </row>
    <row r="262" spans="1:26" s="27" customFormat="1" outlineLevel="1" collapsed="1" x14ac:dyDescent="0.25">
      <c r="A262" s="26"/>
      <c r="B262" s="13" t="str">
        <f>CONCATENATE("     ","Subscriptions &amp; Dues                              ")</f>
        <v xml:space="preserve">     Subscriptions &amp; Dues                              </v>
      </c>
      <c r="C262" s="13"/>
      <c r="D262" s="1">
        <f>SUM(OSRRefD22_19x_0)</f>
        <v>1617.87</v>
      </c>
      <c r="E262" s="1"/>
      <c r="F262" s="5">
        <f t="shared" ref="F262:F264" si="96">IF(D$12=0,0,D262/D$12)</f>
        <v>2.0143851606225244E-3</v>
      </c>
      <c r="G262" s="1"/>
      <c r="H262" s="1">
        <f>SUM(OSRRefH22_19x_0)</f>
        <v>1015</v>
      </c>
      <c r="I262" s="1"/>
      <c r="J262" s="5">
        <f t="shared" ref="J262:J264" si="97">IF(H$12=0,0,H262/H$12)</f>
        <v>1.1213143562352256E-3</v>
      </c>
      <c r="K262" s="1"/>
      <c r="L262" s="1">
        <f t="shared" ref="L262:L264" si="98">+D262-H262</f>
        <v>602.86999999999989</v>
      </c>
      <c r="M262" s="1"/>
      <c r="N262" s="5">
        <f t="shared" ref="N262:N264" si="99">IF(H262=0,0,L262/H262)</f>
        <v>0.59396059113300481</v>
      </c>
      <c r="O262" s="13"/>
      <c r="P262" s="1">
        <f>SUM(OSRRefP22_19x_0)</f>
        <v>-581.2700000000001</v>
      </c>
      <c r="Q262" s="1"/>
      <c r="R262" s="5">
        <f t="shared" ref="R262:R264" si="100">IF(P$12=0,0,P262/P$12)</f>
        <v>-5.6487293180143645E-5</v>
      </c>
      <c r="S262" s="1"/>
      <c r="T262" s="1">
        <f>SUM(OSRRefT22_19x_0)</f>
        <v>17735</v>
      </c>
      <c r="U262" s="1"/>
      <c r="V262" s="5">
        <f t="shared" ref="V262:V264" si="101">IF(T$12=0,0,T262/T$12)</f>
        <v>1.6288511584989188E-3</v>
      </c>
      <c r="W262" s="1"/>
      <c r="X262" s="1">
        <f t="shared" ref="X262:X264" si="102">+P262-T262</f>
        <v>-18316.27</v>
      </c>
      <c r="Y262" s="1"/>
      <c r="Z262" s="5">
        <f t="shared" ref="Z262:Z264" si="103">IF(T262=0,0,X262/T262)</f>
        <v>-1.0327753030730196</v>
      </c>
    </row>
    <row r="263" spans="1:26" s="24" customFormat="1" hidden="1" outlineLevel="2" x14ac:dyDescent="0.25">
      <c r="A263" s="25"/>
      <c r="B263" s="11" t="str">
        <f>CONCATENATE("          ", "6258", " - ", "MEMBERSHIP DUES")</f>
        <v xml:space="preserve">          6258 - MEMBERSHIP DUES</v>
      </c>
      <c r="C263" s="11"/>
      <c r="D263" s="6">
        <v>1617.87</v>
      </c>
      <c r="E263" s="2"/>
      <c r="F263" s="7">
        <f t="shared" si="96"/>
        <v>2.0143851606225244E-3</v>
      </c>
      <c r="G263" s="2"/>
      <c r="H263" s="6">
        <v>400</v>
      </c>
      <c r="I263" s="2"/>
      <c r="J263" s="7">
        <f t="shared" si="97"/>
        <v>4.4189728324540908E-4</v>
      </c>
      <c r="K263" s="2"/>
      <c r="L263" s="6">
        <f t="shared" si="98"/>
        <v>1217.8699999999999</v>
      </c>
      <c r="M263" s="2"/>
      <c r="N263" s="7">
        <f t="shared" si="99"/>
        <v>3.0446749999999998</v>
      </c>
      <c r="O263" s="11"/>
      <c r="P263" s="6">
        <v>-1446.63</v>
      </c>
      <c r="Q263" s="2"/>
      <c r="R263" s="7">
        <f t="shared" si="100"/>
        <v>-1.405821957664961E-4</v>
      </c>
      <c r="S263" s="2"/>
      <c r="T263" s="6">
        <v>14240</v>
      </c>
      <c r="U263" s="2"/>
      <c r="V263" s="7">
        <f t="shared" si="101"/>
        <v>1.3078568084028534E-3</v>
      </c>
      <c r="W263" s="2"/>
      <c r="X263" s="6">
        <f t="shared" si="102"/>
        <v>-15686.630000000001</v>
      </c>
      <c r="Y263" s="2"/>
      <c r="Z263" s="7">
        <f t="shared" si="103"/>
        <v>-1.1015891853932585</v>
      </c>
    </row>
    <row r="264" spans="1:26" s="24" customFormat="1" hidden="1" outlineLevel="2" x14ac:dyDescent="0.25">
      <c r="A264" s="25"/>
      <c r="B264" s="11" t="str">
        <f>CONCATENATE("          ", "6275", " - ", "SUBSCRIPTIONS")</f>
        <v xml:space="preserve">          6275 - SUBSCRIPTIONS</v>
      </c>
      <c r="C264" s="11"/>
      <c r="D264" s="6"/>
      <c r="E264" s="2"/>
      <c r="F264" s="7">
        <f t="shared" si="96"/>
        <v>0</v>
      </c>
      <c r="G264" s="2"/>
      <c r="H264" s="6">
        <v>615</v>
      </c>
      <c r="I264" s="2"/>
      <c r="J264" s="7">
        <f t="shared" si="97"/>
        <v>6.7941707298981653E-4</v>
      </c>
      <c r="K264" s="2"/>
      <c r="L264" s="6">
        <f t="shared" si="98"/>
        <v>-615</v>
      </c>
      <c r="M264" s="2"/>
      <c r="N264" s="7">
        <f t="shared" si="99"/>
        <v>-1</v>
      </c>
      <c r="O264" s="11"/>
      <c r="P264" s="6">
        <v>865.36</v>
      </c>
      <c r="Q264" s="2"/>
      <c r="R264" s="7">
        <f t="shared" si="100"/>
        <v>8.4094902586352458E-5</v>
      </c>
      <c r="S264" s="2"/>
      <c r="T264" s="6">
        <v>3495</v>
      </c>
      <c r="U264" s="2"/>
      <c r="V264" s="7">
        <f t="shared" si="101"/>
        <v>3.2099435009606548E-4</v>
      </c>
      <c r="W264" s="2"/>
      <c r="X264" s="6">
        <f t="shared" si="102"/>
        <v>-2629.64</v>
      </c>
      <c r="Y264" s="2"/>
      <c r="Z264" s="7">
        <f t="shared" si="103"/>
        <v>-0.75240057224606582</v>
      </c>
    </row>
    <row r="265" spans="1:26" s="27" customFormat="1" outlineLevel="1" collapsed="1" x14ac:dyDescent="0.25">
      <c r="A265" s="26"/>
      <c r="B265" s="13" t="str">
        <f>CONCATENATE("     ","Supplies                                          ")</f>
        <v xml:space="preserve">     Supplies                                          </v>
      </c>
      <c r="C265" s="13"/>
      <c r="D265" s="1">
        <f>SUM(OSRRefD22_20x_0)</f>
        <v>9465.42</v>
      </c>
      <c r="E265" s="1"/>
      <c r="F265" s="5">
        <f t="shared" ref="F265:F272" si="104">IF(D$12=0,0,D265/D$12)</f>
        <v>1.1785249486707618E-2</v>
      </c>
      <c r="G265" s="1"/>
      <c r="H265" s="1">
        <f>SUM(OSRRefH22_20x_0)</f>
        <v>17625</v>
      </c>
      <c r="I265" s="1"/>
      <c r="J265" s="5">
        <f t="shared" ref="J265:J272" si="105">IF(H$12=0,0,H265/H$12)</f>
        <v>1.9471099043000838E-2</v>
      </c>
      <c r="K265" s="1"/>
      <c r="L265" s="1">
        <f t="shared" ref="L265:L272" si="106">+D265-H265</f>
        <v>-8159.58</v>
      </c>
      <c r="M265" s="1"/>
      <c r="N265" s="5">
        <f t="shared" ref="N265:N272" si="107">IF(H265=0,0,L265/H265)</f>
        <v>-0.46295489361702125</v>
      </c>
      <c r="O265" s="13"/>
      <c r="P265" s="1">
        <f>SUM(OSRRefP22_20x_0)</f>
        <v>74352.39</v>
      </c>
      <c r="Q265" s="1"/>
      <c r="R265" s="5">
        <f t="shared" ref="R265:R272" si="108">IF(P$12=0,0,P265/P$12)</f>
        <v>7.2254980518079029E-3</v>
      </c>
      <c r="S265" s="1"/>
      <c r="T265" s="1">
        <f>SUM(OSRRefT22_20x_0)</f>
        <v>138505</v>
      </c>
      <c r="U265" s="1"/>
      <c r="V265" s="5">
        <f t="shared" ref="V265:V272" si="109">IF(T$12=0,0,T265/T$12)</f>
        <v>1.2720836183134635E-2</v>
      </c>
      <c r="W265" s="1"/>
      <c r="X265" s="1">
        <f t="shared" ref="X265:X272" si="110">+P265-T265</f>
        <v>-64152.61</v>
      </c>
      <c r="Y265" s="1"/>
      <c r="Z265" s="5">
        <f t="shared" ref="Z265:Z272" si="111">IF(T265=0,0,X265/T265)</f>
        <v>-0.46317901880798529</v>
      </c>
    </row>
    <row r="266" spans="1:26" s="24" customFormat="1" hidden="1" outlineLevel="2" x14ac:dyDescent="0.25">
      <c r="A266" s="25"/>
      <c r="B266" s="11" t="str">
        <f>CONCATENATE("          ", "6234", " - ", "EXPENDABLE SUPPLIES &amp; EQUIPMEN")</f>
        <v xml:space="preserve">          6234 - EXPENDABLE SUPPLIES &amp; EQUIPMEN</v>
      </c>
      <c r="C266" s="11"/>
      <c r="D266" s="6"/>
      <c r="E266" s="2"/>
      <c r="F266" s="7">
        <f t="shared" si="104"/>
        <v>0</v>
      </c>
      <c r="G266" s="2"/>
      <c r="H266" s="6">
        <v>400</v>
      </c>
      <c r="I266" s="2"/>
      <c r="J266" s="7">
        <f t="shared" si="105"/>
        <v>4.4189728324540908E-4</v>
      </c>
      <c r="K266" s="2"/>
      <c r="L266" s="6">
        <f t="shared" si="106"/>
        <v>-400</v>
      </c>
      <c r="M266" s="2"/>
      <c r="N266" s="7">
        <f t="shared" si="107"/>
        <v>-1</v>
      </c>
      <c r="O266" s="11"/>
      <c r="P266" s="6">
        <v>3160.95</v>
      </c>
      <c r="Q266" s="2"/>
      <c r="R266" s="7">
        <f t="shared" si="108"/>
        <v>3.0717826376344042E-4</v>
      </c>
      <c r="S266" s="2"/>
      <c r="T266" s="6">
        <v>6250</v>
      </c>
      <c r="U266" s="2"/>
      <c r="V266" s="7">
        <f t="shared" si="109"/>
        <v>5.7402423121614E-4</v>
      </c>
      <c r="W266" s="2"/>
      <c r="X266" s="6">
        <f t="shared" si="110"/>
        <v>-3089.05</v>
      </c>
      <c r="Y266" s="2"/>
      <c r="Z266" s="7">
        <f t="shared" si="111"/>
        <v>-0.49424800000000002</v>
      </c>
    </row>
    <row r="267" spans="1:26" s="24" customFormat="1" hidden="1" outlineLevel="2" x14ac:dyDescent="0.25">
      <c r="A267" s="25"/>
      <c r="B267" s="11" t="str">
        <f>CONCATENATE("          ", "6237", " - ", "JANITORIAL SUPPLIES")</f>
        <v xml:space="preserve">          6237 - JANITORIAL SUPPLIES</v>
      </c>
      <c r="C267" s="11"/>
      <c r="D267" s="6">
        <v>570</v>
      </c>
      <c r="E267" s="2"/>
      <c r="F267" s="7">
        <f t="shared" si="104"/>
        <v>7.0969827090856428E-4</v>
      </c>
      <c r="G267" s="2"/>
      <c r="H267" s="6">
        <v>50</v>
      </c>
      <c r="I267" s="2"/>
      <c r="J267" s="7">
        <f t="shared" si="105"/>
        <v>5.5237160405676134E-5</v>
      </c>
      <c r="K267" s="2"/>
      <c r="L267" s="6">
        <f t="shared" si="106"/>
        <v>520</v>
      </c>
      <c r="M267" s="2"/>
      <c r="N267" s="7">
        <f t="shared" si="107"/>
        <v>10.4</v>
      </c>
      <c r="O267" s="11"/>
      <c r="P267" s="6">
        <v>4352.13</v>
      </c>
      <c r="Q267" s="2"/>
      <c r="R267" s="7">
        <f t="shared" si="108"/>
        <v>4.2293605943554373E-4</v>
      </c>
      <c r="S267" s="2"/>
      <c r="T267" s="6">
        <v>355</v>
      </c>
      <c r="U267" s="2"/>
      <c r="V267" s="7">
        <f t="shared" si="109"/>
        <v>3.260457633307675E-5</v>
      </c>
      <c r="W267" s="2"/>
      <c r="X267" s="6">
        <f t="shared" si="110"/>
        <v>3997.13</v>
      </c>
      <c r="Y267" s="2"/>
      <c r="Z267" s="7">
        <f t="shared" si="111"/>
        <v>11.259521126760564</v>
      </c>
    </row>
    <row r="268" spans="1:26" s="24" customFormat="1" hidden="1" outlineLevel="2" x14ac:dyDescent="0.25">
      <c r="A268" s="25"/>
      <c r="B268" s="11" t="str">
        <f>CONCATENATE("          ", "6241", " - ", "OFFICE EXPENSE")</f>
        <v xml:space="preserve">          6241 - OFFICE EXPENSE</v>
      </c>
      <c r="C268" s="11"/>
      <c r="D268" s="6">
        <v>283.7</v>
      </c>
      <c r="E268" s="2"/>
      <c r="F268" s="7">
        <f t="shared" si="104"/>
        <v>3.5323052536273628E-4</v>
      </c>
      <c r="G268" s="2"/>
      <c r="H268" s="6">
        <v>3050</v>
      </c>
      <c r="I268" s="2"/>
      <c r="J268" s="7">
        <f t="shared" si="105"/>
        <v>3.3694667847462443E-3</v>
      </c>
      <c r="K268" s="2"/>
      <c r="L268" s="6">
        <f t="shared" si="106"/>
        <v>-2766.3</v>
      </c>
      <c r="M268" s="2"/>
      <c r="N268" s="7">
        <f t="shared" si="107"/>
        <v>-0.90698360655737709</v>
      </c>
      <c r="O268" s="11"/>
      <c r="P268" s="6">
        <v>22801.47</v>
      </c>
      <c r="Q268" s="2"/>
      <c r="R268" s="7">
        <f t="shared" si="108"/>
        <v>2.2158262439627881E-3</v>
      </c>
      <c r="S268" s="2"/>
      <c r="T268" s="6">
        <v>15950</v>
      </c>
      <c r="U268" s="2"/>
      <c r="V268" s="7">
        <f t="shared" si="109"/>
        <v>1.4649098380635894E-3</v>
      </c>
      <c r="W268" s="2"/>
      <c r="X268" s="6">
        <f t="shared" si="110"/>
        <v>6851.4700000000012</v>
      </c>
      <c r="Y268" s="2"/>
      <c r="Z268" s="7">
        <f t="shared" si="111"/>
        <v>0.42955924764890291</v>
      </c>
    </row>
    <row r="269" spans="1:26" s="24" customFormat="1" hidden="1" outlineLevel="2" x14ac:dyDescent="0.25">
      <c r="A269" s="25"/>
      <c r="B269" s="11" t="str">
        <f>CONCATENATE("          ", "6243", " - ", "PAPER SUPPLIES")</f>
        <v xml:space="preserve">          6243 - PAPER SUPPLIES</v>
      </c>
      <c r="C269" s="11"/>
      <c r="D269" s="6">
        <v>-285.27999999999997</v>
      </c>
      <c r="E269" s="2"/>
      <c r="F269" s="7">
        <f t="shared" si="104"/>
        <v>-3.5519775916630737E-4</v>
      </c>
      <c r="G269" s="2"/>
      <c r="H269" s="6">
        <v>250</v>
      </c>
      <c r="I269" s="2"/>
      <c r="J269" s="7">
        <f t="shared" si="105"/>
        <v>2.7618580202838069E-4</v>
      </c>
      <c r="K269" s="2"/>
      <c r="L269" s="6">
        <f t="shared" si="106"/>
        <v>-535.28</v>
      </c>
      <c r="M269" s="2"/>
      <c r="N269" s="7">
        <f t="shared" si="107"/>
        <v>-2.1411199999999999</v>
      </c>
      <c r="O269" s="11"/>
      <c r="P269" s="6">
        <v>11567.55</v>
      </c>
      <c r="Q269" s="2"/>
      <c r="R269" s="7">
        <f t="shared" si="108"/>
        <v>1.1241240528944733E-3</v>
      </c>
      <c r="S269" s="2"/>
      <c r="T269" s="6">
        <v>3000</v>
      </c>
      <c r="U269" s="2"/>
      <c r="V269" s="7">
        <f t="shared" si="109"/>
        <v>2.7553163098374721E-4</v>
      </c>
      <c r="W269" s="2"/>
      <c r="X269" s="6">
        <f t="shared" si="110"/>
        <v>8567.5499999999993</v>
      </c>
      <c r="Y269" s="2"/>
      <c r="Z269" s="7">
        <f t="shared" si="111"/>
        <v>2.8558499999999998</v>
      </c>
    </row>
    <row r="270" spans="1:26" s="24" customFormat="1" hidden="1" outlineLevel="2" x14ac:dyDescent="0.25">
      <c r="A270" s="25"/>
      <c r="B270" s="11" t="str">
        <f>CONCATENATE("          ", "6245", " - ", "PRINTING")</f>
        <v xml:space="preserve">          6245 - PRINTING</v>
      </c>
      <c r="C270" s="11"/>
      <c r="D270" s="6">
        <v>3266.4</v>
      </c>
      <c r="E270" s="2"/>
      <c r="F270" s="7">
        <f t="shared" si="104"/>
        <v>4.0669446177118151E-3</v>
      </c>
      <c r="G270" s="2"/>
      <c r="H270" s="6">
        <v>100</v>
      </c>
      <c r="I270" s="2"/>
      <c r="J270" s="7">
        <f t="shared" si="105"/>
        <v>1.1047432081135227E-4</v>
      </c>
      <c r="K270" s="2"/>
      <c r="L270" s="6">
        <f t="shared" si="106"/>
        <v>3166.4</v>
      </c>
      <c r="M270" s="2"/>
      <c r="N270" s="7">
        <f t="shared" si="107"/>
        <v>31.664000000000001</v>
      </c>
      <c r="O270" s="11"/>
      <c r="P270" s="6">
        <v>9786.6</v>
      </c>
      <c r="Q270" s="2"/>
      <c r="R270" s="7">
        <f t="shared" si="108"/>
        <v>9.5105294172552121E-4</v>
      </c>
      <c r="S270" s="2"/>
      <c r="T270" s="6">
        <v>2000</v>
      </c>
      <c r="U270" s="2"/>
      <c r="V270" s="7">
        <f t="shared" si="109"/>
        <v>1.8368775398916481E-4</v>
      </c>
      <c r="W270" s="2"/>
      <c r="X270" s="6">
        <f t="shared" si="110"/>
        <v>7786.6</v>
      </c>
      <c r="Y270" s="2"/>
      <c r="Z270" s="7">
        <f t="shared" si="111"/>
        <v>3.8933</v>
      </c>
    </row>
    <row r="271" spans="1:26" s="24" customFormat="1" hidden="1" outlineLevel="2" x14ac:dyDescent="0.25">
      <c r="A271" s="25"/>
      <c r="B271" s="11" t="str">
        <f>CONCATENATE("          ", "6247", " - ", "STORE SUPPLIES")</f>
        <v xml:space="preserve">          6247 - STORE SUPPLIES</v>
      </c>
      <c r="C271" s="11"/>
      <c r="D271" s="6">
        <v>5630.6</v>
      </c>
      <c r="E271" s="2"/>
      <c r="F271" s="7">
        <f t="shared" si="104"/>
        <v>7.0105738318908114E-3</v>
      </c>
      <c r="G271" s="2"/>
      <c r="H271" s="6">
        <v>12775</v>
      </c>
      <c r="I271" s="2"/>
      <c r="J271" s="7">
        <f t="shared" si="105"/>
        <v>1.4113094483650253E-2</v>
      </c>
      <c r="K271" s="2"/>
      <c r="L271" s="6">
        <f t="shared" si="106"/>
        <v>-7144.4</v>
      </c>
      <c r="M271" s="2"/>
      <c r="N271" s="7">
        <f t="shared" si="107"/>
        <v>-0.55924853228962812</v>
      </c>
      <c r="O271" s="11"/>
      <c r="P271" s="6">
        <v>22683.69</v>
      </c>
      <c r="Q271" s="2"/>
      <c r="R271" s="7">
        <f t="shared" si="108"/>
        <v>2.2043804900261361E-3</v>
      </c>
      <c r="S271" s="2"/>
      <c r="T271" s="6">
        <v>102450</v>
      </c>
      <c r="U271" s="2"/>
      <c r="V271" s="7">
        <f t="shared" si="109"/>
        <v>9.4094051980949667E-3</v>
      </c>
      <c r="W271" s="2"/>
      <c r="X271" s="6">
        <f t="shared" si="110"/>
        <v>-79766.31</v>
      </c>
      <c r="Y271" s="2"/>
      <c r="Z271" s="7">
        <f t="shared" si="111"/>
        <v>-0.77858770131771593</v>
      </c>
    </row>
    <row r="272" spans="1:26" s="24" customFormat="1" hidden="1" outlineLevel="2" x14ac:dyDescent="0.25">
      <c r="A272" s="25"/>
      <c r="B272" s="11" t="str">
        <f>CONCATENATE("          ", "6248", " - ", "UNIFORMS")</f>
        <v xml:space="preserve">          6248 - UNIFORMS</v>
      </c>
      <c r="C272" s="11"/>
      <c r="D272" s="6"/>
      <c r="E272" s="2"/>
      <c r="F272" s="7">
        <f t="shared" si="104"/>
        <v>0</v>
      </c>
      <c r="G272" s="2"/>
      <c r="H272" s="6">
        <v>1000</v>
      </c>
      <c r="I272" s="2"/>
      <c r="J272" s="7">
        <f t="shared" si="105"/>
        <v>1.1047432081135228E-3</v>
      </c>
      <c r="K272" s="2"/>
      <c r="L272" s="6">
        <f t="shared" si="106"/>
        <v>-1000</v>
      </c>
      <c r="M272" s="2"/>
      <c r="N272" s="7">
        <f t="shared" si="107"/>
        <v>-1</v>
      </c>
      <c r="O272" s="11"/>
      <c r="P272" s="6"/>
      <c r="Q272" s="2"/>
      <c r="R272" s="7">
        <f t="shared" si="108"/>
        <v>0</v>
      </c>
      <c r="S272" s="2"/>
      <c r="T272" s="6">
        <v>8500</v>
      </c>
      <c r="U272" s="2"/>
      <c r="V272" s="7">
        <f t="shared" si="109"/>
        <v>7.8067295445395039E-4</v>
      </c>
      <c r="W272" s="2"/>
      <c r="X272" s="6">
        <f t="shared" si="110"/>
        <v>-8500</v>
      </c>
      <c r="Y272" s="2"/>
      <c r="Z272" s="7">
        <f t="shared" si="111"/>
        <v>-1</v>
      </c>
    </row>
    <row r="273" spans="1:26" s="27" customFormat="1" outlineLevel="1" collapsed="1" x14ac:dyDescent="0.25">
      <c r="A273" s="26"/>
      <c r="B273" s="13" t="str">
        <f>CONCATENATE("     ","Telephone/Data Lines                              ")</f>
        <v xml:space="preserve">     Telephone/Data Lines                              </v>
      </c>
      <c r="C273" s="13"/>
      <c r="D273" s="1">
        <f>SUM(OSRRefD22_21x_0)</f>
        <v>3071.06</v>
      </c>
      <c r="E273" s="1"/>
      <c r="F273" s="5">
        <f t="shared" ref="F273:F275" si="112">IF(D$12=0,0,D273/D$12)</f>
        <v>3.8237297751867638E-3</v>
      </c>
      <c r="G273" s="1"/>
      <c r="H273" s="1">
        <f>SUM(OSRRefH22_21x_0)</f>
        <v>3420</v>
      </c>
      <c r="I273" s="1"/>
      <c r="J273" s="5">
        <f t="shared" ref="J273:J275" si="113">IF(H$12=0,0,H273/H$12)</f>
        <v>3.7782217717482478E-3</v>
      </c>
      <c r="K273" s="1"/>
      <c r="L273" s="1">
        <f t="shared" ref="L273:L275" si="114">+D273-H273</f>
        <v>-348.94000000000005</v>
      </c>
      <c r="M273" s="1"/>
      <c r="N273" s="5">
        <f t="shared" ref="N273:N275" si="115">IF(H273=0,0,L273/H273)</f>
        <v>-0.10202923976608189</v>
      </c>
      <c r="O273" s="13"/>
      <c r="P273" s="1">
        <f>SUM(OSRRefP22_21x_0)</f>
        <v>23509.05</v>
      </c>
      <c r="Q273" s="1"/>
      <c r="R273" s="5">
        <f t="shared" ref="R273:R275" si="116">IF(P$12=0,0,P273/P$12)</f>
        <v>2.2845882287691704E-3</v>
      </c>
      <c r="S273" s="1"/>
      <c r="T273" s="1">
        <f>SUM(OSRRefT22_21x_0)</f>
        <v>26235</v>
      </c>
      <c r="U273" s="1"/>
      <c r="V273" s="5">
        <f t="shared" ref="V273:V275" si="117">IF(T$12=0,0,T273/T$12)</f>
        <v>2.4095241129528694E-3</v>
      </c>
      <c r="W273" s="1"/>
      <c r="X273" s="1">
        <f t="shared" ref="X273:X275" si="118">+P273-T273</f>
        <v>-2725.9500000000007</v>
      </c>
      <c r="Y273" s="1"/>
      <c r="Z273" s="5">
        <f t="shared" ref="Z273:Z275" si="119">IF(T273=0,0,X273/T273)</f>
        <v>-0.10390508862206978</v>
      </c>
    </row>
    <row r="274" spans="1:26" s="24" customFormat="1" hidden="1" outlineLevel="2" x14ac:dyDescent="0.25">
      <c r="A274" s="25"/>
      <c r="B274" s="11" t="str">
        <f>CONCATENATE("          ", "6303", " - ", "DATA PHONE LINES")</f>
        <v xml:space="preserve">          6303 - DATA PHONE LINES</v>
      </c>
      <c r="C274" s="11"/>
      <c r="D274" s="6">
        <v>295</v>
      </c>
      <c r="E274" s="2"/>
      <c r="F274" s="7">
        <f t="shared" si="112"/>
        <v>3.6729998231232715E-4</v>
      </c>
      <c r="G274" s="2"/>
      <c r="H274" s="6">
        <v>1630</v>
      </c>
      <c r="I274" s="2"/>
      <c r="J274" s="7">
        <f t="shared" si="113"/>
        <v>1.8007314292250421E-3</v>
      </c>
      <c r="K274" s="2"/>
      <c r="L274" s="6">
        <f t="shared" si="114"/>
        <v>-1335</v>
      </c>
      <c r="M274" s="2"/>
      <c r="N274" s="7">
        <f t="shared" si="115"/>
        <v>-0.81901840490797551</v>
      </c>
      <c r="O274" s="11"/>
      <c r="P274" s="6">
        <v>2360</v>
      </c>
      <c r="Q274" s="2"/>
      <c r="R274" s="7">
        <f t="shared" si="116"/>
        <v>2.2934266675579158E-4</v>
      </c>
      <c r="S274" s="2"/>
      <c r="T274" s="6">
        <v>10965</v>
      </c>
      <c r="U274" s="2"/>
      <c r="V274" s="7">
        <f t="shared" si="117"/>
        <v>1.0070681112455959E-3</v>
      </c>
      <c r="W274" s="2"/>
      <c r="X274" s="6">
        <f t="shared" si="118"/>
        <v>-8605</v>
      </c>
      <c r="Y274" s="2"/>
      <c r="Z274" s="7">
        <f t="shared" si="119"/>
        <v>-0.78476972184222527</v>
      </c>
    </row>
    <row r="275" spans="1:26" s="24" customFormat="1" hidden="1" outlineLevel="2" x14ac:dyDescent="0.25">
      <c r="A275" s="25"/>
      <c r="B275" s="11" t="str">
        <f>CONCATENATE("          ", "6309", " - ", "TELEPHONE")</f>
        <v xml:space="preserve">          6309 - TELEPHONE</v>
      </c>
      <c r="C275" s="11"/>
      <c r="D275" s="6">
        <v>2776.06</v>
      </c>
      <c r="E275" s="2"/>
      <c r="F275" s="7">
        <f t="shared" si="112"/>
        <v>3.4564297928744367E-3</v>
      </c>
      <c r="G275" s="2"/>
      <c r="H275" s="6">
        <v>1790</v>
      </c>
      <c r="I275" s="2"/>
      <c r="J275" s="7">
        <f t="shared" si="113"/>
        <v>1.9774903425232057E-3</v>
      </c>
      <c r="K275" s="2"/>
      <c r="L275" s="6">
        <f t="shared" si="114"/>
        <v>986.06</v>
      </c>
      <c r="M275" s="2"/>
      <c r="N275" s="7">
        <f t="shared" si="115"/>
        <v>0.55087150837988819</v>
      </c>
      <c r="O275" s="11"/>
      <c r="P275" s="6">
        <v>21149.05</v>
      </c>
      <c r="Q275" s="2"/>
      <c r="R275" s="7">
        <f t="shared" si="116"/>
        <v>2.0552455620133788E-3</v>
      </c>
      <c r="S275" s="2"/>
      <c r="T275" s="6">
        <v>15270</v>
      </c>
      <c r="U275" s="2"/>
      <c r="V275" s="7">
        <f t="shared" si="117"/>
        <v>1.4024560017072733E-3</v>
      </c>
      <c r="W275" s="2"/>
      <c r="X275" s="6">
        <f t="shared" si="118"/>
        <v>5879.0499999999993</v>
      </c>
      <c r="Y275" s="2"/>
      <c r="Z275" s="7">
        <f t="shared" si="119"/>
        <v>0.38500654878847407</v>
      </c>
    </row>
    <row r="276" spans="1:26" s="27" customFormat="1" outlineLevel="1" collapsed="1" x14ac:dyDescent="0.25">
      <c r="A276" s="26"/>
      <c r="B276" s="13" t="str">
        <f>CONCATENATE("     ","Training                                          ")</f>
        <v xml:space="preserve">     Training                                          </v>
      </c>
      <c r="C276" s="13"/>
      <c r="D276" s="1">
        <f>SUM(OSRRefD22_22x_0)</f>
        <v>6414.9</v>
      </c>
      <c r="E276" s="1"/>
      <c r="F276" s="5">
        <f t="shared" ref="F276:F281" si="120">IF(D$12=0,0,D276/D$12)</f>
        <v>7.9870937509672786E-3</v>
      </c>
      <c r="G276" s="1"/>
      <c r="H276" s="1">
        <f>SUM(OSRRefH22_22x_0)</f>
        <v>3975</v>
      </c>
      <c r="I276" s="1"/>
      <c r="J276" s="5">
        <f t="shared" ref="J276:J281" si="121">IF(H$12=0,0,H276/H$12)</f>
        <v>4.391354252251253E-3</v>
      </c>
      <c r="K276" s="1"/>
      <c r="L276" s="1">
        <f t="shared" ref="L276:L281" si="122">+D276-H276</f>
        <v>2439.8999999999996</v>
      </c>
      <c r="M276" s="1"/>
      <c r="N276" s="5">
        <f t="shared" ref="N276:N281" si="123">IF(H276=0,0,L276/H276)</f>
        <v>0.61381132075471689</v>
      </c>
      <c r="O276" s="13"/>
      <c r="P276" s="1">
        <f>SUM(OSRRefP22_22x_0)</f>
        <v>17198.43</v>
      </c>
      <c r="Q276" s="1"/>
      <c r="R276" s="5">
        <f t="shared" ref="R276:R281" si="124">IF(P$12=0,0,P276/P$12)</f>
        <v>1.6713278814461054E-3</v>
      </c>
      <c r="S276" s="1"/>
      <c r="T276" s="1">
        <f>SUM(OSRRefT22_22x_0)</f>
        <v>22650</v>
      </c>
      <c r="U276" s="1"/>
      <c r="V276" s="5">
        <f t="shared" ref="V276:V281" si="125">IF(T$12=0,0,T276/T$12)</f>
        <v>2.0802638139272912E-3</v>
      </c>
      <c r="W276" s="1"/>
      <c r="X276" s="1">
        <f t="shared" ref="X276:X281" si="126">+P276-T276</f>
        <v>-5451.57</v>
      </c>
      <c r="Y276" s="1"/>
      <c r="Z276" s="5">
        <f t="shared" ref="Z276:Z281" si="127">IF(T276=0,0,X276/T276)</f>
        <v>-0.24068741721854303</v>
      </c>
    </row>
    <row r="277" spans="1:26" s="24" customFormat="1" hidden="1" outlineLevel="2" x14ac:dyDescent="0.25">
      <c r="A277" s="25"/>
      <c r="B277" s="11" t="str">
        <f>CONCATENATE("          ", "6376", " - ", "TRAINING")</f>
        <v xml:space="preserve">          6376 - TRAINING</v>
      </c>
      <c r="C277" s="11"/>
      <c r="D277" s="6">
        <v>6414.9</v>
      </c>
      <c r="E277" s="2"/>
      <c r="F277" s="7">
        <f t="shared" si="120"/>
        <v>7.9870937509672786E-3</v>
      </c>
      <c r="G277" s="2"/>
      <c r="H277" s="6">
        <v>3975</v>
      </c>
      <c r="I277" s="2"/>
      <c r="J277" s="7">
        <f t="shared" si="121"/>
        <v>4.391354252251253E-3</v>
      </c>
      <c r="K277" s="2"/>
      <c r="L277" s="6">
        <f t="shared" si="122"/>
        <v>2439.8999999999996</v>
      </c>
      <c r="M277" s="2"/>
      <c r="N277" s="7">
        <f t="shared" si="123"/>
        <v>0.61381132075471689</v>
      </c>
      <c r="O277" s="11"/>
      <c r="P277" s="6">
        <v>17198.43</v>
      </c>
      <c r="Q277" s="2"/>
      <c r="R277" s="7">
        <f t="shared" si="124"/>
        <v>1.6713278814461054E-3</v>
      </c>
      <c r="S277" s="2"/>
      <c r="T277" s="6">
        <v>22650</v>
      </c>
      <c r="U277" s="2"/>
      <c r="V277" s="7">
        <f t="shared" si="125"/>
        <v>2.0802638139272912E-3</v>
      </c>
      <c r="W277" s="2"/>
      <c r="X277" s="6">
        <f t="shared" si="126"/>
        <v>-5451.57</v>
      </c>
      <c r="Y277" s="2"/>
      <c r="Z277" s="7">
        <f t="shared" si="127"/>
        <v>-0.24068741721854303</v>
      </c>
    </row>
    <row r="278" spans="1:26" s="27" customFormat="1" outlineLevel="1" collapsed="1" x14ac:dyDescent="0.25">
      <c r="A278" s="26"/>
      <c r="B278" s="13" t="str">
        <f>CONCATENATE("     ","Travel                                            ")</f>
        <v xml:space="preserve">     Travel                                            </v>
      </c>
      <c r="C278" s="13"/>
      <c r="D278" s="1">
        <f>SUM(OSRRefD22_23x_0)</f>
        <v>102.13</v>
      </c>
      <c r="E278" s="1"/>
      <c r="F278" s="5">
        <f t="shared" si="120"/>
        <v>1.2716049896121346E-4</v>
      </c>
      <c r="G278" s="1"/>
      <c r="H278" s="1">
        <f>SUM(OSRRefH22_23x_0)</f>
        <v>175</v>
      </c>
      <c r="I278" s="1"/>
      <c r="J278" s="5">
        <f t="shared" si="121"/>
        <v>1.9333006141986647E-4</v>
      </c>
      <c r="K278" s="1"/>
      <c r="L278" s="1">
        <f t="shared" si="122"/>
        <v>-72.87</v>
      </c>
      <c r="M278" s="1"/>
      <c r="N278" s="5">
        <f t="shared" si="123"/>
        <v>-0.41640000000000005</v>
      </c>
      <c r="O278" s="13"/>
      <c r="P278" s="1">
        <f>SUM(OSRRefP22_23x_0)</f>
        <v>894.11</v>
      </c>
      <c r="Q278" s="1"/>
      <c r="R278" s="5">
        <f t="shared" si="124"/>
        <v>8.6888801598737636E-5</v>
      </c>
      <c r="S278" s="1"/>
      <c r="T278" s="1">
        <f>SUM(OSRRefT22_23x_0)</f>
        <v>1335</v>
      </c>
      <c r="U278" s="1"/>
      <c r="V278" s="5">
        <f t="shared" si="125"/>
        <v>1.2261157578776749E-4</v>
      </c>
      <c r="W278" s="1"/>
      <c r="X278" s="1">
        <f t="shared" si="126"/>
        <v>-440.89</v>
      </c>
      <c r="Y278" s="1"/>
      <c r="Z278" s="5">
        <f t="shared" si="127"/>
        <v>-0.33025468164794008</v>
      </c>
    </row>
    <row r="279" spans="1:26" s="24" customFormat="1" hidden="1" outlineLevel="2" x14ac:dyDescent="0.25">
      <c r="A279" s="25"/>
      <c r="B279" s="11" t="str">
        <f>CONCATENATE("          ", "6292", " - ", "TRAVEL/CONFERENCE")</f>
        <v xml:space="preserve">          6292 - TRAVEL/CONFERENCE</v>
      </c>
      <c r="C279" s="11"/>
      <c r="D279" s="6">
        <v>47.96</v>
      </c>
      <c r="E279" s="2"/>
      <c r="F279" s="7">
        <f t="shared" si="120"/>
        <v>5.9714261531183758E-5</v>
      </c>
      <c r="G279" s="2"/>
      <c r="H279" s="6"/>
      <c r="I279" s="2"/>
      <c r="J279" s="7">
        <f t="shared" si="121"/>
        <v>0</v>
      </c>
      <c r="K279" s="2"/>
      <c r="L279" s="6">
        <f t="shared" si="122"/>
        <v>47.96</v>
      </c>
      <c r="M279" s="2"/>
      <c r="N279" s="7">
        <f t="shared" si="123"/>
        <v>0</v>
      </c>
      <c r="O279" s="11"/>
      <c r="P279" s="6">
        <v>235.5</v>
      </c>
      <c r="Q279" s="2"/>
      <c r="R279" s="7">
        <f t="shared" si="124"/>
        <v>2.2885677127537677E-5</v>
      </c>
      <c r="S279" s="2"/>
      <c r="T279" s="6"/>
      <c r="U279" s="2"/>
      <c r="V279" s="7">
        <f t="shared" si="125"/>
        <v>0</v>
      </c>
      <c r="W279" s="2"/>
      <c r="X279" s="6">
        <f t="shared" si="126"/>
        <v>235.5</v>
      </c>
      <c r="Y279" s="2"/>
      <c r="Z279" s="7">
        <f t="shared" si="127"/>
        <v>0</v>
      </c>
    </row>
    <row r="280" spans="1:26" s="24" customFormat="1" hidden="1" outlineLevel="2" x14ac:dyDescent="0.25">
      <c r="A280" s="25"/>
      <c r="B280" s="11" t="str">
        <f>CONCATENATE("          ", "6294", " - ", "TRAVEL OPERATIONAL")</f>
        <v xml:space="preserve">          6294 - TRAVEL OPERATIONAL</v>
      </c>
      <c r="C280" s="11"/>
      <c r="D280" s="6">
        <v>35.29</v>
      </c>
      <c r="E280" s="2"/>
      <c r="F280" s="7">
        <f t="shared" si="120"/>
        <v>4.3939038562040761E-5</v>
      </c>
      <c r="G280" s="2"/>
      <c r="H280" s="6">
        <v>75</v>
      </c>
      <c r="I280" s="2"/>
      <c r="J280" s="7">
        <f t="shared" si="121"/>
        <v>8.2855740608514205E-5</v>
      </c>
      <c r="K280" s="2"/>
      <c r="L280" s="6">
        <f t="shared" si="122"/>
        <v>-39.71</v>
      </c>
      <c r="M280" s="2"/>
      <c r="N280" s="7">
        <f t="shared" si="123"/>
        <v>-0.52946666666666664</v>
      </c>
      <c r="O280" s="11"/>
      <c r="P280" s="6">
        <v>347.48</v>
      </c>
      <c r="Q280" s="2"/>
      <c r="R280" s="7">
        <f t="shared" si="124"/>
        <v>3.3767792306907823E-5</v>
      </c>
      <c r="S280" s="2"/>
      <c r="T280" s="6">
        <v>785</v>
      </c>
      <c r="U280" s="2"/>
      <c r="V280" s="7">
        <f t="shared" si="125"/>
        <v>7.2097443440747187E-5</v>
      </c>
      <c r="W280" s="2"/>
      <c r="X280" s="6">
        <f t="shared" si="126"/>
        <v>-437.52</v>
      </c>
      <c r="Y280" s="2"/>
      <c r="Z280" s="7">
        <f t="shared" si="127"/>
        <v>-0.55735031847133754</v>
      </c>
    </row>
    <row r="281" spans="1:26" s="24" customFormat="1" hidden="1" outlineLevel="2" x14ac:dyDescent="0.25">
      <c r="A281" s="25"/>
      <c r="B281" s="11" t="str">
        <f>CONCATENATE("          ", "6298", " - ", "VEHICLE MILEAGE")</f>
        <v xml:space="preserve">          6298 - VEHICLE MILEAGE</v>
      </c>
      <c r="C281" s="11"/>
      <c r="D281" s="6">
        <v>18.88</v>
      </c>
      <c r="E281" s="2"/>
      <c r="F281" s="7">
        <f t="shared" si="120"/>
        <v>2.3507198867988934E-5</v>
      </c>
      <c r="G281" s="2"/>
      <c r="H281" s="6">
        <v>100</v>
      </c>
      <c r="I281" s="2"/>
      <c r="J281" s="7">
        <f t="shared" si="121"/>
        <v>1.1047432081135227E-4</v>
      </c>
      <c r="K281" s="2"/>
      <c r="L281" s="6">
        <f t="shared" si="122"/>
        <v>-81.12</v>
      </c>
      <c r="M281" s="2"/>
      <c r="N281" s="7">
        <f t="shared" si="123"/>
        <v>-0.81120000000000003</v>
      </c>
      <c r="O281" s="11"/>
      <c r="P281" s="6">
        <v>311.13</v>
      </c>
      <c r="Q281" s="2"/>
      <c r="R281" s="7">
        <f t="shared" si="124"/>
        <v>3.0235332164292133E-5</v>
      </c>
      <c r="S281" s="2"/>
      <c r="T281" s="6">
        <v>550</v>
      </c>
      <c r="U281" s="2"/>
      <c r="V281" s="7">
        <f t="shared" si="125"/>
        <v>5.0514132347020317E-5</v>
      </c>
      <c r="W281" s="2"/>
      <c r="X281" s="6">
        <f t="shared" si="126"/>
        <v>-238.87</v>
      </c>
      <c r="Y281" s="2"/>
      <c r="Z281" s="7">
        <f t="shared" si="127"/>
        <v>-0.43430909090909092</v>
      </c>
    </row>
    <row r="282" spans="1:26" s="27" customFormat="1" outlineLevel="1" collapsed="1" x14ac:dyDescent="0.25">
      <c r="A282" s="26"/>
      <c r="B282" s="13" t="str">
        <f>CONCATENATE("     ","Utilities                                         ")</f>
        <v xml:space="preserve">     Utilities                                         </v>
      </c>
      <c r="C282" s="13"/>
      <c r="D282" s="1">
        <f>SUM(OSRRefD22_24x_0)</f>
        <v>8525.9699999999993</v>
      </c>
      <c r="E282" s="1"/>
      <c r="F282" s="5">
        <f t="shared" ref="F282:F283" si="128">IF(D$12=0,0,D282/D$12)</f>
        <v>1.0615554678628581E-2</v>
      </c>
      <c r="G282" s="1"/>
      <c r="H282" s="1">
        <f>SUM(OSRRefH22_24x_0)</f>
        <v>8000</v>
      </c>
      <c r="I282" s="1"/>
      <c r="J282" s="5">
        <f t="shared" ref="J282:J283" si="129">IF(H$12=0,0,H282/H$12)</f>
        <v>8.8379456649081822E-3</v>
      </c>
      <c r="K282" s="1"/>
      <c r="L282" s="1">
        <f t="shared" ref="L282:L283" si="130">+D282-H282</f>
        <v>525.96999999999935</v>
      </c>
      <c r="M282" s="1"/>
      <c r="N282" s="5">
        <f t="shared" ref="N282:N283" si="131">IF(H282=0,0,L282/H282)</f>
        <v>6.5746249999999923E-2</v>
      </c>
      <c r="O282" s="13"/>
      <c r="P282" s="1">
        <f>SUM(OSRRefP22_24x_0)</f>
        <v>46858.79</v>
      </c>
      <c r="Q282" s="1"/>
      <c r="R282" s="5">
        <f t="shared" ref="R282:R283" si="132">IF(P$12=0,0,P282/P$12)</f>
        <v>4.5536948557413637E-3</v>
      </c>
      <c r="S282" s="1"/>
      <c r="T282" s="1">
        <f>SUM(OSRRefT22_24x_0)</f>
        <v>43675</v>
      </c>
      <c r="U282" s="1"/>
      <c r="V282" s="5">
        <f t="shared" ref="V282:V283" si="133">IF(T$12=0,0,T282/T$12)</f>
        <v>4.0112813277383861E-3</v>
      </c>
      <c r="W282" s="1"/>
      <c r="X282" s="1">
        <f t="shared" ref="X282:X283" si="134">+P282-T282</f>
        <v>3183.7900000000009</v>
      </c>
      <c r="Y282" s="1"/>
      <c r="Z282" s="5">
        <f t="shared" ref="Z282:Z283" si="135">IF(T282=0,0,X282/T282)</f>
        <v>7.2897309673726401E-2</v>
      </c>
    </row>
    <row r="283" spans="1:26" s="24" customFormat="1" hidden="1" outlineLevel="2" x14ac:dyDescent="0.25">
      <c r="A283" s="25"/>
      <c r="B283" s="11" t="str">
        <f>CONCATENATE("          ", "6274", " - ", "UTILITIES")</f>
        <v xml:space="preserve">          6274 - UTILITIES</v>
      </c>
      <c r="C283" s="11"/>
      <c r="D283" s="6">
        <v>8525.9699999999993</v>
      </c>
      <c r="E283" s="2"/>
      <c r="F283" s="7">
        <f t="shared" si="128"/>
        <v>1.0615554678628581E-2</v>
      </c>
      <c r="G283" s="2"/>
      <c r="H283" s="6">
        <v>8000</v>
      </c>
      <c r="I283" s="2"/>
      <c r="J283" s="7">
        <f t="shared" si="129"/>
        <v>8.8379456649081822E-3</v>
      </c>
      <c r="K283" s="2"/>
      <c r="L283" s="6">
        <f t="shared" si="130"/>
        <v>525.96999999999935</v>
      </c>
      <c r="M283" s="2"/>
      <c r="N283" s="7">
        <f t="shared" si="131"/>
        <v>6.5746249999999923E-2</v>
      </c>
      <c r="O283" s="11"/>
      <c r="P283" s="6">
        <v>46858.79</v>
      </c>
      <c r="Q283" s="2"/>
      <c r="R283" s="7">
        <f t="shared" si="132"/>
        <v>4.5536948557413637E-3</v>
      </c>
      <c r="S283" s="2"/>
      <c r="T283" s="6">
        <v>43675</v>
      </c>
      <c r="U283" s="2"/>
      <c r="V283" s="7">
        <f t="shared" si="133"/>
        <v>4.0112813277383861E-3</v>
      </c>
      <c r="W283" s="2"/>
      <c r="X283" s="6">
        <f t="shared" si="134"/>
        <v>3183.7900000000009</v>
      </c>
      <c r="Y283" s="2"/>
      <c r="Z283" s="7">
        <f t="shared" si="135"/>
        <v>7.2897309673726401E-2</v>
      </c>
    </row>
    <row r="284" spans="1:26" s="53" customFormat="1" x14ac:dyDescent="0.25">
      <c r="A284" s="36"/>
      <c r="B284" s="36"/>
      <c r="C284" s="36"/>
      <c r="D284" s="1"/>
      <c r="E284" s="1"/>
      <c r="F284" s="5"/>
      <c r="G284" s="1"/>
      <c r="H284" s="1"/>
      <c r="I284" s="1"/>
      <c r="J284" s="5"/>
      <c r="K284" s="1"/>
      <c r="L284" s="1"/>
      <c r="M284" s="1"/>
      <c r="N284" s="5"/>
      <c r="O284" s="36"/>
      <c r="P284" s="1"/>
      <c r="Q284" s="1"/>
      <c r="R284" s="5"/>
      <c r="S284" s="1"/>
      <c r="T284" s="1"/>
      <c r="U284" s="1"/>
      <c r="V284" s="5"/>
      <c r="W284" s="1"/>
      <c r="X284" s="1"/>
      <c r="Y284" s="1"/>
      <c r="Z284" s="5"/>
    </row>
    <row r="285" spans="1:26" s="23" customFormat="1" collapsed="1" x14ac:dyDescent="0.25">
      <c r="A285" s="10"/>
      <c r="B285" s="29" t="s">
        <v>0</v>
      </c>
      <c r="C285" s="10"/>
      <c r="D285" s="4">
        <f>SUM(OSRRefD25x_0)</f>
        <v>171470.09000000003</v>
      </c>
      <c r="E285" s="4"/>
      <c r="F285" s="12">
        <f t="shared" ref="F285:F297" si="136">IF(D$12=0,0,D285/D$12)</f>
        <v>0.21349478313251916</v>
      </c>
      <c r="G285" s="4"/>
      <c r="H285" s="4">
        <f>SUM(OSRRefH25x_0)</f>
        <v>135900</v>
      </c>
      <c r="I285" s="4"/>
      <c r="J285" s="12">
        <f t="shared" ref="J285:J297" si="137">IF(H$12=0,0,H285/H$12)</f>
        <v>0.15013460198262774</v>
      </c>
      <c r="K285" s="4"/>
      <c r="L285" s="4">
        <f t="shared" ref="L285:L297" si="138">+D285-H285</f>
        <v>35570.090000000026</v>
      </c>
      <c r="M285" s="4"/>
      <c r="N285" s="12">
        <f t="shared" ref="N285:N297" si="139">IF(H285=0,0,L285/H285)</f>
        <v>0.26173723325975001</v>
      </c>
      <c r="O285" s="10"/>
      <c r="P285" s="4">
        <f>SUM(OSRRefP25x_0)</f>
        <v>651436.62</v>
      </c>
      <c r="Q285" s="4"/>
      <c r="R285" s="12">
        <f t="shared" ref="R285:R297" si="140">IF(P$12=0,0,P285/P$12)</f>
        <v>6.3306021886940358E-2</v>
      </c>
      <c r="S285" s="4"/>
      <c r="T285" s="4">
        <f>SUM(OSRRefT25x_0)</f>
        <v>657675</v>
      </c>
      <c r="U285" s="4"/>
      <c r="V285" s="12">
        <f t="shared" ref="V285:V297" si="141">IF(T$12=0,0,T285/T$12)</f>
        <v>6.0403421802411976E-2</v>
      </c>
      <c r="W285" s="4"/>
      <c r="X285" s="4">
        <f t="shared" ref="X285:X297" si="142">+P285-T285</f>
        <v>-6238.3800000000047</v>
      </c>
      <c r="Y285" s="4"/>
      <c r="Z285" s="12">
        <f t="shared" ref="Z285:Z297" si="143">IF(T285=0,0,X285/T285)</f>
        <v>-9.4855057589234883E-3</v>
      </c>
    </row>
    <row r="286" spans="1:26" s="24" customFormat="1" hidden="1" outlineLevel="1" x14ac:dyDescent="0.25">
      <c r="A286" s="44"/>
      <c r="B286" s="11" t="str">
        <f>CONCATENATE("          ", "4098", " - ", "TAXABLE SALES-GRAD RENTALS")</f>
        <v xml:space="preserve">          4098 - TAXABLE SALES-GRAD RENTALS</v>
      </c>
      <c r="C286" s="11"/>
      <c r="D286" s="2">
        <f>--110</f>
        <v>110</v>
      </c>
      <c r="E286" s="2"/>
      <c r="F286" s="19">
        <f t="shared" si="136"/>
        <v>1.3695931543849485E-4</v>
      </c>
      <c r="G286" s="2"/>
      <c r="H286" s="2"/>
      <c r="I286" s="2"/>
      <c r="J286" s="19">
        <f t="shared" si="137"/>
        <v>0</v>
      </c>
      <c r="K286" s="2"/>
      <c r="L286" s="2">
        <f t="shared" si="138"/>
        <v>110</v>
      </c>
      <c r="M286" s="2"/>
      <c r="N286" s="19">
        <f t="shared" si="139"/>
        <v>0</v>
      </c>
      <c r="O286" s="11"/>
      <c r="P286" s="2">
        <f>--2056.85</f>
        <v>2056.85</v>
      </c>
      <c r="Q286" s="2"/>
      <c r="R286" s="19">
        <f t="shared" si="140"/>
        <v>1.9988282377824147E-4</v>
      </c>
      <c r="S286" s="2"/>
      <c r="T286" s="2"/>
      <c r="U286" s="2"/>
      <c r="V286" s="19">
        <f t="shared" si="141"/>
        <v>0</v>
      </c>
      <c r="W286" s="2"/>
      <c r="X286" s="2">
        <f t="shared" si="142"/>
        <v>2056.85</v>
      </c>
      <c r="Y286" s="2"/>
      <c r="Z286" s="19">
        <f t="shared" si="143"/>
        <v>0</v>
      </c>
    </row>
    <row r="287" spans="1:26" s="24" customFormat="1" hidden="1" outlineLevel="1" x14ac:dyDescent="0.25">
      <c r="A287" s="44"/>
      <c r="B287" s="11" t="str">
        <f>CONCATENATE("          ", "4187", " - ", "NON-TAXABLE SALES-COMPUTER REP")</f>
        <v xml:space="preserve">          4187 - NON-TAXABLE SALES-COMPUTER REP</v>
      </c>
      <c r="C287" s="11"/>
      <c r="D287" s="2">
        <f>--681.93</f>
        <v>681.93</v>
      </c>
      <c r="E287" s="2"/>
      <c r="F287" s="19">
        <f t="shared" si="136"/>
        <v>8.490605997906618E-4</v>
      </c>
      <c r="G287" s="2"/>
      <c r="H287" s="2"/>
      <c r="I287" s="2"/>
      <c r="J287" s="19">
        <f t="shared" si="137"/>
        <v>0</v>
      </c>
      <c r="K287" s="2"/>
      <c r="L287" s="2">
        <f t="shared" si="138"/>
        <v>681.93</v>
      </c>
      <c r="M287" s="2"/>
      <c r="N287" s="19">
        <f t="shared" si="139"/>
        <v>0</v>
      </c>
      <c r="O287" s="11"/>
      <c r="P287" s="2">
        <f>--15792.86</f>
        <v>15792.86</v>
      </c>
      <c r="Q287" s="2"/>
      <c r="R287" s="19">
        <f t="shared" si="140"/>
        <v>1.5347358593647757E-3</v>
      </c>
      <c r="S287" s="2"/>
      <c r="T287" s="2"/>
      <c r="U287" s="2"/>
      <c r="V287" s="19">
        <f t="shared" si="141"/>
        <v>0</v>
      </c>
      <c r="W287" s="2"/>
      <c r="X287" s="2">
        <f t="shared" si="142"/>
        <v>15792.86</v>
      </c>
      <c r="Y287" s="2"/>
      <c r="Z287" s="19">
        <f t="shared" si="143"/>
        <v>0</v>
      </c>
    </row>
    <row r="288" spans="1:26" s="24" customFormat="1" hidden="1" outlineLevel="1" x14ac:dyDescent="0.25">
      <c r="A288" s="44"/>
      <c r="B288" s="11" t="str">
        <f>CONCATENATE("          ", "4197", " - ", "NON-TAXABLE SALES-RETURNED CHE")</f>
        <v xml:space="preserve">          4197 - NON-TAXABLE SALES-RETURNED CHE</v>
      </c>
      <c r="C288" s="11"/>
      <c r="D288" s="2">
        <f t="shared" ref="D288:D291" si="144">0</f>
        <v>0</v>
      </c>
      <c r="E288" s="2"/>
      <c r="F288" s="19">
        <f t="shared" si="136"/>
        <v>0</v>
      </c>
      <c r="G288" s="2"/>
      <c r="H288" s="2"/>
      <c r="I288" s="2"/>
      <c r="J288" s="19">
        <f t="shared" si="137"/>
        <v>0</v>
      </c>
      <c r="K288" s="2"/>
      <c r="L288" s="2">
        <f t="shared" si="138"/>
        <v>0</v>
      </c>
      <c r="M288" s="2"/>
      <c r="N288" s="19">
        <f t="shared" si="139"/>
        <v>0</v>
      </c>
      <c r="O288" s="11"/>
      <c r="P288" s="2">
        <f>--30</f>
        <v>30</v>
      </c>
      <c r="Q288" s="2"/>
      <c r="R288" s="19">
        <f t="shared" si="140"/>
        <v>2.9153728824888762E-6</v>
      </c>
      <c r="S288" s="2"/>
      <c r="T288" s="2"/>
      <c r="U288" s="2"/>
      <c r="V288" s="19">
        <f t="shared" si="141"/>
        <v>0</v>
      </c>
      <c r="W288" s="2"/>
      <c r="X288" s="2">
        <f t="shared" si="142"/>
        <v>30</v>
      </c>
      <c r="Y288" s="2"/>
      <c r="Z288" s="19">
        <f t="shared" si="143"/>
        <v>0</v>
      </c>
    </row>
    <row r="289" spans="1:26" s="24" customFormat="1" hidden="1" outlineLevel="1" x14ac:dyDescent="0.25">
      <c r="A289" s="44"/>
      <c r="B289" s="11" t="str">
        <f>CONCATENATE("          ", "4198", " - ", "NON-TAXABLE SALES-GRAD RENTALS")</f>
        <v xml:space="preserve">          4198 - NON-TAXABLE SALES-GRAD RENTALS</v>
      </c>
      <c r="C289" s="11"/>
      <c r="D289" s="2">
        <f t="shared" si="144"/>
        <v>0</v>
      </c>
      <c r="E289" s="2"/>
      <c r="F289" s="19">
        <f t="shared" si="136"/>
        <v>0</v>
      </c>
      <c r="G289" s="2"/>
      <c r="H289" s="2"/>
      <c r="I289" s="2"/>
      <c r="J289" s="19">
        <f t="shared" si="137"/>
        <v>0</v>
      </c>
      <c r="K289" s="2"/>
      <c r="L289" s="2">
        <f t="shared" si="138"/>
        <v>0</v>
      </c>
      <c r="M289" s="2"/>
      <c r="N289" s="19">
        <f t="shared" si="139"/>
        <v>0</v>
      </c>
      <c r="O289" s="11"/>
      <c r="P289" s="2">
        <f>--3732.1</f>
        <v>3732.1</v>
      </c>
      <c r="Q289" s="2"/>
      <c r="R289" s="19">
        <f t="shared" si="140"/>
        <v>3.6268210449122445E-4</v>
      </c>
      <c r="S289" s="2"/>
      <c r="T289" s="2"/>
      <c r="U289" s="2"/>
      <c r="V289" s="19">
        <f t="shared" si="141"/>
        <v>0</v>
      </c>
      <c r="W289" s="2"/>
      <c r="X289" s="2">
        <f t="shared" si="142"/>
        <v>3732.1</v>
      </c>
      <c r="Y289" s="2"/>
      <c r="Z289" s="19">
        <f t="shared" si="143"/>
        <v>0</v>
      </c>
    </row>
    <row r="290" spans="1:26" s="24" customFormat="1" hidden="1" outlineLevel="1" x14ac:dyDescent="0.25">
      <c r="A290" s="44"/>
      <c r="B290" s="11" t="str">
        <f>CONCATENATE("          ", "4387", " - ", "SALES RETURN NON TAXABLE-COMPU")</f>
        <v xml:space="preserve">          4387 - SALES RETURN NON TAXABLE-COMPU</v>
      </c>
      <c r="C290" s="11"/>
      <c r="D290" s="2">
        <f t="shared" si="144"/>
        <v>0</v>
      </c>
      <c r="E290" s="2"/>
      <c r="F290" s="19">
        <f t="shared" si="136"/>
        <v>0</v>
      </c>
      <c r="G290" s="2"/>
      <c r="H290" s="2"/>
      <c r="I290" s="2"/>
      <c r="J290" s="19">
        <f t="shared" si="137"/>
        <v>0</v>
      </c>
      <c r="K290" s="2"/>
      <c r="L290" s="2">
        <f t="shared" si="138"/>
        <v>0</v>
      </c>
      <c r="M290" s="2"/>
      <c r="N290" s="19">
        <f t="shared" si="139"/>
        <v>0</v>
      </c>
      <c r="O290" s="11"/>
      <c r="P290" s="2">
        <f>-7889</f>
        <v>-7889</v>
      </c>
      <c r="Q290" s="2"/>
      <c r="R290" s="19">
        <f t="shared" si="140"/>
        <v>-7.666458889984914E-4</v>
      </c>
      <c r="S290" s="2"/>
      <c r="T290" s="2"/>
      <c r="U290" s="2"/>
      <c r="V290" s="19">
        <f t="shared" si="141"/>
        <v>0</v>
      </c>
      <c r="W290" s="2"/>
      <c r="X290" s="2">
        <f t="shared" si="142"/>
        <v>-7889</v>
      </c>
      <c r="Y290" s="2"/>
      <c r="Z290" s="19">
        <f t="shared" si="143"/>
        <v>0</v>
      </c>
    </row>
    <row r="291" spans="1:26" s="24" customFormat="1" hidden="1" outlineLevel="1" x14ac:dyDescent="0.25">
      <c r="A291" s="44"/>
      <c r="B291" s="11" t="str">
        <f>CONCATENATE("          ", "5087", " - ", "PURCHASES @ COST-COMPUTER REPA")</f>
        <v xml:space="preserve">          5087 - PURCHASES @ COST-COMPUTER REPA</v>
      </c>
      <c r="C291" s="11"/>
      <c r="D291" s="2">
        <f t="shared" si="144"/>
        <v>0</v>
      </c>
      <c r="E291" s="2"/>
      <c r="F291" s="19">
        <f t="shared" si="136"/>
        <v>0</v>
      </c>
      <c r="G291" s="2"/>
      <c r="H291" s="2"/>
      <c r="I291" s="2"/>
      <c r="J291" s="19">
        <f t="shared" si="137"/>
        <v>0</v>
      </c>
      <c r="K291" s="2"/>
      <c r="L291" s="2">
        <f t="shared" si="138"/>
        <v>0</v>
      </c>
      <c r="M291" s="2"/>
      <c r="N291" s="19">
        <f t="shared" si="139"/>
        <v>0</v>
      </c>
      <c r="O291" s="11"/>
      <c r="P291" s="2">
        <f>-56.72</f>
        <v>-56.72</v>
      </c>
      <c r="Q291" s="2"/>
      <c r="R291" s="19">
        <f t="shared" si="140"/>
        <v>-5.5119983298256345E-6</v>
      </c>
      <c r="S291" s="2"/>
      <c r="T291" s="2"/>
      <c r="U291" s="2"/>
      <c r="V291" s="19">
        <f t="shared" si="141"/>
        <v>0</v>
      </c>
      <c r="W291" s="2"/>
      <c r="X291" s="2">
        <f t="shared" si="142"/>
        <v>-56.72</v>
      </c>
      <c r="Y291" s="2"/>
      <c r="Z291" s="19">
        <f t="shared" si="143"/>
        <v>0</v>
      </c>
    </row>
    <row r="292" spans="1:26" s="24" customFormat="1" hidden="1" outlineLevel="1" x14ac:dyDescent="0.25">
      <c r="A292" s="44"/>
      <c r="B292" s="11" t="str">
        <f>CONCATENATE("          ", "9150", " - ", "MISC. INCOME")</f>
        <v xml:space="preserve">          9150 - MISC. INCOME</v>
      </c>
      <c r="C292" s="11"/>
      <c r="D292" s="2">
        <f>--77220.55</f>
        <v>77220.55</v>
      </c>
      <c r="E292" s="2"/>
      <c r="F292" s="19">
        <f t="shared" si="136"/>
        <v>9.6146124234400582E-2</v>
      </c>
      <c r="G292" s="2"/>
      <c r="H292" s="2">
        <v>31250</v>
      </c>
      <c r="I292" s="2"/>
      <c r="J292" s="19">
        <f t="shared" si="137"/>
        <v>3.4523225253547583E-2</v>
      </c>
      <c r="K292" s="2"/>
      <c r="L292" s="2">
        <f t="shared" si="138"/>
        <v>45970.55</v>
      </c>
      <c r="M292" s="2"/>
      <c r="N292" s="19">
        <f t="shared" si="139"/>
        <v>1.4710576000000002</v>
      </c>
      <c r="O292" s="11"/>
      <c r="P292" s="2">
        <f>--369628.13</f>
        <v>369628.13</v>
      </c>
      <c r="Q292" s="2"/>
      <c r="R292" s="19">
        <f t="shared" si="140"/>
        <v>3.5920127560235764E-2</v>
      </c>
      <c r="S292" s="2"/>
      <c r="T292" s="2">
        <v>261575</v>
      </c>
      <c r="U292" s="2"/>
      <c r="V292" s="19">
        <f t="shared" si="141"/>
        <v>2.402406212485789E-2</v>
      </c>
      <c r="W292" s="2"/>
      <c r="X292" s="2">
        <f t="shared" si="142"/>
        <v>108053.13</v>
      </c>
      <c r="Y292" s="2"/>
      <c r="Z292" s="19">
        <f t="shared" si="143"/>
        <v>0.41308660995890284</v>
      </c>
    </row>
    <row r="293" spans="1:26" s="24" customFormat="1" hidden="1" outlineLevel="1" x14ac:dyDescent="0.25">
      <c r="A293" s="44"/>
      <c r="B293" s="11" t="str">
        <f>CONCATENATE("          ", "9151", " - ", "MISC. INCOME")</f>
        <v xml:space="preserve">          9151 - MISC. INCOME</v>
      </c>
      <c r="C293" s="11"/>
      <c r="D293" s="2">
        <f>--70124.28</f>
        <v>70124.28</v>
      </c>
      <c r="E293" s="2"/>
      <c r="F293" s="19">
        <f t="shared" si="136"/>
        <v>8.7310667131066694E-2</v>
      </c>
      <c r="G293" s="2"/>
      <c r="H293" s="2">
        <v>12850</v>
      </c>
      <c r="I293" s="2"/>
      <c r="J293" s="19">
        <f t="shared" si="137"/>
        <v>1.4195950224258767E-2</v>
      </c>
      <c r="K293" s="2"/>
      <c r="L293" s="2">
        <f t="shared" si="138"/>
        <v>57274.28</v>
      </c>
      <c r="M293" s="2"/>
      <c r="N293" s="19">
        <f t="shared" si="139"/>
        <v>4.4571424124513621</v>
      </c>
      <c r="O293" s="11"/>
      <c r="P293" s="2">
        <f>--156077.66</f>
        <v>156077.66</v>
      </c>
      <c r="Q293" s="2"/>
      <c r="R293" s="19">
        <f t="shared" si="140"/>
        <v>1.5167485917543959E-2</v>
      </c>
      <c r="S293" s="2"/>
      <c r="T293" s="2">
        <v>90550</v>
      </c>
      <c r="U293" s="2"/>
      <c r="V293" s="19">
        <f t="shared" si="141"/>
        <v>8.3164630618594356E-3</v>
      </c>
      <c r="W293" s="2"/>
      <c r="X293" s="2">
        <f t="shared" si="142"/>
        <v>65527.66</v>
      </c>
      <c r="Y293" s="2"/>
      <c r="Z293" s="19">
        <f t="shared" si="143"/>
        <v>0.72366272777471019</v>
      </c>
    </row>
    <row r="294" spans="1:26" s="24" customFormat="1" hidden="1" outlineLevel="1" x14ac:dyDescent="0.25">
      <c r="A294" s="44"/>
      <c r="B294" s="11" t="str">
        <f>CONCATENATE("          ", "9152", " - ", "MISC. INCOME")</f>
        <v xml:space="preserve">          9152 - MISC. INCOME</v>
      </c>
      <c r="C294" s="11"/>
      <c r="D294" s="2">
        <f t="shared" ref="D294:D296" si="145">0</f>
        <v>0</v>
      </c>
      <c r="E294" s="2"/>
      <c r="F294" s="19">
        <f t="shared" si="136"/>
        <v>0</v>
      </c>
      <c r="G294" s="2"/>
      <c r="H294" s="2"/>
      <c r="I294" s="2"/>
      <c r="J294" s="19">
        <f t="shared" si="137"/>
        <v>0</v>
      </c>
      <c r="K294" s="2"/>
      <c r="L294" s="2">
        <f t="shared" si="138"/>
        <v>0</v>
      </c>
      <c r="M294" s="2"/>
      <c r="N294" s="19">
        <f t="shared" si="139"/>
        <v>0</v>
      </c>
      <c r="O294" s="11"/>
      <c r="P294" s="2">
        <f>--4699.86</f>
        <v>4699.8599999999997</v>
      </c>
      <c r="Q294" s="2"/>
      <c r="R294" s="19">
        <f t="shared" si="140"/>
        <v>4.5672814651647229E-4</v>
      </c>
      <c r="S294" s="2"/>
      <c r="T294" s="2"/>
      <c r="U294" s="2"/>
      <c r="V294" s="19">
        <f t="shared" si="141"/>
        <v>0</v>
      </c>
      <c r="W294" s="2"/>
      <c r="X294" s="2">
        <f t="shared" si="142"/>
        <v>4699.8599999999997</v>
      </c>
      <c r="Y294" s="2"/>
      <c r="Z294" s="19">
        <f t="shared" si="143"/>
        <v>0</v>
      </c>
    </row>
    <row r="295" spans="1:26" s="24" customFormat="1" hidden="1" outlineLevel="1" x14ac:dyDescent="0.25">
      <c r="A295" s="44"/>
      <c r="B295" s="11" t="str">
        <f>CONCATENATE("          ", "9153", " - ", "MISC. INCOME")</f>
        <v xml:space="preserve">          9153 - MISC. INCOME</v>
      </c>
      <c r="C295" s="11"/>
      <c r="D295" s="2">
        <f t="shared" si="145"/>
        <v>0</v>
      </c>
      <c r="E295" s="2"/>
      <c r="F295" s="19">
        <f t="shared" si="136"/>
        <v>0</v>
      </c>
      <c r="G295" s="2"/>
      <c r="H295" s="2"/>
      <c r="I295" s="2"/>
      <c r="J295" s="19">
        <f t="shared" si="137"/>
        <v>0</v>
      </c>
      <c r="K295" s="2"/>
      <c r="L295" s="2">
        <f t="shared" si="138"/>
        <v>0</v>
      </c>
      <c r="M295" s="2"/>
      <c r="N295" s="19">
        <f t="shared" si="139"/>
        <v>0</v>
      </c>
      <c r="O295" s="11"/>
      <c r="P295" s="2">
        <f>--450</f>
        <v>450</v>
      </c>
      <c r="Q295" s="2"/>
      <c r="R295" s="19">
        <f t="shared" si="140"/>
        <v>4.3730593237333142E-5</v>
      </c>
      <c r="S295" s="2"/>
      <c r="T295" s="2"/>
      <c r="U295" s="2"/>
      <c r="V295" s="19">
        <f t="shared" si="141"/>
        <v>0</v>
      </c>
      <c r="W295" s="2"/>
      <c r="X295" s="2">
        <f t="shared" si="142"/>
        <v>450</v>
      </c>
      <c r="Y295" s="2"/>
      <c r="Z295" s="19">
        <f t="shared" si="143"/>
        <v>0</v>
      </c>
    </row>
    <row r="296" spans="1:26" s="24" customFormat="1" hidden="1" outlineLevel="1" x14ac:dyDescent="0.25">
      <c r="A296" s="44"/>
      <c r="B296" s="11" t="str">
        <f>CONCATENATE("          ", "9160", " - ", "MISC. INCOME")</f>
        <v xml:space="preserve">          9160 - MISC. INCOME</v>
      </c>
      <c r="C296" s="11"/>
      <c r="D296" s="2">
        <f t="shared" si="145"/>
        <v>0</v>
      </c>
      <c r="E296" s="2"/>
      <c r="F296" s="19">
        <f t="shared" si="136"/>
        <v>0</v>
      </c>
      <c r="G296" s="2"/>
      <c r="H296" s="2">
        <v>91800</v>
      </c>
      <c r="I296" s="2"/>
      <c r="J296" s="19">
        <f t="shared" si="137"/>
        <v>0.10141542650482138</v>
      </c>
      <c r="K296" s="2"/>
      <c r="L296" s="2">
        <f t="shared" si="138"/>
        <v>-91800</v>
      </c>
      <c r="M296" s="2"/>
      <c r="N296" s="19">
        <f t="shared" si="139"/>
        <v>-1</v>
      </c>
      <c r="O296" s="11"/>
      <c r="P296" s="2">
        <f>--22475</f>
        <v>22475</v>
      </c>
      <c r="Q296" s="2"/>
      <c r="R296" s="19">
        <f t="shared" si="140"/>
        <v>2.1841001844645829E-3</v>
      </c>
      <c r="S296" s="2"/>
      <c r="T296" s="2">
        <v>305550</v>
      </c>
      <c r="U296" s="2"/>
      <c r="V296" s="19">
        <f t="shared" si="141"/>
        <v>2.8062896615694652E-2</v>
      </c>
      <c r="W296" s="2"/>
      <c r="X296" s="2">
        <f t="shared" si="142"/>
        <v>-283075</v>
      </c>
      <c r="Y296" s="2"/>
      <c r="Z296" s="19">
        <f t="shared" si="143"/>
        <v>-0.92644411716576669</v>
      </c>
    </row>
    <row r="297" spans="1:26" s="24" customFormat="1" hidden="1" outlineLevel="1" x14ac:dyDescent="0.25">
      <c r="A297" s="44"/>
      <c r="B297" s="11" t="str">
        <f>CONCATENATE("          ", "9163", " - ", "MISC. INCOME")</f>
        <v xml:space="preserve">          9163 - MISC. INCOME</v>
      </c>
      <c r="C297" s="11"/>
      <c r="D297" s="2">
        <f>--23333.33</f>
        <v>23333.33</v>
      </c>
      <c r="E297" s="2"/>
      <c r="F297" s="19">
        <f t="shared" si="136"/>
        <v>2.9051971851822688E-2</v>
      </c>
      <c r="G297" s="2"/>
      <c r="H297" s="2"/>
      <c r="I297" s="2"/>
      <c r="J297" s="19">
        <f t="shared" si="137"/>
        <v>0</v>
      </c>
      <c r="K297" s="2"/>
      <c r="L297" s="2">
        <f t="shared" si="138"/>
        <v>23333.33</v>
      </c>
      <c r="M297" s="2"/>
      <c r="N297" s="19">
        <f t="shared" si="139"/>
        <v>0</v>
      </c>
      <c r="O297" s="11"/>
      <c r="P297" s="2">
        <f>--84439.88</f>
        <v>84439.88</v>
      </c>
      <c r="Q297" s="2"/>
      <c r="R297" s="19">
        <f t="shared" si="140"/>
        <v>8.2057912117538268E-3</v>
      </c>
      <c r="S297" s="2"/>
      <c r="T297" s="2"/>
      <c r="U297" s="2"/>
      <c r="V297" s="19">
        <f t="shared" si="141"/>
        <v>0</v>
      </c>
      <c r="W297" s="2"/>
      <c r="X297" s="2">
        <f t="shared" si="142"/>
        <v>84439.88</v>
      </c>
      <c r="Y297" s="2"/>
      <c r="Z297" s="19">
        <f t="shared" si="143"/>
        <v>0</v>
      </c>
    </row>
    <row r="298" spans="1:26" x14ac:dyDescent="0.25">
      <c r="A298" s="9"/>
      <c r="B298" s="10"/>
      <c r="C298" s="10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O298" s="10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3" customFormat="1" x14ac:dyDescent="0.25">
      <c r="A299" s="10"/>
      <c r="B299" s="28" t="s">
        <v>3</v>
      </c>
      <c r="C299" s="28"/>
      <c r="D299" s="21">
        <f>+D187-D189+D285</f>
        <v>3033.5399999998044</v>
      </c>
      <c r="E299" s="14"/>
      <c r="F299" s="22">
        <f>IF(D$12=0,0,D299/D$12)</f>
        <v>3.7770141977751357E-3</v>
      </c>
      <c r="G299" s="14"/>
      <c r="H299" s="21">
        <f>+H187-H189+H285</f>
        <v>151217.56178394513</v>
      </c>
      <c r="I299" s="14"/>
      <c r="J299" s="22">
        <f>IF(H$12=0,0,H299/H$12)</f>
        <v>0.16705657432830037</v>
      </c>
      <c r="K299" s="15"/>
      <c r="L299" s="21">
        <f>+D299-H299</f>
        <v>-148184.02178394533</v>
      </c>
      <c r="M299" s="15"/>
      <c r="N299" s="22">
        <f>IF(H299=0,0,L299/H299)</f>
        <v>-0.97993923480703893</v>
      </c>
      <c r="O299" s="29"/>
      <c r="P299" s="21">
        <f>+P187-P189+P285</f>
        <v>1115714.6999999988</v>
      </c>
      <c r="Q299" s="14"/>
      <c r="R299" s="22">
        <f>IF(P$12=0,0,P299/P$12)</f>
        <v>0.10842414603247361</v>
      </c>
      <c r="S299" s="14"/>
      <c r="T299" s="21">
        <f>+T187-T189+T285</f>
        <v>1363473.7550271261</v>
      </c>
      <c r="U299" s="14"/>
      <c r="V299" s="22">
        <f>IF(T$12=0,0,T299/T$12)</f>
        <v>0.12522671584205275</v>
      </c>
      <c r="W299" s="15"/>
      <c r="X299" s="21">
        <f>+P299-T299</f>
        <v>-247759.05502712727</v>
      </c>
      <c r="Y299" s="15"/>
      <c r="Z299" s="22">
        <f>IF(T299=0,0,X299/T299)</f>
        <v>-0.1817116421299933</v>
      </c>
    </row>
    <row r="300" spans="1:26" x14ac:dyDescent="0.25">
      <c r="A300" s="9"/>
      <c r="B300" s="10"/>
      <c r="C300" s="9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3" customFormat="1" x14ac:dyDescent="0.25">
      <c r="A301" s="52"/>
      <c r="B301" s="10" t="s">
        <v>14</v>
      </c>
      <c r="C301" s="10"/>
      <c r="D301" s="4">
        <v>59410.599999999991</v>
      </c>
      <c r="E301" s="4"/>
      <c r="F301" s="12">
        <f>IF(D$12=0,0,D301/D$12)</f>
        <v>7.3971228234456746E-2</v>
      </c>
      <c r="G301" s="4"/>
      <c r="H301" s="4">
        <v>80168</v>
      </c>
      <c r="I301" s="4"/>
      <c r="J301" s="12">
        <f>IF(H$12=0,0,H301/H$12)</f>
        <v>8.8565053508044889E-2</v>
      </c>
      <c r="K301" s="4"/>
      <c r="L301" s="4">
        <f>+D301-H301</f>
        <v>-20757.400000000009</v>
      </c>
      <c r="M301" s="4"/>
      <c r="N301" s="12">
        <f>IF(H301=0,0,L301/H301)</f>
        <v>-0.25892376010378215</v>
      </c>
      <c r="O301" s="10"/>
      <c r="P301" s="4">
        <v>1048782.9099999999</v>
      </c>
      <c r="Q301" s="4"/>
      <c r="R301" s="12">
        <f>IF(P$12=0,0,P301/P$12)</f>
        <v>0.10191977518105905</v>
      </c>
      <c r="S301" s="4"/>
      <c r="T301" s="4">
        <v>1309295</v>
      </c>
      <c r="U301" s="4"/>
      <c r="V301" s="12">
        <f>IF(T$12=0,0,T301/T$12)</f>
        <v>0.12025072892962176</v>
      </c>
      <c r="W301" s="4"/>
      <c r="X301" s="4">
        <f>+P301-T301</f>
        <v>-260512.09000000008</v>
      </c>
      <c r="Y301" s="4"/>
      <c r="Z301" s="12">
        <f>IF(T301=0,0,X301/T301)</f>
        <v>-0.19897127079840685</v>
      </c>
    </row>
    <row r="302" spans="1:26" x14ac:dyDescent="0.25">
      <c r="A302" s="9"/>
      <c r="B302" s="10"/>
      <c r="C302" s="10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O302" s="10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3" customFormat="1" ht="15.75" thickBot="1" x14ac:dyDescent="0.3">
      <c r="A303" s="10"/>
      <c r="B303" s="28" t="s">
        <v>4</v>
      </c>
      <c r="C303" s="28"/>
      <c r="D303" s="31">
        <f>+D299-D301</f>
        <v>-56377.060000000187</v>
      </c>
      <c r="E303" s="14"/>
      <c r="F303" s="32">
        <f>IF(D$12=0,0,D303/D$12)</f>
        <v>-7.0194214036681607E-2</v>
      </c>
      <c r="G303" s="14"/>
      <c r="H303" s="31">
        <f>+H299-H301</f>
        <v>71049.56178394513</v>
      </c>
      <c r="I303" s="14"/>
      <c r="J303" s="32">
        <f>IF(H$12=0,0,H303/H$12)</f>
        <v>7.8491520820255484E-2</v>
      </c>
      <c r="K303" s="15"/>
      <c r="L303" s="31">
        <f>D303-H303</f>
        <v>-127426.62178394532</v>
      </c>
      <c r="M303" s="15"/>
      <c r="N303" s="32">
        <f>IF(H303=0,0,L303/H303)</f>
        <v>-1.7934892008403569</v>
      </c>
      <c r="O303" s="29"/>
      <c r="P303" s="31">
        <f>+P299-P301</f>
        <v>66931.789999998873</v>
      </c>
      <c r="Q303" s="14"/>
      <c r="R303" s="32">
        <f>IF(P$12=0,0,P303/P$12)</f>
        <v>6.5043708514145619E-3</v>
      </c>
      <c r="S303" s="14"/>
      <c r="T303" s="31">
        <f>+T299-T301</f>
        <v>54178.755027126055</v>
      </c>
      <c r="U303" s="14"/>
      <c r="V303" s="32">
        <f>IF(T$12=0,0,T303/T$12)</f>
        <v>4.9759869124309779E-3</v>
      </c>
      <c r="W303" s="15"/>
      <c r="X303" s="31">
        <f>P303-T303</f>
        <v>12753.034972872818</v>
      </c>
      <c r="Y303" s="15"/>
      <c r="Z303" s="32">
        <f>IF(T303=0,0,X303/T303)</f>
        <v>0.23538811415078967</v>
      </c>
    </row>
    <row r="304" spans="1:26" ht="15.75" thickTop="1" x14ac:dyDescent="0.25">
      <c r="A304" s="9"/>
      <c r="B304" s="9"/>
      <c r="C304" s="9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x14ac:dyDescent="0.25">
      <c r="A305" s="9"/>
      <c r="B305" s="9"/>
      <c r="C305" s="9"/>
      <c r="D305" s="3"/>
      <c r="E305" s="3"/>
      <c r="F305" s="8"/>
      <c r="G305" s="3"/>
      <c r="H305" s="3"/>
      <c r="I305" s="3"/>
      <c r="J305" s="8"/>
      <c r="K305" s="3"/>
      <c r="L305" s="3"/>
      <c r="M305" s="3"/>
      <c r="N305" s="8"/>
      <c r="P305" s="3"/>
      <c r="Q305" s="3"/>
      <c r="R305" s="8"/>
      <c r="S305" s="3"/>
      <c r="T305" s="3"/>
      <c r="U305" s="3"/>
      <c r="V305" s="8"/>
      <c r="W305" s="3"/>
      <c r="X305" s="3"/>
      <c r="Y305" s="3"/>
      <c r="Z305" s="8"/>
    </row>
    <row r="306" spans="1:26" s="23" customFormat="1" ht="15.75" thickBot="1" x14ac:dyDescent="0.3">
      <c r="A306" s="10"/>
      <c r="B306" s="28" t="s">
        <v>5</v>
      </c>
      <c r="C306" s="28"/>
      <c r="D306" s="33">
        <f>SUM(D303:D305)</f>
        <v>-56377.060000000187</v>
      </c>
      <c r="E306" s="14"/>
      <c r="F306" s="30">
        <f>IF(D$12=0,0,D306/D$12)</f>
        <v>-7.0194214036681607E-2</v>
      </c>
      <c r="G306" s="14"/>
      <c r="H306" s="33">
        <f>SUM(H303:H305)</f>
        <v>71049.56178394513</v>
      </c>
      <c r="I306" s="14"/>
      <c r="J306" s="30">
        <f>IF(H$12=0,0,H306/H$12)</f>
        <v>7.8491520820255484E-2</v>
      </c>
      <c r="K306" s="15"/>
      <c r="L306" s="33">
        <f>+D306-H306</f>
        <v>-127426.62178394532</v>
      </c>
      <c r="M306" s="15"/>
      <c r="N306" s="30">
        <f>IF(H306=0,0,L306/H306)</f>
        <v>-1.7934892008403569</v>
      </c>
      <c r="O306" s="29"/>
      <c r="P306" s="33">
        <f>SUM(P303:P305)</f>
        <v>66931.789999998873</v>
      </c>
      <c r="Q306" s="14"/>
      <c r="R306" s="30">
        <f>IF(P$12=0,0,P306/P$12)</f>
        <v>6.5043708514145619E-3</v>
      </c>
      <c r="S306" s="14"/>
      <c r="T306" s="33">
        <f>SUM(T303:T305)</f>
        <v>54178.755027126055</v>
      </c>
      <c r="U306" s="14"/>
      <c r="V306" s="30">
        <f>IF(T$12=0,0,T306/T$12)</f>
        <v>4.9759869124309779E-3</v>
      </c>
      <c r="W306" s="15"/>
      <c r="X306" s="33">
        <f>+P306-T306</f>
        <v>12753.034972872818</v>
      </c>
      <c r="Y306" s="15"/>
      <c r="Z306" s="30">
        <f>IF(T306=0,0,X306/T306)</f>
        <v>0.23538811415078967</v>
      </c>
    </row>
    <row r="307" spans="1:26" ht="15.75" thickTop="1" x14ac:dyDescent="0.25">
      <c r="A307" s="9"/>
      <c r="C307" s="9"/>
      <c r="D307" s="17"/>
      <c r="E307" s="17"/>
      <c r="G307" s="17"/>
      <c r="H307" s="17"/>
      <c r="I307" s="17"/>
      <c r="J307" s="43"/>
      <c r="K307" s="17"/>
      <c r="L307" s="17"/>
      <c r="M307" s="17"/>
      <c r="P307" s="17"/>
      <c r="Q307" s="17"/>
      <c r="R307" s="43"/>
      <c r="S307" s="17"/>
      <c r="T307" s="17"/>
      <c r="U307" s="17"/>
      <c r="V307" s="43"/>
      <c r="W307" s="17"/>
      <c r="X307" s="17"/>
    </row>
    <row r="308" spans="1:26" x14ac:dyDescent="0.25">
      <c r="A308" s="9"/>
      <c r="B308" s="59">
        <v>43908.494015312499</v>
      </c>
      <c r="D308" s="17"/>
      <c r="E308" s="17"/>
      <c r="G308" s="17"/>
      <c r="H308" s="17"/>
      <c r="I308" s="17"/>
      <c r="J308" s="43"/>
      <c r="K308" s="17"/>
      <c r="L308" s="17"/>
      <c r="M308" s="17"/>
      <c r="P308" s="17"/>
      <c r="Q308" s="17"/>
      <c r="R308" s="43"/>
      <c r="S308" s="17"/>
      <c r="T308" s="17"/>
      <c r="U308" s="17"/>
      <c r="V308" s="43"/>
      <c r="W308" s="17"/>
      <c r="X308" s="17"/>
    </row>
    <row r="309" spans="1:26" x14ac:dyDescent="0.25">
      <c r="A309" s="9"/>
      <c r="B309" s="63" t="s">
        <v>314</v>
      </c>
      <c r="D309" s="17"/>
      <c r="E309" s="17"/>
      <c r="G309" s="17"/>
      <c r="H309" s="17"/>
      <c r="I309" s="17"/>
      <c r="J309" s="43"/>
      <c r="K309" s="17"/>
      <c r="L309" s="17"/>
      <c r="M309" s="17"/>
      <c r="P309" s="17"/>
      <c r="Q309" s="17"/>
      <c r="R309" s="43"/>
      <c r="S309" s="17"/>
      <c r="T309" s="17"/>
      <c r="U309" s="17"/>
      <c r="V309" s="43"/>
      <c r="W309" s="17"/>
      <c r="X309" s="17"/>
    </row>
    <row r="310" spans="1:26" x14ac:dyDescent="0.25">
      <c r="A310" s="9"/>
      <c r="B310" s="57"/>
      <c r="D310" s="17"/>
      <c r="E310" s="17"/>
      <c r="G310" s="17"/>
      <c r="H310" s="17"/>
      <c r="I310" s="17"/>
      <c r="J310" s="43"/>
      <c r="K310" s="17"/>
      <c r="L310" s="17"/>
      <c r="M310" s="17"/>
      <c r="P310" s="17"/>
      <c r="Q310" s="17"/>
      <c r="R310" s="43"/>
      <c r="S310" s="17"/>
      <c r="T310" s="17"/>
      <c r="U310" s="17"/>
      <c r="V310" s="43"/>
      <c r="W310" s="17"/>
      <c r="X310" s="17"/>
    </row>
    <row r="311" spans="1:26" x14ac:dyDescent="0.25">
      <c r="D311" s="17"/>
      <c r="E311" s="17"/>
      <c r="G311" s="17"/>
      <c r="H311" s="17"/>
      <c r="I311" s="17"/>
      <c r="J311" s="43"/>
      <c r="K311" s="17"/>
      <c r="L311" s="17"/>
      <c r="M311" s="17"/>
      <c r="P311" s="17"/>
      <c r="Q311" s="17"/>
      <c r="R311" s="43"/>
      <c r="S311" s="17"/>
      <c r="T311" s="17"/>
      <c r="U311" s="17"/>
      <c r="V311" s="43"/>
      <c r="W311" s="17"/>
      <c r="X311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","301", " - ", "Bookstore Operations")</f>
        <v>Department 301 - Bookstore Operations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82379.670000000013</v>
      </c>
      <c r="E18" s="20"/>
      <c r="F18" s="34">
        <f t="shared" ref="F18:F28" si="0">IF(D$12=0,0,D18/D$12)</f>
        <v>0</v>
      </c>
      <c r="G18" s="20"/>
      <c r="H18" s="20">
        <f>SUM(OSRRefH22x_0)</f>
        <v>138049.90219911691</v>
      </c>
      <c r="I18" s="20"/>
      <c r="J18" s="34">
        <f t="shared" ref="J18:J28" si="1">IF(H$12=0,0,H18/H$12)</f>
        <v>0</v>
      </c>
      <c r="K18" s="4"/>
      <c r="L18" s="20">
        <f t="shared" ref="L18:L28" si="2">+D18-H18</f>
        <v>-55670.232199116901</v>
      </c>
      <c r="M18" s="4"/>
      <c r="N18" s="34">
        <f t="shared" ref="N18:N28" si="3">IF(H18=0,0,L18/H18)</f>
        <v>-0.40326165620038384</v>
      </c>
      <c r="O18" s="10"/>
      <c r="P18" s="20">
        <f>SUM(OSRRefP22x_0)</f>
        <v>1024091.26</v>
      </c>
      <c r="Q18" s="20"/>
      <c r="R18" s="34">
        <f t="shared" ref="R18:R28" si="4">IF(P$12=0,0,P18/P$12)</f>
        <v>0</v>
      </c>
      <c r="S18" s="20"/>
      <c r="T18" s="20">
        <f>SUM(OSRRefT22x_0)</f>
        <v>1182189.5849979606</v>
      </c>
      <c r="U18" s="20"/>
      <c r="V18" s="34">
        <f t="shared" ref="V18:V28" si="5">IF(T$12=0,0,T18/T$12)</f>
        <v>0</v>
      </c>
      <c r="W18" s="4"/>
      <c r="X18" s="20">
        <f t="shared" ref="X18:X28" si="6">+P18-T18</f>
        <v>-158098.32499796059</v>
      </c>
      <c r="Y18" s="4"/>
      <c r="Z18" s="34">
        <f t="shared" ref="Z18:Z28" si="7">IF(T18=0,0,X18/T18)</f>
        <v>-0.13373347811910669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9542.64</v>
      </c>
      <c r="E19" s="1"/>
      <c r="F19" s="5">
        <f t="shared" si="0"/>
        <v>0</v>
      </c>
      <c r="G19" s="1"/>
      <c r="H19" s="1">
        <f>SUM(OSRRefH22_0x_0)</f>
        <v>13560.921419886139</v>
      </c>
      <c r="I19" s="1"/>
      <c r="J19" s="5">
        <f t="shared" si="1"/>
        <v>0</v>
      </c>
      <c r="K19" s="1"/>
      <c r="L19" s="1">
        <f t="shared" si="2"/>
        <v>-4018.2814198861397</v>
      </c>
      <c r="M19" s="1"/>
      <c r="N19" s="5">
        <f t="shared" si="3"/>
        <v>-0.29631330316490234</v>
      </c>
      <c r="O19" s="13"/>
      <c r="P19" s="1">
        <f>SUM(OSRRefP22_0x_0)</f>
        <v>100557.65</v>
      </c>
      <c r="Q19" s="1"/>
      <c r="R19" s="5">
        <f t="shared" si="4"/>
        <v>0</v>
      </c>
      <c r="S19" s="1"/>
      <c r="T19" s="1">
        <f>SUM(OSRRefT22_0x_0)</f>
        <v>113244.25599219123</v>
      </c>
      <c r="U19" s="1"/>
      <c r="V19" s="5">
        <f t="shared" si="5"/>
        <v>0</v>
      </c>
      <c r="W19" s="1"/>
      <c r="X19" s="1">
        <f t="shared" si="6"/>
        <v>-12686.605992191238</v>
      </c>
      <c r="Y19" s="1"/>
      <c r="Z19" s="5">
        <f t="shared" si="7"/>
        <v>-0.11202869303204256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1697.98</v>
      </c>
      <c r="E20" s="2"/>
      <c r="F20" s="7">
        <f t="shared" si="0"/>
        <v>0</v>
      </c>
      <c r="G20" s="2"/>
      <c r="H20" s="6">
        <v>2035.9376213169201</v>
      </c>
      <c r="I20" s="2"/>
      <c r="J20" s="7">
        <f t="shared" si="1"/>
        <v>0</v>
      </c>
      <c r="K20" s="2"/>
      <c r="L20" s="6">
        <f t="shared" si="2"/>
        <v>-337.95762131692004</v>
      </c>
      <c r="M20" s="2"/>
      <c r="N20" s="7">
        <f t="shared" si="3"/>
        <v>-0.16599605890592881</v>
      </c>
      <c r="O20" s="11"/>
      <c r="P20" s="6">
        <v>20410.169999999998</v>
      </c>
      <c r="Q20" s="2"/>
      <c r="R20" s="7">
        <f t="shared" si="4"/>
        <v>0</v>
      </c>
      <c r="S20" s="2"/>
      <c r="T20" s="6">
        <v>18875.919068460553</v>
      </c>
      <c r="U20" s="2"/>
      <c r="V20" s="7">
        <f t="shared" si="5"/>
        <v>0</v>
      </c>
      <c r="W20" s="2"/>
      <c r="X20" s="6">
        <f t="shared" si="6"/>
        <v>1534.2509315394454</v>
      </c>
      <c r="Y20" s="2"/>
      <c r="Z20" s="7">
        <f t="shared" si="7"/>
        <v>8.128085980740396E-2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901.49</v>
      </c>
      <c r="E21" s="2"/>
      <c r="F21" s="7">
        <f t="shared" si="0"/>
        <v>0</v>
      </c>
      <c r="G21" s="2"/>
      <c r="H21" s="6">
        <v>995.25669046153916</v>
      </c>
      <c r="I21" s="2"/>
      <c r="J21" s="7">
        <f t="shared" si="1"/>
        <v>0</v>
      </c>
      <c r="K21" s="2"/>
      <c r="L21" s="6">
        <f t="shared" si="2"/>
        <v>-93.766690461539156</v>
      </c>
      <c r="M21" s="2"/>
      <c r="N21" s="7">
        <f t="shared" si="3"/>
        <v>-9.4213574608632777E-2</v>
      </c>
      <c r="O21" s="11"/>
      <c r="P21" s="6">
        <v>5172.8599999999997</v>
      </c>
      <c r="Q21" s="2"/>
      <c r="R21" s="7">
        <f t="shared" si="4"/>
        <v>0</v>
      </c>
      <c r="S21" s="2"/>
      <c r="T21" s="6">
        <v>7818.2133977884559</v>
      </c>
      <c r="U21" s="2"/>
      <c r="V21" s="7">
        <f t="shared" si="5"/>
        <v>0</v>
      </c>
      <c r="W21" s="2"/>
      <c r="X21" s="6">
        <f t="shared" si="6"/>
        <v>-2645.3533977884563</v>
      </c>
      <c r="Y21" s="2"/>
      <c r="Z21" s="7">
        <f t="shared" si="7"/>
        <v>-0.33835778881870243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3247.78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-2432.4699999999998</v>
      </c>
      <c r="M22" s="2"/>
      <c r="N22" s="7">
        <f t="shared" si="3"/>
        <v>-0.42823291228379029</v>
      </c>
      <c r="O22" s="11"/>
      <c r="P22" s="6">
        <v>33815.550000000003</v>
      </c>
      <c r="Q22" s="2"/>
      <c r="R22" s="7">
        <f t="shared" si="4"/>
        <v>0</v>
      </c>
      <c r="S22" s="2"/>
      <c r="T22" s="6">
        <v>45442</v>
      </c>
      <c r="U22" s="2"/>
      <c r="V22" s="7">
        <f t="shared" si="5"/>
        <v>0</v>
      </c>
      <c r="W22" s="2"/>
      <c r="X22" s="6">
        <f t="shared" si="6"/>
        <v>-11626.449999999997</v>
      </c>
      <c r="Y22" s="2"/>
      <c r="Z22" s="7">
        <f t="shared" si="7"/>
        <v>-0.25585251529422115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135.44999999999999</v>
      </c>
      <c r="E23" s="2"/>
      <c r="F23" s="7">
        <f t="shared" si="0"/>
        <v>0</v>
      </c>
      <c r="G23" s="2"/>
      <c r="H23" s="6">
        <v>136.1930208</v>
      </c>
      <c r="I23" s="2"/>
      <c r="J23" s="7">
        <f t="shared" si="1"/>
        <v>0</v>
      </c>
      <c r="K23" s="2"/>
      <c r="L23" s="6">
        <f t="shared" si="2"/>
        <v>-0.74302080000001069</v>
      </c>
      <c r="M23" s="2"/>
      <c r="N23" s="7">
        <f t="shared" si="3"/>
        <v>-5.4556451985240837E-3</v>
      </c>
      <c r="O23" s="11"/>
      <c r="P23" s="6">
        <v>1131.54</v>
      </c>
      <c r="Q23" s="2"/>
      <c r="R23" s="7">
        <f t="shared" si="4"/>
        <v>0</v>
      </c>
      <c r="S23" s="2"/>
      <c r="T23" s="6">
        <v>1069.8607807500002</v>
      </c>
      <c r="U23" s="2"/>
      <c r="V23" s="7">
        <f t="shared" si="5"/>
        <v>0</v>
      </c>
      <c r="W23" s="2"/>
      <c r="X23" s="6">
        <f t="shared" si="6"/>
        <v>61.679219249999733</v>
      </c>
      <c r="Y23" s="2"/>
      <c r="Z23" s="7">
        <f t="shared" si="7"/>
        <v>5.7651631277446207E-2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1534.61</v>
      </c>
      <c r="E24" s="2"/>
      <c r="F24" s="7">
        <f t="shared" si="0"/>
        <v>0</v>
      </c>
      <c r="G24" s="2"/>
      <c r="H24" s="6">
        <v>1788.6235346153799</v>
      </c>
      <c r="I24" s="2"/>
      <c r="J24" s="7">
        <f t="shared" si="1"/>
        <v>0</v>
      </c>
      <c r="K24" s="2"/>
      <c r="L24" s="6">
        <f t="shared" si="2"/>
        <v>-254.01353461537997</v>
      </c>
      <c r="M24" s="2"/>
      <c r="N24" s="7">
        <f t="shared" si="3"/>
        <v>-0.14201620950380833</v>
      </c>
      <c r="O24" s="11"/>
      <c r="P24" s="6">
        <v>16136.21</v>
      </c>
      <c r="Q24" s="2"/>
      <c r="R24" s="7">
        <f t="shared" si="4"/>
        <v>0</v>
      </c>
      <c r="S24" s="2"/>
      <c r="T24" s="6">
        <v>15478.731127884588</v>
      </c>
      <c r="U24" s="2"/>
      <c r="V24" s="7">
        <f t="shared" si="5"/>
        <v>0</v>
      </c>
      <c r="W24" s="2"/>
      <c r="X24" s="6">
        <f t="shared" si="6"/>
        <v>657.47887211541092</v>
      </c>
      <c r="Y24" s="2"/>
      <c r="Z24" s="7">
        <f t="shared" si="7"/>
        <v>4.247627707228388E-2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952.72</v>
      </c>
      <c r="E26" s="2"/>
      <c r="F26" s="7">
        <f t="shared" si="0"/>
        <v>0</v>
      </c>
      <c r="G26" s="2"/>
      <c r="H26" s="6">
        <v>1254.2404038461502</v>
      </c>
      <c r="I26" s="2"/>
      <c r="J26" s="7">
        <f t="shared" si="1"/>
        <v>0</v>
      </c>
      <c r="K26" s="2"/>
      <c r="L26" s="6">
        <f t="shared" si="2"/>
        <v>-301.5204038461502</v>
      </c>
      <c r="M26" s="2"/>
      <c r="N26" s="7">
        <f t="shared" si="3"/>
        <v>-0.24040080587543869</v>
      </c>
      <c r="O26" s="11"/>
      <c r="P26" s="6">
        <v>12927.01</v>
      </c>
      <c r="Q26" s="2"/>
      <c r="R26" s="7">
        <f t="shared" si="4"/>
        <v>0</v>
      </c>
      <c r="S26" s="2"/>
      <c r="T26" s="6">
        <v>10874.763533653819</v>
      </c>
      <c r="U26" s="2"/>
      <c r="V26" s="7">
        <f t="shared" si="5"/>
        <v>0</v>
      </c>
      <c r="W26" s="2"/>
      <c r="X26" s="6">
        <f t="shared" si="6"/>
        <v>2052.2464663461815</v>
      </c>
      <c r="Y26" s="2"/>
      <c r="Z26" s="7">
        <f t="shared" si="7"/>
        <v>0.18871642220036813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769.49</v>
      </c>
      <c r="E27" s="2"/>
      <c r="F27" s="7">
        <f t="shared" si="0"/>
        <v>0</v>
      </c>
      <c r="G27" s="2"/>
      <c r="H27" s="6">
        <v>1170.4201488461501</v>
      </c>
      <c r="I27" s="2"/>
      <c r="J27" s="7">
        <f t="shared" si="1"/>
        <v>0</v>
      </c>
      <c r="K27" s="2"/>
      <c r="L27" s="6">
        <f t="shared" si="2"/>
        <v>-400.93014884615013</v>
      </c>
      <c r="M27" s="2"/>
      <c r="N27" s="7">
        <f t="shared" si="3"/>
        <v>-0.34255232981199452</v>
      </c>
      <c r="O27" s="11"/>
      <c r="P27" s="6">
        <v>8046.69</v>
      </c>
      <c r="Q27" s="2"/>
      <c r="R27" s="7">
        <f t="shared" si="4"/>
        <v>0</v>
      </c>
      <c r="S27" s="2"/>
      <c r="T27" s="6">
        <v>9684.7680836538202</v>
      </c>
      <c r="U27" s="2"/>
      <c r="V27" s="7">
        <f t="shared" si="5"/>
        <v>0</v>
      </c>
      <c r="W27" s="2"/>
      <c r="X27" s="6">
        <f t="shared" si="6"/>
        <v>-1638.0780836538206</v>
      </c>
      <c r="Y27" s="2"/>
      <c r="Z27" s="7">
        <f t="shared" si="7"/>
        <v>-0.16913962931323129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303.12</v>
      </c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-196.88</v>
      </c>
      <c r="M28" s="2"/>
      <c r="N28" s="7">
        <f t="shared" si="3"/>
        <v>-0.39376</v>
      </c>
      <c r="O28" s="11"/>
      <c r="P28" s="6">
        <v>2917.62</v>
      </c>
      <c r="Q28" s="2"/>
      <c r="R28" s="7">
        <f t="shared" si="4"/>
        <v>0</v>
      </c>
      <c r="S28" s="2"/>
      <c r="T28" s="6">
        <v>4000</v>
      </c>
      <c r="U28" s="2"/>
      <c r="V28" s="7">
        <f t="shared" si="5"/>
        <v>0</v>
      </c>
      <c r="W28" s="2"/>
      <c r="X28" s="6">
        <f t="shared" si="6"/>
        <v>-1082.3800000000001</v>
      </c>
      <c r="Y28" s="2"/>
      <c r="Z28" s="7">
        <f t="shared" si="7"/>
        <v>-0.27059500000000003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8200.17</v>
      </c>
      <c r="E29" s="1"/>
      <c r="F29" s="5">
        <f t="shared" ref="F29:F39" si="8">IF(D$12=0,0,D29/D$12)</f>
        <v>0</v>
      </c>
      <c r="G29" s="1"/>
      <c r="H29" s="1">
        <f>SUM(OSRRefH22_1x_0)</f>
        <v>50127.980779230769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-41927.810779230771</v>
      </c>
      <c r="M29" s="1"/>
      <c r="N29" s="5">
        <f t="shared" ref="N29:N39" si="11">IF(H29=0,0,L29/H29)</f>
        <v>-0.83641531391191548</v>
      </c>
      <c r="O29" s="13"/>
      <c r="P29" s="1">
        <f>SUM(OSRRefP22_1x_0)</f>
        <v>355773.68</v>
      </c>
      <c r="Q29" s="1"/>
      <c r="R29" s="5">
        <f t="shared" ref="R29:R39" si="12">IF(P$12=0,0,P29/P$12)</f>
        <v>0</v>
      </c>
      <c r="S29" s="1"/>
      <c r="T29" s="1">
        <f>SUM(OSRRefT22_1x_0)</f>
        <v>392010.32900576934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-36236.649005769345</v>
      </c>
      <c r="Y29" s="1"/>
      <c r="Z29" s="5">
        <f t="shared" ref="Z29:Z39" si="15">IF(T29=0,0,X29/T29)</f>
        <v>-9.2437995441788573E-2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9109.57</v>
      </c>
      <c r="E30" s="2"/>
      <c r="F30" s="7">
        <f t="shared" si="8"/>
        <v>0</v>
      </c>
      <c r="G30" s="2"/>
      <c r="H30" s="6">
        <v>9645.4350000000013</v>
      </c>
      <c r="I30" s="2"/>
      <c r="J30" s="7">
        <f t="shared" si="9"/>
        <v>0</v>
      </c>
      <c r="K30" s="2"/>
      <c r="L30" s="6">
        <f t="shared" si="10"/>
        <v>-535.8650000000016</v>
      </c>
      <c r="M30" s="2"/>
      <c r="N30" s="7">
        <f t="shared" si="11"/>
        <v>-5.5556333125463139E-2</v>
      </c>
      <c r="O30" s="11"/>
      <c r="P30" s="6">
        <v>88416.11</v>
      </c>
      <c r="Q30" s="2"/>
      <c r="R30" s="7">
        <f t="shared" si="12"/>
        <v>0</v>
      </c>
      <c r="S30" s="2"/>
      <c r="T30" s="6">
        <v>84397.556250000009</v>
      </c>
      <c r="U30" s="2"/>
      <c r="V30" s="7">
        <f t="shared" si="13"/>
        <v>0</v>
      </c>
      <c r="W30" s="2"/>
      <c r="X30" s="6">
        <f t="shared" si="14"/>
        <v>4018.5537499999919</v>
      </c>
      <c r="Y30" s="2"/>
      <c r="Z30" s="7">
        <f t="shared" si="15"/>
        <v>4.7614574740722913E-2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-3181.12</v>
      </c>
      <c r="E31" s="2"/>
      <c r="F31" s="7">
        <f t="shared" si="8"/>
        <v>0</v>
      </c>
      <c r="G31" s="2"/>
      <c r="H31" s="6">
        <v>9072.7182692307706</v>
      </c>
      <c r="I31" s="2"/>
      <c r="J31" s="7">
        <f t="shared" si="9"/>
        <v>0</v>
      </c>
      <c r="K31" s="2"/>
      <c r="L31" s="6">
        <f t="shared" si="10"/>
        <v>-12253.838269230771</v>
      </c>
      <c r="M31" s="2"/>
      <c r="N31" s="7">
        <f t="shared" si="11"/>
        <v>-1.3506247968470988</v>
      </c>
      <c r="O31" s="11"/>
      <c r="P31" s="6">
        <v>52828.08</v>
      </c>
      <c r="Q31" s="2"/>
      <c r="R31" s="7">
        <f t="shared" si="12"/>
        <v>0</v>
      </c>
      <c r="S31" s="2"/>
      <c r="T31" s="6">
        <v>77589.164855769355</v>
      </c>
      <c r="U31" s="2"/>
      <c r="V31" s="7">
        <f t="shared" si="13"/>
        <v>0</v>
      </c>
      <c r="W31" s="2"/>
      <c r="X31" s="6">
        <f t="shared" si="14"/>
        <v>-24761.084855769353</v>
      </c>
      <c r="Y31" s="2"/>
      <c r="Z31" s="7">
        <f t="shared" si="15"/>
        <v>-0.31913070467761551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5631.0275099999999</v>
      </c>
      <c r="I33" s="2"/>
      <c r="J33" s="7">
        <f t="shared" si="9"/>
        <v>0</v>
      </c>
      <c r="K33" s="2"/>
      <c r="L33" s="6">
        <f t="shared" si="10"/>
        <v>-5631.0275099999999</v>
      </c>
      <c r="M33" s="2"/>
      <c r="N33" s="7">
        <f t="shared" si="11"/>
        <v>-1</v>
      </c>
      <c r="O33" s="11"/>
      <c r="P33" s="6">
        <v>-1647.01</v>
      </c>
      <c r="Q33" s="2"/>
      <c r="R33" s="7">
        <f t="shared" si="12"/>
        <v>0</v>
      </c>
      <c r="S33" s="2"/>
      <c r="T33" s="6">
        <v>47726.007899999997</v>
      </c>
      <c r="U33" s="2"/>
      <c r="V33" s="7">
        <f t="shared" si="13"/>
        <v>0</v>
      </c>
      <c r="W33" s="2"/>
      <c r="X33" s="6">
        <f t="shared" si="14"/>
        <v>-49373.017899999999</v>
      </c>
      <c r="Y33" s="2"/>
      <c r="Z33" s="7">
        <f t="shared" si="15"/>
        <v>-1.0345096954987514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5569.54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5569.54</v>
      </c>
      <c r="M34" s="2"/>
      <c r="N34" s="7">
        <f t="shared" si="11"/>
        <v>0</v>
      </c>
      <c r="O34" s="11"/>
      <c r="P34" s="6">
        <v>53032.61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53032.61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11273.01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11273.01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-3963.81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-3963.81</v>
      </c>
      <c r="M36" s="2"/>
      <c r="N36" s="7">
        <f t="shared" si="11"/>
        <v>0</v>
      </c>
      <c r="O36" s="11"/>
      <c r="P36" s="6">
        <v>149603.14000000001</v>
      </c>
      <c r="Q36" s="2"/>
      <c r="R36" s="7">
        <f t="shared" si="12"/>
        <v>0</v>
      </c>
      <c r="S36" s="2"/>
      <c r="T36" s="6">
        <v>17460</v>
      </c>
      <c r="U36" s="2"/>
      <c r="V36" s="7">
        <f t="shared" si="13"/>
        <v>0</v>
      </c>
      <c r="W36" s="2"/>
      <c r="X36" s="6">
        <f t="shared" si="14"/>
        <v>132143.14000000001</v>
      </c>
      <c r="Y36" s="2"/>
      <c r="Z36" s="7">
        <f t="shared" si="15"/>
        <v>7.5683356242840789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665.99</v>
      </c>
      <c r="E37" s="2"/>
      <c r="F37" s="7">
        <f t="shared" si="8"/>
        <v>0</v>
      </c>
      <c r="G37" s="2"/>
      <c r="H37" s="6">
        <v>25778.799999999999</v>
      </c>
      <c r="I37" s="2"/>
      <c r="J37" s="7">
        <f t="shared" si="9"/>
        <v>0</v>
      </c>
      <c r="K37" s="2"/>
      <c r="L37" s="6">
        <f t="shared" si="10"/>
        <v>-25112.809999999998</v>
      </c>
      <c r="M37" s="2"/>
      <c r="N37" s="7">
        <f t="shared" si="11"/>
        <v>-0.97416520551771213</v>
      </c>
      <c r="O37" s="11"/>
      <c r="P37" s="6">
        <v>2267.7399999999998</v>
      </c>
      <c r="Q37" s="2"/>
      <c r="R37" s="7">
        <f t="shared" si="12"/>
        <v>0</v>
      </c>
      <c r="S37" s="2"/>
      <c r="T37" s="6">
        <v>164837.6</v>
      </c>
      <c r="U37" s="2"/>
      <c r="V37" s="7">
        <f t="shared" si="13"/>
        <v>0</v>
      </c>
      <c r="W37" s="2"/>
      <c r="X37" s="6">
        <f t="shared" si="14"/>
        <v>-162569.86000000002</v>
      </c>
      <c r="Y37" s="2"/>
      <c r="Z37" s="7">
        <f t="shared" si="15"/>
        <v>-0.98624258057627634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187.29</v>
      </c>
      <c r="E40" s="1"/>
      <c r="F40" s="5">
        <f t="shared" ref="F40:F44" si="16">IF(D$12=0,0,D40/D$12)</f>
        <v>0</v>
      </c>
      <c r="G40" s="1"/>
      <c r="H40" s="1">
        <f>SUM(OSRRefH22_2x_0)</f>
        <v>2200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-2012.71</v>
      </c>
      <c r="M40" s="1"/>
      <c r="N40" s="5">
        <f t="shared" ref="N40:N44" si="19">IF(H40=0,0,L40/H40)</f>
        <v>-0.91486818181818186</v>
      </c>
      <c r="O40" s="13"/>
      <c r="P40" s="1">
        <f>SUM(OSRRefP22_2x_0)</f>
        <v>14190.07</v>
      </c>
      <c r="Q40" s="1"/>
      <c r="R40" s="5">
        <f t="shared" ref="R40:R44" si="20">IF(P$12=0,0,P40/P$12)</f>
        <v>0</v>
      </c>
      <c r="S40" s="1"/>
      <c r="T40" s="1">
        <f>SUM(OSRRefT22_2x_0)</f>
        <v>33600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-19409.93</v>
      </c>
      <c r="Y40" s="1"/>
      <c r="Z40" s="5">
        <f t="shared" ref="Z40:Z44" si="23">IF(T40=0,0,X40/T40)</f>
        <v>-0.57767648809523808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187.29</v>
      </c>
      <c r="E41" s="2"/>
      <c r="F41" s="7">
        <f t="shared" si="16"/>
        <v>0</v>
      </c>
      <c r="G41" s="2"/>
      <c r="H41" s="6">
        <v>2200</v>
      </c>
      <c r="I41" s="2"/>
      <c r="J41" s="7">
        <f t="shared" si="17"/>
        <v>0</v>
      </c>
      <c r="K41" s="2"/>
      <c r="L41" s="6">
        <f t="shared" si="18"/>
        <v>-2012.71</v>
      </c>
      <c r="M41" s="2"/>
      <c r="N41" s="7">
        <f t="shared" si="19"/>
        <v>-0.91486818181818186</v>
      </c>
      <c r="O41" s="11"/>
      <c r="P41" s="6">
        <v>14190.07</v>
      </c>
      <c r="Q41" s="2"/>
      <c r="R41" s="7">
        <f t="shared" si="20"/>
        <v>0</v>
      </c>
      <c r="S41" s="2"/>
      <c r="T41" s="6">
        <v>33600</v>
      </c>
      <c r="U41" s="2"/>
      <c r="V41" s="7">
        <f t="shared" si="21"/>
        <v>0</v>
      </c>
      <c r="W41" s="2"/>
      <c r="X41" s="6">
        <f t="shared" si="22"/>
        <v>-19409.93</v>
      </c>
      <c r="Y41" s="2"/>
      <c r="Z41" s="7">
        <f t="shared" si="23"/>
        <v>-0.57767648809523808</v>
      </c>
    </row>
    <row r="42" spans="1:26" s="27" customFormat="1" outlineLevel="1" collapsed="1" x14ac:dyDescent="0.25">
      <c r="A42" s="26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-47.16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-172.16</v>
      </c>
      <c r="M42" s="1"/>
      <c r="N42" s="5">
        <f t="shared" si="19"/>
        <v>-1.3772800000000001</v>
      </c>
      <c r="O42" s="13"/>
      <c r="P42" s="1">
        <f>SUM(OSRRefP22_3x_0)</f>
        <v>30.549999999999997</v>
      </c>
      <c r="Q42" s="1"/>
      <c r="R42" s="5">
        <f t="shared" si="20"/>
        <v>0</v>
      </c>
      <c r="S42" s="1"/>
      <c r="T42" s="1">
        <f>SUM(OSRRefT22_3x_0)</f>
        <v>1000</v>
      </c>
      <c r="U42" s="1"/>
      <c r="V42" s="5">
        <f t="shared" si="21"/>
        <v>0</v>
      </c>
      <c r="W42" s="1"/>
      <c r="X42" s="1">
        <f t="shared" si="22"/>
        <v>-969.45</v>
      </c>
      <c r="Y42" s="1"/>
      <c r="Z42" s="5">
        <f t="shared" si="23"/>
        <v>-0.96945000000000003</v>
      </c>
    </row>
    <row r="43" spans="1:26" s="24" customFormat="1" hidden="1" outlineLevel="2" x14ac:dyDescent="0.25">
      <c r="A43" s="25"/>
      <c r="B43" s="11" t="str">
        <f>CONCATENATE("          ", "6272", " - ", "CASH (OVER/SHORT)")</f>
        <v xml:space="preserve">          6272 - CASH (OVER/SHORT)</v>
      </c>
      <c r="C43" s="11"/>
      <c r="D43" s="6">
        <v>-47.16</v>
      </c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-172.16</v>
      </c>
      <c r="M43" s="2"/>
      <c r="N43" s="7">
        <f t="shared" si="19"/>
        <v>-1.3772800000000001</v>
      </c>
      <c r="O43" s="11"/>
      <c r="P43" s="6">
        <v>-14.25</v>
      </c>
      <c r="Q43" s="2"/>
      <c r="R43" s="7">
        <f t="shared" si="20"/>
        <v>0</v>
      </c>
      <c r="S43" s="2"/>
      <c r="T43" s="6">
        <v>1000</v>
      </c>
      <c r="U43" s="2"/>
      <c r="V43" s="7">
        <f t="shared" si="21"/>
        <v>0</v>
      </c>
      <c r="W43" s="2"/>
      <c r="X43" s="6">
        <f t="shared" si="22"/>
        <v>-1014.25</v>
      </c>
      <c r="Y43" s="2"/>
      <c r="Z43" s="7">
        <f t="shared" si="23"/>
        <v>-1.0142500000000001</v>
      </c>
    </row>
    <row r="44" spans="1:26" s="24" customFormat="1" hidden="1" outlineLevel="2" x14ac:dyDescent="0.25">
      <c r="A44" s="25"/>
      <c r="B44" s="11" t="str">
        <f>CONCATENATE("          ", "6342", " - ", "BAD DEBT")</f>
        <v xml:space="preserve">          6342 - BAD DEBT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44.8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44.8</v>
      </c>
      <c r="Y44" s="2"/>
      <c r="Z44" s="7">
        <f t="shared" si="23"/>
        <v>0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13284.51</v>
      </c>
      <c r="E45" s="1"/>
      <c r="F45" s="5">
        <f t="shared" ref="F45:F51" si="24">IF(D$12=0,0,D45/D$12)</f>
        <v>0</v>
      </c>
      <c r="G45" s="1"/>
      <c r="H45" s="1">
        <f>SUM(OSRRefH22_4x_0)</f>
        <v>14000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-715.48999999999978</v>
      </c>
      <c r="M45" s="1"/>
      <c r="N45" s="5">
        <f t="shared" ref="N45:N51" si="27">IF(H45=0,0,L45/H45)</f>
        <v>-5.1106428571428553E-2</v>
      </c>
      <c r="O45" s="13"/>
      <c r="P45" s="1">
        <f>SUM(OSRRefP22_4x_0)</f>
        <v>125435.23000000001</v>
      </c>
      <c r="Q45" s="1"/>
      <c r="R45" s="5">
        <f t="shared" ref="R45:R51" si="28">IF(P$12=0,0,P45/P$12)</f>
        <v>0</v>
      </c>
      <c r="S45" s="1"/>
      <c r="T45" s="1">
        <f>SUM(OSRRefT22_4x_0)</f>
        <v>136400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-10964.76999999999</v>
      </c>
      <c r="Y45" s="1"/>
      <c r="Z45" s="5">
        <f t="shared" ref="Z45:Z51" si="31">IF(T45=0,0,X45/T45)</f>
        <v>-8.0386876832844498E-2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13284.51</v>
      </c>
      <c r="E46" s="2"/>
      <c r="F46" s="7">
        <f t="shared" si="24"/>
        <v>0</v>
      </c>
      <c r="G46" s="2"/>
      <c r="H46" s="6">
        <v>14000</v>
      </c>
      <c r="I46" s="2"/>
      <c r="J46" s="7">
        <f t="shared" si="25"/>
        <v>0</v>
      </c>
      <c r="K46" s="2"/>
      <c r="L46" s="6">
        <f t="shared" si="26"/>
        <v>-715.48999999999978</v>
      </c>
      <c r="M46" s="2"/>
      <c r="N46" s="7">
        <f t="shared" si="27"/>
        <v>-5.1106428571428553E-2</v>
      </c>
      <c r="O46" s="11"/>
      <c r="P46" s="6">
        <v>125435.23000000001</v>
      </c>
      <c r="Q46" s="2"/>
      <c r="R46" s="7">
        <f t="shared" si="28"/>
        <v>0</v>
      </c>
      <c r="S46" s="2"/>
      <c r="T46" s="6">
        <v>136400</v>
      </c>
      <c r="U46" s="2"/>
      <c r="V46" s="7">
        <f t="shared" si="29"/>
        <v>0</v>
      </c>
      <c r="W46" s="2"/>
      <c r="X46" s="6">
        <f t="shared" si="30"/>
        <v>-10964.76999999999</v>
      </c>
      <c r="Y46" s="2"/>
      <c r="Z46" s="7">
        <f t="shared" si="31"/>
        <v>-8.0386876832844498E-2</v>
      </c>
    </row>
    <row r="47" spans="1:26" s="27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30128.33</v>
      </c>
      <c r="E47" s="1"/>
      <c r="F47" s="5">
        <f t="shared" si="24"/>
        <v>0</v>
      </c>
      <c r="G47" s="1"/>
      <c r="H47" s="1">
        <f>SUM(OSRRefH22_5x_0)</f>
        <v>31271</v>
      </c>
      <c r="I47" s="1"/>
      <c r="J47" s="5">
        <f t="shared" si="25"/>
        <v>0</v>
      </c>
      <c r="K47" s="1"/>
      <c r="L47" s="1">
        <f t="shared" si="26"/>
        <v>-1142.6699999999983</v>
      </c>
      <c r="M47" s="1"/>
      <c r="N47" s="5">
        <f t="shared" si="27"/>
        <v>-3.6540884525598741E-2</v>
      </c>
      <c r="O47" s="13"/>
      <c r="P47" s="1">
        <f>SUM(OSRRefP22_5x_0)</f>
        <v>237380.34</v>
      </c>
      <c r="Q47" s="1"/>
      <c r="R47" s="5">
        <f t="shared" si="28"/>
        <v>0</v>
      </c>
      <c r="S47" s="1"/>
      <c r="T47" s="1">
        <f>SUM(OSRRefT22_5x_0)</f>
        <v>244585</v>
      </c>
      <c r="U47" s="1"/>
      <c r="V47" s="5">
        <f t="shared" si="29"/>
        <v>0</v>
      </c>
      <c r="W47" s="1"/>
      <c r="X47" s="1">
        <f t="shared" si="30"/>
        <v>-7204.6600000000035</v>
      </c>
      <c r="Y47" s="1"/>
      <c r="Z47" s="5">
        <f t="shared" si="31"/>
        <v>-2.9456671504793849E-2</v>
      </c>
    </row>
    <row r="48" spans="1:26" s="24" customFormat="1" hidden="1" outlineLevel="2" x14ac:dyDescent="0.25">
      <c r="A48" s="25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24"/>
        <v>0</v>
      </c>
      <c r="G48" s="2"/>
      <c r="H48" s="6">
        <v>16397</v>
      </c>
      <c r="I48" s="2"/>
      <c r="J48" s="7">
        <f t="shared" si="25"/>
        <v>0</v>
      </c>
      <c r="K48" s="2"/>
      <c r="L48" s="6">
        <f t="shared" si="26"/>
        <v>-0.47999999999956344</v>
      </c>
      <c r="M48" s="2"/>
      <c r="N48" s="7">
        <f t="shared" si="27"/>
        <v>-2.927364761844017E-5</v>
      </c>
      <c r="O48" s="11"/>
      <c r="P48" s="6">
        <v>131172.16</v>
      </c>
      <c r="Q48" s="2"/>
      <c r="R48" s="7">
        <f t="shared" si="28"/>
        <v>0</v>
      </c>
      <c r="S48" s="2"/>
      <c r="T48" s="6">
        <v>131344</v>
      </c>
      <c r="U48" s="2"/>
      <c r="V48" s="7">
        <f t="shared" si="29"/>
        <v>0</v>
      </c>
      <c r="W48" s="2"/>
      <c r="X48" s="6">
        <f t="shared" si="30"/>
        <v>-171.83999999999651</v>
      </c>
      <c r="Y48" s="2"/>
      <c r="Z48" s="7">
        <f t="shared" si="31"/>
        <v>-1.3083201364355928E-3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13731.81</v>
      </c>
      <c r="E49" s="2"/>
      <c r="F49" s="7">
        <f t="shared" si="24"/>
        <v>0</v>
      </c>
      <c r="G49" s="2"/>
      <c r="H49" s="6">
        <v>13049</v>
      </c>
      <c r="I49" s="2"/>
      <c r="J49" s="7">
        <f t="shared" si="25"/>
        <v>0</v>
      </c>
      <c r="K49" s="2"/>
      <c r="L49" s="6">
        <f t="shared" si="26"/>
        <v>682.80999999999949</v>
      </c>
      <c r="M49" s="2"/>
      <c r="N49" s="7">
        <f t="shared" si="27"/>
        <v>5.2326615066288565E-2</v>
      </c>
      <c r="O49" s="11"/>
      <c r="P49" s="6">
        <v>106208.18</v>
      </c>
      <c r="Q49" s="2"/>
      <c r="R49" s="7">
        <f t="shared" si="28"/>
        <v>0</v>
      </c>
      <c r="S49" s="2"/>
      <c r="T49" s="6">
        <v>104392</v>
      </c>
      <c r="U49" s="2"/>
      <c r="V49" s="7">
        <f t="shared" si="29"/>
        <v>0</v>
      </c>
      <c r="W49" s="2"/>
      <c r="X49" s="6">
        <f t="shared" si="30"/>
        <v>1816.179999999993</v>
      </c>
      <c r="Y49" s="2"/>
      <c r="Z49" s="7">
        <f t="shared" si="31"/>
        <v>1.7397693309832103E-2</v>
      </c>
    </row>
    <row r="50" spans="1:26" s="24" customFormat="1" hidden="1" outlineLevel="2" x14ac:dyDescent="0.25">
      <c r="A50" s="25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24"/>
        <v>0</v>
      </c>
      <c r="G50" s="2"/>
      <c r="H50" s="6">
        <v>1492</v>
      </c>
      <c r="I50" s="2"/>
      <c r="J50" s="7">
        <f t="shared" si="25"/>
        <v>0</v>
      </c>
      <c r="K50" s="2"/>
      <c r="L50" s="6">
        <f t="shared" si="26"/>
        <v>-1492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7184</v>
      </c>
      <c r="U50" s="2"/>
      <c r="V50" s="7">
        <f t="shared" si="29"/>
        <v>0</v>
      </c>
      <c r="W50" s="2"/>
      <c r="X50" s="6">
        <f t="shared" si="30"/>
        <v>-7184</v>
      </c>
      <c r="Y50" s="2"/>
      <c r="Z50" s="7">
        <f t="shared" si="31"/>
        <v>-1</v>
      </c>
    </row>
    <row r="51" spans="1:26" s="24" customFormat="1" hidden="1" outlineLevel="2" x14ac:dyDescent="0.25">
      <c r="A51" s="25"/>
      <c r="B51" s="11" t="str">
        <f>CONCATENATE("          ", "6326", " - ", "VEHICLES DEPRECIATION EXPENSE")</f>
        <v xml:space="preserve">          6326 - VEHICLES DEPRECIATION EXPENSE</v>
      </c>
      <c r="C51" s="11"/>
      <c r="D51" s="6"/>
      <c r="E51" s="2"/>
      <c r="F51" s="7">
        <f t="shared" si="24"/>
        <v>0</v>
      </c>
      <c r="G51" s="2"/>
      <c r="H51" s="6">
        <v>333</v>
      </c>
      <c r="I51" s="2"/>
      <c r="J51" s="7">
        <f t="shared" si="25"/>
        <v>0</v>
      </c>
      <c r="K51" s="2"/>
      <c r="L51" s="6">
        <f t="shared" si="26"/>
        <v>-333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1665</v>
      </c>
      <c r="U51" s="2"/>
      <c r="V51" s="7">
        <f t="shared" si="29"/>
        <v>0</v>
      </c>
      <c r="W51" s="2"/>
      <c r="X51" s="6">
        <f t="shared" si="30"/>
        <v>-1665</v>
      </c>
      <c r="Y51" s="2"/>
      <c r="Z51" s="7">
        <f t="shared" si="31"/>
        <v>-1</v>
      </c>
    </row>
    <row r="52" spans="1:26" s="27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-203.96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196.04</v>
      </c>
      <c r="M52" s="1"/>
      <c r="N52" s="5">
        <f t="shared" ref="N52:N54" si="35">IF(H52=0,0,L52/H52)</f>
        <v>-0.49009999999999998</v>
      </c>
      <c r="O52" s="13"/>
      <c r="P52" s="1">
        <f>SUM(OSRRefP22_6x_0)</f>
        <v>-2278.71</v>
      </c>
      <c r="Q52" s="1"/>
      <c r="R52" s="5">
        <f t="shared" ref="R52:R54" si="36">IF(P$12=0,0,P52/P$12)</f>
        <v>0</v>
      </c>
      <c r="S52" s="1"/>
      <c r="T52" s="1">
        <f>SUM(OSRRefT22_6x_0)</f>
        <v>-3200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921.29</v>
      </c>
      <c r="Y52" s="1"/>
      <c r="Z52" s="5">
        <f t="shared" ref="Z52:Z54" si="39">IF(T52=0,0,X52/T52)</f>
        <v>-0.28790312499999998</v>
      </c>
    </row>
    <row r="53" spans="1:26" s="24" customFormat="1" hidden="1" outlineLevel="2" x14ac:dyDescent="0.25">
      <c r="A53" s="25"/>
      <c r="B53" s="11" t="str">
        <f>CONCATENATE("          ", "6382", " - ", "DISCOUNTS/MARK DOWNS")</f>
        <v xml:space="preserve">          6382 - DISCOUNTS/MARK DOWNS</v>
      </c>
      <c r="C53" s="11"/>
      <c r="D53" s="6"/>
      <c r="E53" s="2"/>
      <c r="F53" s="7">
        <f t="shared" si="32"/>
        <v>0</v>
      </c>
      <c r="G53" s="2"/>
      <c r="H53" s="6">
        <v>-400</v>
      </c>
      <c r="I53" s="2"/>
      <c r="J53" s="7">
        <f t="shared" si="33"/>
        <v>0</v>
      </c>
      <c r="K53" s="2"/>
      <c r="L53" s="6">
        <f t="shared" si="34"/>
        <v>400</v>
      </c>
      <c r="M53" s="2"/>
      <c r="N53" s="7">
        <f t="shared" si="35"/>
        <v>-1</v>
      </c>
      <c r="O53" s="11"/>
      <c r="P53" s="6">
        <v>345.4</v>
      </c>
      <c r="Q53" s="2"/>
      <c r="R53" s="7">
        <f t="shared" si="36"/>
        <v>0</v>
      </c>
      <c r="S53" s="2"/>
      <c r="T53" s="6">
        <v>-3200</v>
      </c>
      <c r="U53" s="2"/>
      <c r="V53" s="7">
        <f t="shared" si="37"/>
        <v>0</v>
      </c>
      <c r="W53" s="2"/>
      <c r="X53" s="6">
        <f t="shared" si="38"/>
        <v>3545.4</v>
      </c>
      <c r="Y53" s="2"/>
      <c r="Z53" s="7">
        <f t="shared" si="39"/>
        <v>-1.1079375</v>
      </c>
    </row>
    <row r="54" spans="1:26" s="24" customFormat="1" hidden="1" outlineLevel="2" x14ac:dyDescent="0.25">
      <c r="A54" s="25"/>
      <c r="B54" s="11" t="str">
        <f>CONCATENATE("          ", "9175", " - ", "EARNED DISCOUNTS")</f>
        <v xml:space="preserve">          9175 - EARNED DISCOUNTS</v>
      </c>
      <c r="C54" s="11"/>
      <c r="D54" s="6">
        <v>-203.96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-203.96</v>
      </c>
      <c r="M54" s="2"/>
      <c r="N54" s="7">
        <f t="shared" si="35"/>
        <v>0</v>
      </c>
      <c r="O54" s="11"/>
      <c r="P54" s="6">
        <v>-2624.11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-2624.11</v>
      </c>
      <c r="Y54" s="2"/>
      <c r="Z54" s="7">
        <f t="shared" si="39"/>
        <v>0</v>
      </c>
    </row>
    <row r="55" spans="1:26" s="27" customFormat="1" outlineLevel="1" collapsed="1" x14ac:dyDescent="0.25">
      <c r="A55" s="26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SUM(OSRRefD22_7x_0)</f>
        <v>1804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804</v>
      </c>
      <c r="M55" s="1"/>
      <c r="N55" s="5">
        <f t="shared" ref="N55:N57" si="43">IF(H55=0,0,L55/H55)</f>
        <v>0.80400000000000005</v>
      </c>
      <c r="O55" s="13"/>
      <c r="P55" s="1">
        <f>SUM(OSRRefP22_7x_0)</f>
        <v>11602.22</v>
      </c>
      <c r="Q55" s="1"/>
      <c r="R55" s="5">
        <f t="shared" ref="R55:R57" si="44">IF(P$12=0,0,P55/P$12)</f>
        <v>0</v>
      </c>
      <c r="S55" s="1"/>
      <c r="T55" s="1">
        <f>SUM(OSRRefT22_7x_0)</f>
        <v>8000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3602.2199999999993</v>
      </c>
      <c r="Y55" s="1"/>
      <c r="Z55" s="5">
        <f t="shared" ref="Z55:Z57" si="47">IF(T55=0,0,X55/T55)</f>
        <v>0.45027749999999994</v>
      </c>
    </row>
    <row r="56" spans="1:26" s="24" customFormat="1" hidden="1" outlineLevel="2" x14ac:dyDescent="0.25">
      <c r="A56" s="25"/>
      <c r="B56" s="11" t="str">
        <f>CONCATENATE("          ", "6395", " - ", "DONATION-OFF CAMPUS")</f>
        <v xml:space="preserve">          6395 - DONATION-OFF CAMPUS</v>
      </c>
      <c r="C56" s="11"/>
      <c r="D56" s="6"/>
      <c r="E56" s="2"/>
      <c r="F56" s="7">
        <f t="shared" si="40"/>
        <v>0</v>
      </c>
      <c r="G56" s="2"/>
      <c r="H56" s="6">
        <v>1000</v>
      </c>
      <c r="I56" s="2"/>
      <c r="J56" s="7">
        <f t="shared" si="41"/>
        <v>0</v>
      </c>
      <c r="K56" s="2"/>
      <c r="L56" s="6">
        <f t="shared" si="42"/>
        <v>-1000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8000</v>
      </c>
      <c r="U56" s="2"/>
      <c r="V56" s="7">
        <f t="shared" si="45"/>
        <v>0</v>
      </c>
      <c r="W56" s="2"/>
      <c r="X56" s="6">
        <f t="shared" si="46"/>
        <v>-8000</v>
      </c>
      <c r="Y56" s="2"/>
      <c r="Z56" s="7">
        <f t="shared" si="47"/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6">
        <v>1804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1804</v>
      </c>
      <c r="M57" s="2"/>
      <c r="N57" s="7">
        <f t="shared" si="43"/>
        <v>0</v>
      </c>
      <c r="O57" s="11"/>
      <c r="P57" s="6">
        <v>11602.22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11602.22</v>
      </c>
      <c r="Y57" s="2"/>
      <c r="Z57" s="7">
        <f t="shared" si="47"/>
        <v>0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SUM(OSRRefD22_8x_0)</f>
        <v>44.58</v>
      </c>
      <c r="E58" s="1"/>
      <c r="F58" s="5">
        <f t="shared" ref="F58:F76" si="48">IF(D$12=0,0,D58/D$12)</f>
        <v>0</v>
      </c>
      <c r="G58" s="1"/>
      <c r="H58" s="1">
        <f>SUM(OSRRefH22_8x_0)</f>
        <v>200</v>
      </c>
      <c r="I58" s="1"/>
      <c r="J58" s="5">
        <f t="shared" ref="J58:J76" si="49">IF(H$12=0,0,H58/H$12)</f>
        <v>0</v>
      </c>
      <c r="K58" s="1"/>
      <c r="L58" s="1">
        <f t="shared" ref="L58:L76" si="50">+D58-H58</f>
        <v>-155.42000000000002</v>
      </c>
      <c r="M58" s="1"/>
      <c r="N58" s="5">
        <f t="shared" ref="N58:N76" si="51">IF(H58=0,0,L58/H58)</f>
        <v>-0.77710000000000012</v>
      </c>
      <c r="O58" s="13"/>
      <c r="P58" s="1">
        <f>SUM(OSRRefP22_8x_0)</f>
        <v>870.33</v>
      </c>
      <c r="Q58" s="1"/>
      <c r="R58" s="5">
        <f t="shared" ref="R58:R76" si="52">IF(P$12=0,0,P58/P$12)</f>
        <v>0</v>
      </c>
      <c r="S58" s="1"/>
      <c r="T58" s="1">
        <f>SUM(OSRRefT22_8x_0)</f>
        <v>1600</v>
      </c>
      <c r="U58" s="1"/>
      <c r="V58" s="5">
        <f t="shared" ref="V58:V76" si="53">IF(T$12=0,0,T58/T$12)</f>
        <v>0</v>
      </c>
      <c r="W58" s="1"/>
      <c r="X58" s="1">
        <f t="shared" ref="X58:X76" si="54">+P58-T58</f>
        <v>-729.67</v>
      </c>
      <c r="Y58" s="1"/>
      <c r="Z58" s="5">
        <f t="shared" ref="Z58:Z76" si="55">IF(T58=0,0,X58/T58)</f>
        <v>-0.45604374999999997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6">
        <v>44.58</v>
      </c>
      <c r="E59" s="2"/>
      <c r="F59" s="7">
        <f t="shared" si="48"/>
        <v>0</v>
      </c>
      <c r="G59" s="2"/>
      <c r="H59" s="6">
        <v>200</v>
      </c>
      <c r="I59" s="2"/>
      <c r="J59" s="7">
        <f t="shared" si="49"/>
        <v>0</v>
      </c>
      <c r="K59" s="2"/>
      <c r="L59" s="6">
        <f t="shared" si="50"/>
        <v>-155.42000000000002</v>
      </c>
      <c r="M59" s="2"/>
      <c r="N59" s="7">
        <f t="shared" si="51"/>
        <v>-0.77710000000000012</v>
      </c>
      <c r="O59" s="11"/>
      <c r="P59" s="6">
        <v>870.33</v>
      </c>
      <c r="Q59" s="2"/>
      <c r="R59" s="7">
        <f t="shared" si="52"/>
        <v>0</v>
      </c>
      <c r="S59" s="2"/>
      <c r="T59" s="6">
        <v>1600</v>
      </c>
      <c r="U59" s="2"/>
      <c r="V59" s="7">
        <f t="shared" si="53"/>
        <v>0</v>
      </c>
      <c r="W59" s="2"/>
      <c r="X59" s="6">
        <f t="shared" si="54"/>
        <v>-729.67</v>
      </c>
      <c r="Y59" s="2"/>
      <c r="Z59" s="7">
        <f t="shared" si="55"/>
        <v>-0.45604374999999997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0</v>
      </c>
      <c r="E60" s="1"/>
      <c r="F60" s="5">
        <f t="shared" si="48"/>
        <v>0</v>
      </c>
      <c r="G60" s="1"/>
      <c r="H60" s="1">
        <f>SUM(OSRRefH22_9x_0)</f>
        <v>30</v>
      </c>
      <c r="I60" s="1"/>
      <c r="J60" s="5">
        <f t="shared" si="49"/>
        <v>0</v>
      </c>
      <c r="K60" s="1"/>
      <c r="L60" s="1">
        <f t="shared" si="50"/>
        <v>-30</v>
      </c>
      <c r="M60" s="1"/>
      <c r="N60" s="5">
        <f t="shared" si="51"/>
        <v>-1</v>
      </c>
      <c r="O60" s="13"/>
      <c r="P60" s="1">
        <f>SUM(OSRRefP22_9x_0)</f>
        <v>14.39</v>
      </c>
      <c r="Q60" s="1"/>
      <c r="R60" s="5">
        <f t="shared" si="52"/>
        <v>0</v>
      </c>
      <c r="S60" s="1"/>
      <c r="T60" s="1">
        <f>SUM(OSRRefT22_9x_0)</f>
        <v>240</v>
      </c>
      <c r="U60" s="1"/>
      <c r="V60" s="5">
        <f t="shared" si="53"/>
        <v>0</v>
      </c>
      <c r="W60" s="1"/>
      <c r="X60" s="1">
        <f t="shared" si="54"/>
        <v>-225.61</v>
      </c>
      <c r="Y60" s="1"/>
      <c r="Z60" s="5">
        <f t="shared" si="55"/>
        <v>-0.94004166666666678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48"/>
        <v>0</v>
      </c>
      <c r="G61" s="2"/>
      <c r="H61" s="6">
        <v>30</v>
      </c>
      <c r="I61" s="2"/>
      <c r="J61" s="7">
        <f t="shared" si="49"/>
        <v>0</v>
      </c>
      <c r="K61" s="2"/>
      <c r="L61" s="6">
        <f t="shared" si="50"/>
        <v>-30</v>
      </c>
      <c r="M61" s="2"/>
      <c r="N61" s="7">
        <f t="shared" si="51"/>
        <v>-1</v>
      </c>
      <c r="O61" s="11"/>
      <c r="P61" s="6">
        <v>14.39</v>
      </c>
      <c r="Q61" s="2"/>
      <c r="R61" s="7">
        <f t="shared" si="52"/>
        <v>0</v>
      </c>
      <c r="S61" s="2"/>
      <c r="T61" s="6">
        <v>240</v>
      </c>
      <c r="U61" s="2"/>
      <c r="V61" s="7">
        <f t="shared" si="53"/>
        <v>0</v>
      </c>
      <c r="W61" s="2"/>
      <c r="X61" s="6">
        <f t="shared" si="54"/>
        <v>-225.61</v>
      </c>
      <c r="Y61" s="2"/>
      <c r="Z61" s="7">
        <f t="shared" si="55"/>
        <v>-0.94004166666666678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0</v>
      </c>
      <c r="E62" s="1"/>
      <c r="F62" s="5">
        <f t="shared" si="48"/>
        <v>0</v>
      </c>
      <c r="G62" s="1"/>
      <c r="H62" s="1">
        <f>SUM(OSRRefH22_10x_0)</f>
        <v>100</v>
      </c>
      <c r="I62" s="1"/>
      <c r="J62" s="5">
        <f t="shared" si="49"/>
        <v>0</v>
      </c>
      <c r="K62" s="1"/>
      <c r="L62" s="1">
        <f t="shared" si="50"/>
        <v>-100</v>
      </c>
      <c r="M62" s="1"/>
      <c r="N62" s="5">
        <f t="shared" si="51"/>
        <v>-1</v>
      </c>
      <c r="O62" s="13"/>
      <c r="P62" s="1">
        <f>SUM(OSRRefP22_10x_0)</f>
        <v>-11754.76</v>
      </c>
      <c r="Q62" s="1"/>
      <c r="R62" s="5">
        <f t="shared" si="52"/>
        <v>0</v>
      </c>
      <c r="S62" s="1"/>
      <c r="T62" s="1">
        <f>SUM(OSRRefT22_10x_0)</f>
        <v>800</v>
      </c>
      <c r="U62" s="1"/>
      <c r="V62" s="5">
        <f t="shared" si="53"/>
        <v>0</v>
      </c>
      <c r="W62" s="1"/>
      <c r="X62" s="1">
        <f t="shared" si="54"/>
        <v>-12554.76</v>
      </c>
      <c r="Y62" s="1"/>
      <c r="Z62" s="5">
        <f t="shared" si="55"/>
        <v>-15.69345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48"/>
        <v>0</v>
      </c>
      <c r="G63" s="2"/>
      <c r="H63" s="6">
        <v>100</v>
      </c>
      <c r="I63" s="2"/>
      <c r="J63" s="7">
        <f t="shared" si="49"/>
        <v>0</v>
      </c>
      <c r="K63" s="2"/>
      <c r="L63" s="6">
        <f t="shared" si="50"/>
        <v>-100</v>
      </c>
      <c r="M63" s="2"/>
      <c r="N63" s="7">
        <f t="shared" si="51"/>
        <v>-1</v>
      </c>
      <c r="O63" s="11"/>
      <c r="P63" s="6">
        <v>-11754.76</v>
      </c>
      <c r="Q63" s="2"/>
      <c r="R63" s="7">
        <f t="shared" si="52"/>
        <v>0</v>
      </c>
      <c r="S63" s="2"/>
      <c r="T63" s="6">
        <v>800</v>
      </c>
      <c r="U63" s="2"/>
      <c r="V63" s="7">
        <f t="shared" si="53"/>
        <v>0</v>
      </c>
      <c r="W63" s="2"/>
      <c r="X63" s="6">
        <f t="shared" si="54"/>
        <v>-12554.76</v>
      </c>
      <c r="Y63" s="2"/>
      <c r="Z63" s="7">
        <f t="shared" si="55"/>
        <v>-15.69345</v>
      </c>
    </row>
    <row r="64" spans="1:26" s="27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3883.56</v>
      </c>
      <c r="E64" s="1"/>
      <c r="F64" s="5">
        <f t="shared" si="48"/>
        <v>0</v>
      </c>
      <c r="G64" s="1"/>
      <c r="H64" s="1">
        <f>SUM(OSRRefH22_11x_0)</f>
        <v>3660</v>
      </c>
      <c r="I64" s="1"/>
      <c r="J64" s="5">
        <f t="shared" si="49"/>
        <v>0</v>
      </c>
      <c r="K64" s="1"/>
      <c r="L64" s="1">
        <f t="shared" si="50"/>
        <v>223.55999999999995</v>
      </c>
      <c r="M64" s="1"/>
      <c r="N64" s="5">
        <f t="shared" si="51"/>
        <v>6.1081967213114742E-2</v>
      </c>
      <c r="O64" s="13"/>
      <c r="P64" s="1">
        <f>SUM(OSRRefP22_11x_0)</f>
        <v>31068.48</v>
      </c>
      <c r="Q64" s="1"/>
      <c r="R64" s="5">
        <f t="shared" si="52"/>
        <v>0</v>
      </c>
      <c r="S64" s="1"/>
      <c r="T64" s="1">
        <f>SUM(OSRRefT22_11x_0)</f>
        <v>29280</v>
      </c>
      <c r="U64" s="1"/>
      <c r="V64" s="5">
        <f t="shared" si="53"/>
        <v>0</v>
      </c>
      <c r="W64" s="1"/>
      <c r="X64" s="1">
        <f t="shared" si="54"/>
        <v>1788.4799999999996</v>
      </c>
      <c r="Y64" s="1"/>
      <c r="Z64" s="5">
        <f t="shared" si="55"/>
        <v>6.1081967213114742E-2</v>
      </c>
    </row>
    <row r="65" spans="1:26" s="24" customFormat="1" hidden="1" outlineLevel="2" x14ac:dyDescent="0.25">
      <c r="A65" s="25"/>
      <c r="B65" s="11" t="str">
        <f>CONCATENATE("          ", "6314", " - ", "LIABILITY INSURANCE")</f>
        <v xml:space="preserve">          6314 - LIABILITY INSURANCE</v>
      </c>
      <c r="C65" s="11"/>
      <c r="D65" s="6">
        <v>3883.56</v>
      </c>
      <c r="E65" s="2"/>
      <c r="F65" s="7">
        <f t="shared" si="48"/>
        <v>0</v>
      </c>
      <c r="G65" s="2"/>
      <c r="H65" s="6">
        <v>3660</v>
      </c>
      <c r="I65" s="2"/>
      <c r="J65" s="7">
        <f t="shared" si="49"/>
        <v>0</v>
      </c>
      <c r="K65" s="2"/>
      <c r="L65" s="6">
        <f t="shared" si="50"/>
        <v>223.55999999999995</v>
      </c>
      <c r="M65" s="2"/>
      <c r="N65" s="7">
        <f t="shared" si="51"/>
        <v>6.1081967213114742E-2</v>
      </c>
      <c r="O65" s="11"/>
      <c r="P65" s="6">
        <v>31068.48</v>
      </c>
      <c r="Q65" s="2"/>
      <c r="R65" s="7">
        <f t="shared" si="52"/>
        <v>0</v>
      </c>
      <c r="S65" s="2"/>
      <c r="T65" s="6">
        <v>29280</v>
      </c>
      <c r="U65" s="2"/>
      <c r="V65" s="7">
        <f t="shared" si="53"/>
        <v>0</v>
      </c>
      <c r="W65" s="2"/>
      <c r="X65" s="6">
        <f t="shared" si="54"/>
        <v>1788.4799999999996</v>
      </c>
      <c r="Y65" s="2"/>
      <c r="Z65" s="7">
        <f t="shared" si="55"/>
        <v>6.1081967213114742E-2</v>
      </c>
    </row>
    <row r="66" spans="1:26" s="27" customFormat="1" outlineLevel="1" collapsed="1" x14ac:dyDescent="0.25">
      <c r="A66" s="26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25">
      <c r="A67" s="25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8"/>
        <v>0</v>
      </c>
      <c r="G67" s="2"/>
      <c r="H67" s="6">
        <v>0</v>
      </c>
      <c r="I67" s="2"/>
      <c r="J67" s="7">
        <f t="shared" si="49"/>
        <v>0</v>
      </c>
      <c r="K67" s="2"/>
      <c r="L67" s="6">
        <f t="shared" si="50"/>
        <v>0</v>
      </c>
      <c r="M67" s="2"/>
      <c r="N67" s="7">
        <f t="shared" si="51"/>
        <v>0</v>
      </c>
      <c r="O67" s="11"/>
      <c r="P67" s="6"/>
      <c r="Q67" s="2"/>
      <c r="R67" s="7">
        <f t="shared" si="52"/>
        <v>0</v>
      </c>
      <c r="S67" s="2"/>
      <c r="T67" s="6">
        <v>0</v>
      </c>
      <c r="U67" s="2"/>
      <c r="V67" s="7">
        <f t="shared" si="53"/>
        <v>0</v>
      </c>
      <c r="W67" s="2"/>
      <c r="X67" s="6">
        <f t="shared" si="54"/>
        <v>0</v>
      </c>
      <c r="Y67" s="2"/>
      <c r="Z67" s="7">
        <f t="shared" si="55"/>
        <v>0</v>
      </c>
    </row>
    <row r="68" spans="1:26" s="27" customFormat="1" outlineLevel="1" collapsed="1" x14ac:dyDescent="0.25">
      <c r="A68" s="26"/>
      <c r="B68" s="13" t="str">
        <f>CONCATENATE("     ","Professional Services                             ")</f>
        <v xml:space="preserve">     Professional Services                             </v>
      </c>
      <c r="C68" s="13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900</v>
      </c>
      <c r="I68" s="1"/>
      <c r="J68" s="5">
        <f t="shared" si="49"/>
        <v>0</v>
      </c>
      <c r="K68" s="1"/>
      <c r="L68" s="1">
        <f t="shared" si="50"/>
        <v>-900</v>
      </c>
      <c r="M68" s="1"/>
      <c r="N68" s="5">
        <f t="shared" si="51"/>
        <v>-1</v>
      </c>
      <c r="O68" s="13"/>
      <c r="P68" s="1">
        <f>SUM(OSRRefP22_13x_0)</f>
        <v>4658.41</v>
      </c>
      <c r="Q68" s="1"/>
      <c r="R68" s="5">
        <f t="shared" si="52"/>
        <v>0</v>
      </c>
      <c r="S68" s="1"/>
      <c r="T68" s="1">
        <f>SUM(OSRRefT22_13x_0)</f>
        <v>7200</v>
      </c>
      <c r="U68" s="1"/>
      <c r="V68" s="5">
        <f t="shared" si="53"/>
        <v>0</v>
      </c>
      <c r="W68" s="1"/>
      <c r="X68" s="1">
        <f t="shared" si="54"/>
        <v>-2541.59</v>
      </c>
      <c r="Y68" s="1"/>
      <c r="Z68" s="5">
        <f t="shared" si="55"/>
        <v>-0.35299861111111114</v>
      </c>
    </row>
    <row r="69" spans="1:26" s="24" customFormat="1" hidden="1" outlineLevel="2" x14ac:dyDescent="0.25">
      <c r="A69" s="25"/>
      <c r="B69" s="11" t="str">
        <f>CONCATENATE("          ", "6336", " - ", "PROFESSIONAL SERVICES")</f>
        <v xml:space="preserve">          6336 - PROFESSIONAL SERVICES</v>
      </c>
      <c r="C69" s="11"/>
      <c r="D69" s="6"/>
      <c r="E69" s="2"/>
      <c r="F69" s="7">
        <f t="shared" si="48"/>
        <v>0</v>
      </c>
      <c r="G69" s="2"/>
      <c r="H69" s="6">
        <v>900</v>
      </c>
      <c r="I69" s="2"/>
      <c r="J69" s="7">
        <f t="shared" si="49"/>
        <v>0</v>
      </c>
      <c r="K69" s="2"/>
      <c r="L69" s="6">
        <f t="shared" si="50"/>
        <v>-900</v>
      </c>
      <c r="M69" s="2"/>
      <c r="N69" s="7">
        <f t="shared" si="51"/>
        <v>-1</v>
      </c>
      <c r="O69" s="11"/>
      <c r="P69" s="6">
        <v>4658.41</v>
      </c>
      <c r="Q69" s="2"/>
      <c r="R69" s="7">
        <f t="shared" si="52"/>
        <v>0</v>
      </c>
      <c r="S69" s="2"/>
      <c r="T69" s="6">
        <v>7200</v>
      </c>
      <c r="U69" s="2"/>
      <c r="V69" s="7">
        <f t="shared" si="53"/>
        <v>0</v>
      </c>
      <c r="W69" s="2"/>
      <c r="X69" s="6">
        <f t="shared" si="54"/>
        <v>-2541.59</v>
      </c>
      <c r="Y69" s="2"/>
      <c r="Z69" s="7">
        <f t="shared" si="55"/>
        <v>-0.35299861111111114</v>
      </c>
    </row>
    <row r="70" spans="1:26" s="27" customFormat="1" outlineLevel="1" collapsed="1" x14ac:dyDescent="0.25">
      <c r="A70" s="26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SUM(OSRRefD22_14x_0)</f>
        <v>-800</v>
      </c>
      <c r="E70" s="1"/>
      <c r="F70" s="5">
        <f t="shared" si="48"/>
        <v>0</v>
      </c>
      <c r="G70" s="1"/>
      <c r="H70" s="1">
        <f>SUM(OSRRefH22_14x_0)</f>
        <v>-800</v>
      </c>
      <c r="I70" s="1"/>
      <c r="J70" s="5">
        <f t="shared" si="49"/>
        <v>0</v>
      </c>
      <c r="K70" s="1"/>
      <c r="L70" s="1">
        <f t="shared" si="50"/>
        <v>0</v>
      </c>
      <c r="M70" s="1"/>
      <c r="N70" s="5">
        <f t="shared" si="51"/>
        <v>0</v>
      </c>
      <c r="O70" s="13"/>
      <c r="P70" s="1">
        <f>SUM(OSRRefP22_14x_0)</f>
        <v>-4800</v>
      </c>
      <c r="Q70" s="1"/>
      <c r="R70" s="5">
        <f t="shared" si="52"/>
        <v>0</v>
      </c>
      <c r="S70" s="1"/>
      <c r="T70" s="1">
        <f>SUM(OSRRefT22_14x_0)</f>
        <v>-6400</v>
      </c>
      <c r="U70" s="1"/>
      <c r="V70" s="5">
        <f t="shared" si="53"/>
        <v>0</v>
      </c>
      <c r="W70" s="1"/>
      <c r="X70" s="1">
        <f t="shared" si="54"/>
        <v>1600</v>
      </c>
      <c r="Y70" s="1"/>
      <c r="Z70" s="5">
        <f t="shared" si="55"/>
        <v>-0.25</v>
      </c>
    </row>
    <row r="71" spans="1:26" s="24" customFormat="1" hidden="1" outlineLevel="2" x14ac:dyDescent="0.25">
      <c r="A71" s="25"/>
      <c r="B71" s="11" t="str">
        <f>CONCATENATE("          ", "6273", " - ", "RENT")</f>
        <v xml:space="preserve">          6273 - RENT</v>
      </c>
      <c r="C71" s="11"/>
      <c r="D71" s="6">
        <v>-800</v>
      </c>
      <c r="E71" s="2"/>
      <c r="F71" s="7">
        <f t="shared" si="48"/>
        <v>0</v>
      </c>
      <c r="G71" s="2"/>
      <c r="H71" s="6">
        <v>-800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>
        <v>-4800</v>
      </c>
      <c r="Q71" s="2"/>
      <c r="R71" s="7">
        <f t="shared" si="52"/>
        <v>0</v>
      </c>
      <c r="S71" s="2"/>
      <c r="T71" s="6">
        <v>-6400</v>
      </c>
      <c r="U71" s="2"/>
      <c r="V71" s="7">
        <f t="shared" si="53"/>
        <v>0</v>
      </c>
      <c r="W71" s="2"/>
      <c r="X71" s="6">
        <f t="shared" si="54"/>
        <v>1600</v>
      </c>
      <c r="Y71" s="2"/>
      <c r="Z71" s="7">
        <f t="shared" si="55"/>
        <v>-0.25</v>
      </c>
    </row>
    <row r="72" spans="1:26" s="27" customFormat="1" outlineLevel="1" collapsed="1" x14ac:dyDescent="0.25">
      <c r="A72" s="26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SUM(OSRRefD22_15x_0)</f>
        <v>1727.26</v>
      </c>
      <c r="E72" s="1"/>
      <c r="F72" s="5">
        <f t="shared" si="48"/>
        <v>0</v>
      </c>
      <c r="G72" s="1"/>
      <c r="H72" s="1">
        <f>SUM(OSRRefH22_15x_0)</f>
        <v>7000</v>
      </c>
      <c r="I72" s="1"/>
      <c r="J72" s="5">
        <f t="shared" si="49"/>
        <v>0</v>
      </c>
      <c r="K72" s="1"/>
      <c r="L72" s="1">
        <f t="shared" si="50"/>
        <v>-5272.74</v>
      </c>
      <c r="M72" s="1"/>
      <c r="N72" s="5">
        <f t="shared" si="51"/>
        <v>-0.75324857142857138</v>
      </c>
      <c r="O72" s="13"/>
      <c r="P72" s="1">
        <f>SUM(OSRRefP22_15x_0)</f>
        <v>56675.789999999994</v>
      </c>
      <c r="Q72" s="1"/>
      <c r="R72" s="5">
        <f t="shared" si="52"/>
        <v>0</v>
      </c>
      <c r="S72" s="1"/>
      <c r="T72" s="1">
        <f>SUM(OSRRefT22_15x_0)</f>
        <v>98285</v>
      </c>
      <c r="U72" s="1"/>
      <c r="V72" s="5">
        <f t="shared" si="53"/>
        <v>0</v>
      </c>
      <c r="W72" s="1"/>
      <c r="X72" s="1">
        <f t="shared" si="54"/>
        <v>-41609.210000000006</v>
      </c>
      <c r="Y72" s="1"/>
      <c r="Z72" s="5">
        <f t="shared" si="55"/>
        <v>-0.42335259703922273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601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601</v>
      </c>
      <c r="M73" s="2"/>
      <c r="N73" s="7">
        <f t="shared" si="51"/>
        <v>0</v>
      </c>
      <c r="O73" s="11"/>
      <c r="P73" s="6">
        <v>15155.4</v>
      </c>
      <c r="Q73" s="2"/>
      <c r="R73" s="7">
        <f t="shared" si="52"/>
        <v>0</v>
      </c>
      <c r="S73" s="2"/>
      <c r="T73" s="6">
        <v>48535</v>
      </c>
      <c r="U73" s="2"/>
      <c r="V73" s="7">
        <f t="shared" si="53"/>
        <v>0</v>
      </c>
      <c r="W73" s="2"/>
      <c r="X73" s="6">
        <f t="shared" si="54"/>
        <v>-33379.599999999999</v>
      </c>
      <c r="Y73" s="2"/>
      <c r="Z73" s="7">
        <f t="shared" si="55"/>
        <v>-0.68774286597300915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52.32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52.32</v>
      </c>
      <c r="Y74" s="2"/>
      <c r="Z74" s="7">
        <f t="shared" si="55"/>
        <v>0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>
        <v>7244.37</v>
      </c>
      <c r="Q75" s="2"/>
      <c r="R75" s="7">
        <f t="shared" si="52"/>
        <v>0</v>
      </c>
      <c r="S75" s="2"/>
      <c r="T75" s="6"/>
      <c r="U75" s="2"/>
      <c r="V75" s="7">
        <f t="shared" si="53"/>
        <v>0</v>
      </c>
      <c r="W75" s="2"/>
      <c r="X75" s="6">
        <f t="shared" si="54"/>
        <v>7244.37</v>
      </c>
      <c r="Y75" s="2"/>
      <c r="Z75" s="7">
        <f t="shared" si="55"/>
        <v>0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1126.26</v>
      </c>
      <c r="E76" s="2"/>
      <c r="F76" s="7">
        <f t="shared" si="48"/>
        <v>0</v>
      </c>
      <c r="G76" s="2"/>
      <c r="H76" s="6">
        <v>7000</v>
      </c>
      <c r="I76" s="2"/>
      <c r="J76" s="7">
        <f t="shared" si="49"/>
        <v>0</v>
      </c>
      <c r="K76" s="2"/>
      <c r="L76" s="6">
        <f t="shared" si="50"/>
        <v>-5873.74</v>
      </c>
      <c r="M76" s="2"/>
      <c r="N76" s="7">
        <f t="shared" si="51"/>
        <v>-0.83910571428571423</v>
      </c>
      <c r="O76" s="11"/>
      <c r="P76" s="6">
        <v>34223.699999999997</v>
      </c>
      <c r="Q76" s="2"/>
      <c r="R76" s="7">
        <f t="shared" si="52"/>
        <v>0</v>
      </c>
      <c r="S76" s="2"/>
      <c r="T76" s="6">
        <v>49750</v>
      </c>
      <c r="U76" s="2"/>
      <c r="V76" s="7">
        <f t="shared" si="53"/>
        <v>0</v>
      </c>
      <c r="W76" s="2"/>
      <c r="X76" s="6">
        <f t="shared" si="54"/>
        <v>-15526.300000000003</v>
      </c>
      <c r="Y76" s="2"/>
      <c r="Z76" s="7">
        <f t="shared" si="55"/>
        <v>-0.31208643216080406</v>
      </c>
    </row>
    <row r="77" spans="1:26" s="27" customFormat="1" outlineLevel="1" collapsed="1" x14ac:dyDescent="0.25">
      <c r="A77" s="26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SUM(OSRRefD22_16x_0)</f>
        <v>4330.68</v>
      </c>
      <c r="E77" s="1"/>
      <c r="F77" s="5">
        <f t="shared" ref="F77:F80" si="56">IF(D$12=0,0,D77/D$12)</f>
        <v>0</v>
      </c>
      <c r="G77" s="1"/>
      <c r="H77" s="1">
        <f>SUM(OSRRefH22_16x_0)</f>
        <v>4100</v>
      </c>
      <c r="I77" s="1"/>
      <c r="J77" s="5">
        <f t="shared" ref="J77:J80" si="57">IF(H$12=0,0,H77/H$12)</f>
        <v>0</v>
      </c>
      <c r="K77" s="1"/>
      <c r="L77" s="1">
        <f t="shared" ref="L77:L80" si="58">+D77-H77</f>
        <v>230.68000000000029</v>
      </c>
      <c r="M77" s="1"/>
      <c r="N77" s="5">
        <f t="shared" ref="N77:N80" si="59">IF(H77=0,0,L77/H77)</f>
        <v>5.6263414634146414E-2</v>
      </c>
      <c r="O77" s="13"/>
      <c r="P77" s="1">
        <f>SUM(OSRRefP22_16x_0)</f>
        <v>32820.270000000004</v>
      </c>
      <c r="Q77" s="1"/>
      <c r="R77" s="5">
        <f t="shared" ref="R77:R80" si="60">IF(P$12=0,0,P77/P$12)</f>
        <v>0</v>
      </c>
      <c r="S77" s="1"/>
      <c r="T77" s="1">
        <f>SUM(OSRRefT22_16x_0)</f>
        <v>32800</v>
      </c>
      <c r="U77" s="1"/>
      <c r="V77" s="5">
        <f t="shared" ref="V77:V80" si="61">IF(T$12=0,0,T77/T$12)</f>
        <v>0</v>
      </c>
      <c r="W77" s="1"/>
      <c r="X77" s="1">
        <f t="shared" ref="X77:X80" si="62">+P77-T77</f>
        <v>20.270000000004075</v>
      </c>
      <c r="Y77" s="1"/>
      <c r="Z77" s="5">
        <f t="shared" ref="Z77:Z80" si="63">IF(T77=0,0,X77/T77)</f>
        <v>6.1798780487817297E-4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222.5</v>
      </c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222.5</v>
      </c>
      <c r="M78" s="2"/>
      <c r="N78" s="7">
        <f t="shared" si="59"/>
        <v>0</v>
      </c>
      <c r="O78" s="11"/>
      <c r="P78" s="6">
        <v>1780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1780</v>
      </c>
      <c r="Y78" s="2"/>
      <c r="Z78" s="7">
        <f t="shared" si="63"/>
        <v>0</v>
      </c>
    </row>
    <row r="79" spans="1:26" s="24" customFormat="1" hidden="1" outlineLevel="2" x14ac:dyDescent="0.25">
      <c r="A79" s="25"/>
      <c r="B79" s="11" t="str">
        <f>CONCATENATE("          ", "6283", " - ", "PLANT SERVICE")</f>
        <v xml:space="preserve">          6283 - PLANT SERVICE</v>
      </c>
      <c r="C79" s="11"/>
      <c r="D79" s="6"/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0</v>
      </c>
      <c r="M79" s="2"/>
      <c r="N79" s="7">
        <f t="shared" si="59"/>
        <v>0</v>
      </c>
      <c r="O79" s="11"/>
      <c r="P79" s="6">
        <v>363.33</v>
      </c>
      <c r="Q79" s="2"/>
      <c r="R79" s="7">
        <f t="shared" si="60"/>
        <v>0</v>
      </c>
      <c r="S79" s="2"/>
      <c r="T79" s="6"/>
      <c r="U79" s="2"/>
      <c r="V79" s="7">
        <f t="shared" si="61"/>
        <v>0</v>
      </c>
      <c r="W79" s="2"/>
      <c r="X79" s="6">
        <f t="shared" si="62"/>
        <v>363.33</v>
      </c>
      <c r="Y79" s="2"/>
      <c r="Z79" s="7">
        <f t="shared" si="63"/>
        <v>0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6">
        <v>4108.18</v>
      </c>
      <c r="E80" s="2"/>
      <c r="F80" s="7">
        <f t="shared" si="56"/>
        <v>0</v>
      </c>
      <c r="G80" s="2"/>
      <c r="H80" s="6">
        <v>4100</v>
      </c>
      <c r="I80" s="2"/>
      <c r="J80" s="7">
        <f t="shared" si="57"/>
        <v>0</v>
      </c>
      <c r="K80" s="2"/>
      <c r="L80" s="6">
        <f t="shared" si="58"/>
        <v>8.180000000000291</v>
      </c>
      <c r="M80" s="2"/>
      <c r="N80" s="7">
        <f t="shared" si="59"/>
        <v>1.995121951219583E-3</v>
      </c>
      <c r="O80" s="11"/>
      <c r="P80" s="6">
        <v>30676.940000000002</v>
      </c>
      <c r="Q80" s="2"/>
      <c r="R80" s="7">
        <f t="shared" si="60"/>
        <v>0</v>
      </c>
      <c r="S80" s="2"/>
      <c r="T80" s="6">
        <v>32800</v>
      </c>
      <c r="U80" s="2"/>
      <c r="V80" s="7">
        <f t="shared" si="61"/>
        <v>0</v>
      </c>
      <c r="W80" s="2"/>
      <c r="X80" s="6">
        <f t="shared" si="62"/>
        <v>-2123.0599999999977</v>
      </c>
      <c r="Y80" s="2"/>
      <c r="Z80" s="7">
        <f t="shared" si="63"/>
        <v>-6.4727439024390168E-2</v>
      </c>
    </row>
    <row r="81" spans="1:26" s="27" customFormat="1" outlineLevel="1" collapsed="1" x14ac:dyDescent="0.25">
      <c r="A81" s="26"/>
      <c r="B81" s="13" t="str">
        <f>CONCATENATE("     ","Subscriptions &amp; Dues                              ")</f>
        <v xml:space="preserve">     Subscriptions &amp; Dues                              </v>
      </c>
      <c r="C81" s="13"/>
      <c r="D81" s="1">
        <f>SUM(OSRRefD22_17x_0)</f>
        <v>875</v>
      </c>
      <c r="E81" s="1"/>
      <c r="F81" s="5">
        <f t="shared" ref="F81:F83" si="64">IF(D$12=0,0,D81/D$12)</f>
        <v>0</v>
      </c>
      <c r="G81" s="1"/>
      <c r="H81" s="1">
        <f>SUM(OSRRefH22_17x_0)</f>
        <v>100</v>
      </c>
      <c r="I81" s="1"/>
      <c r="J81" s="5">
        <f t="shared" ref="J81:J83" si="65">IF(H$12=0,0,H81/H$12)</f>
        <v>0</v>
      </c>
      <c r="K81" s="1"/>
      <c r="L81" s="1">
        <f t="shared" ref="L81:L83" si="66">+D81-H81</f>
        <v>775</v>
      </c>
      <c r="M81" s="1"/>
      <c r="N81" s="5">
        <f t="shared" ref="N81:N83" si="67">IF(H81=0,0,L81/H81)</f>
        <v>7.75</v>
      </c>
      <c r="O81" s="13"/>
      <c r="P81" s="1">
        <f>SUM(OSRRefP22_17x_0)</f>
        <v>1280.3</v>
      </c>
      <c r="Q81" s="1"/>
      <c r="R81" s="5">
        <f t="shared" ref="R81:R83" si="68">IF(P$12=0,0,P81/P$12)</f>
        <v>0</v>
      </c>
      <c r="S81" s="1"/>
      <c r="T81" s="1">
        <f>SUM(OSRRefT22_17x_0)</f>
        <v>5645</v>
      </c>
      <c r="U81" s="1"/>
      <c r="V81" s="5">
        <f t="shared" ref="V81:V83" si="69">IF(T$12=0,0,T81/T$12)</f>
        <v>0</v>
      </c>
      <c r="W81" s="1"/>
      <c r="X81" s="1">
        <f t="shared" ref="X81:X83" si="70">+P81-T81</f>
        <v>-4364.7</v>
      </c>
      <c r="Y81" s="1"/>
      <c r="Z81" s="5">
        <f t="shared" ref="Z81:Z83" si="71">IF(T81=0,0,X81/T81)</f>
        <v>-0.77319751992914076</v>
      </c>
    </row>
    <row r="82" spans="1:26" s="24" customFormat="1" hidden="1" outlineLevel="2" x14ac:dyDescent="0.25">
      <c r="A82" s="25"/>
      <c r="B82" s="11" t="str">
        <f>CONCATENATE("          ", "6258", " - ", "MEMBERSHIP DUES")</f>
        <v xml:space="preserve">          6258 - MEMBERSHIP DUES</v>
      </c>
      <c r="C82" s="11"/>
      <c r="D82" s="6">
        <v>875</v>
      </c>
      <c r="E82" s="2"/>
      <c r="F82" s="7">
        <f t="shared" si="64"/>
        <v>0</v>
      </c>
      <c r="G82" s="2"/>
      <c r="H82" s="6">
        <v>100</v>
      </c>
      <c r="I82" s="2"/>
      <c r="J82" s="7">
        <f t="shared" si="65"/>
        <v>0</v>
      </c>
      <c r="K82" s="2"/>
      <c r="L82" s="6">
        <f t="shared" si="66"/>
        <v>775</v>
      </c>
      <c r="M82" s="2"/>
      <c r="N82" s="7">
        <f t="shared" si="67"/>
        <v>7.75</v>
      </c>
      <c r="O82" s="11"/>
      <c r="P82" s="6">
        <v>875</v>
      </c>
      <c r="Q82" s="2"/>
      <c r="R82" s="7">
        <f t="shared" si="68"/>
        <v>0</v>
      </c>
      <c r="S82" s="2"/>
      <c r="T82" s="6">
        <v>5645</v>
      </c>
      <c r="U82" s="2"/>
      <c r="V82" s="7">
        <f t="shared" si="69"/>
        <v>0</v>
      </c>
      <c r="W82" s="2"/>
      <c r="X82" s="6">
        <f t="shared" si="70"/>
        <v>-4770</v>
      </c>
      <c r="Y82" s="2"/>
      <c r="Z82" s="7">
        <f t="shared" si="71"/>
        <v>-0.84499557130203717</v>
      </c>
    </row>
    <row r="83" spans="1:26" s="24" customFormat="1" hidden="1" outlineLevel="2" x14ac:dyDescent="0.25">
      <c r="A83" s="25"/>
      <c r="B83" s="11" t="str">
        <f>CONCATENATE("          ", "6275", " - ", "SUBSCRIPTIONS")</f>
        <v xml:space="preserve">          6275 - SUBSCRIPTIONS</v>
      </c>
      <c r="C83" s="11"/>
      <c r="D83" s="6"/>
      <c r="E83" s="2"/>
      <c r="F83" s="7">
        <f t="shared" si="64"/>
        <v>0</v>
      </c>
      <c r="G83" s="2"/>
      <c r="H83" s="6"/>
      <c r="I83" s="2"/>
      <c r="J83" s="7">
        <f t="shared" si="65"/>
        <v>0</v>
      </c>
      <c r="K83" s="2"/>
      <c r="L83" s="6">
        <f t="shared" si="66"/>
        <v>0</v>
      </c>
      <c r="M83" s="2"/>
      <c r="N83" s="7">
        <f t="shared" si="67"/>
        <v>0</v>
      </c>
      <c r="O83" s="11"/>
      <c r="P83" s="6">
        <v>405.3</v>
      </c>
      <c r="Q83" s="2"/>
      <c r="R83" s="7">
        <f t="shared" si="68"/>
        <v>0</v>
      </c>
      <c r="S83" s="2"/>
      <c r="T83" s="6"/>
      <c r="U83" s="2"/>
      <c r="V83" s="7">
        <f t="shared" si="69"/>
        <v>0</v>
      </c>
      <c r="W83" s="2"/>
      <c r="X83" s="6">
        <f t="shared" si="70"/>
        <v>405.3</v>
      </c>
      <c r="Y83" s="2"/>
      <c r="Z83" s="7">
        <f t="shared" si="71"/>
        <v>0</v>
      </c>
    </row>
    <row r="84" spans="1:26" s="27" customFormat="1" outlineLevel="1" collapsed="1" x14ac:dyDescent="0.25">
      <c r="A84" s="26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SUM(OSRRefD22_18x_0)</f>
        <v>786.62</v>
      </c>
      <c r="E84" s="1"/>
      <c r="F84" s="5">
        <f t="shared" ref="F84:F90" si="72">IF(D$12=0,0,D84/D$12)</f>
        <v>0</v>
      </c>
      <c r="G84" s="1"/>
      <c r="H84" s="1">
        <f>SUM(OSRRefH22_18x_0)</f>
        <v>4250</v>
      </c>
      <c r="I84" s="1"/>
      <c r="J84" s="5">
        <f t="shared" ref="J84:J90" si="73">IF(H$12=0,0,H84/H$12)</f>
        <v>0</v>
      </c>
      <c r="K84" s="1"/>
      <c r="L84" s="1">
        <f t="shared" ref="L84:L90" si="74">+D84-H84</f>
        <v>-3463.38</v>
      </c>
      <c r="M84" s="1"/>
      <c r="N84" s="5">
        <f t="shared" ref="N84:N90" si="75">IF(H84=0,0,L84/H84)</f>
        <v>-0.81491294117647062</v>
      </c>
      <c r="O84" s="13"/>
      <c r="P84" s="1">
        <f>SUM(OSRRefP22_18x_0)</f>
        <v>13121.339999999998</v>
      </c>
      <c r="Q84" s="1"/>
      <c r="R84" s="5">
        <f t="shared" ref="R84:R90" si="76">IF(P$12=0,0,P84/P$12)</f>
        <v>0</v>
      </c>
      <c r="S84" s="1"/>
      <c r="T84" s="1">
        <f>SUM(OSRRefT22_18x_0)</f>
        <v>34100</v>
      </c>
      <c r="U84" s="1"/>
      <c r="V84" s="5">
        <f t="shared" ref="V84:V90" si="77">IF(T$12=0,0,T84/T$12)</f>
        <v>0</v>
      </c>
      <c r="W84" s="1"/>
      <c r="X84" s="1">
        <f t="shared" ref="X84:X90" si="78">+P84-T84</f>
        <v>-20978.660000000003</v>
      </c>
      <c r="Y84" s="1"/>
      <c r="Z84" s="5">
        <f t="shared" ref="Z84:Z90" si="79">IF(T84=0,0,X84/T84)</f>
        <v>-0.61520997067448691</v>
      </c>
    </row>
    <row r="85" spans="1:26" s="24" customFormat="1" hidden="1" outlineLevel="2" x14ac:dyDescent="0.25">
      <c r="A85" s="25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72"/>
        <v>0</v>
      </c>
      <c r="G85" s="2"/>
      <c r="H85" s="6"/>
      <c r="I85" s="2"/>
      <c r="J85" s="7">
        <f t="shared" si="73"/>
        <v>0</v>
      </c>
      <c r="K85" s="2"/>
      <c r="L85" s="6">
        <f t="shared" si="74"/>
        <v>0</v>
      </c>
      <c r="M85" s="2"/>
      <c r="N85" s="7">
        <f t="shared" si="75"/>
        <v>0</v>
      </c>
      <c r="O85" s="11"/>
      <c r="P85" s="6">
        <v>1307.54</v>
      </c>
      <c r="Q85" s="2"/>
      <c r="R85" s="7">
        <f t="shared" si="76"/>
        <v>0</v>
      </c>
      <c r="S85" s="2"/>
      <c r="T85" s="6"/>
      <c r="U85" s="2"/>
      <c r="V85" s="7">
        <f t="shared" si="77"/>
        <v>0</v>
      </c>
      <c r="W85" s="2"/>
      <c r="X85" s="6">
        <f t="shared" si="78"/>
        <v>1307.54</v>
      </c>
      <c r="Y85" s="2"/>
      <c r="Z85" s="7">
        <f t="shared" si="79"/>
        <v>0</v>
      </c>
    </row>
    <row r="86" spans="1:26" s="24" customFormat="1" hidden="1" outlineLevel="2" x14ac:dyDescent="0.25">
      <c r="A86" s="25"/>
      <c r="B86" s="11" t="str">
        <f>CONCATENATE("          ", "6237", " - ", "JANITORIAL SUPPLIES")</f>
        <v xml:space="preserve">          6237 - JANITORIAL SUPPLIES</v>
      </c>
      <c r="C86" s="11"/>
      <c r="D86" s="6">
        <v>570</v>
      </c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570</v>
      </c>
      <c r="M86" s="2"/>
      <c r="N86" s="7">
        <f t="shared" si="75"/>
        <v>0</v>
      </c>
      <c r="O86" s="11"/>
      <c r="P86" s="6">
        <v>3837.46</v>
      </c>
      <c r="Q86" s="2"/>
      <c r="R86" s="7">
        <f t="shared" si="76"/>
        <v>0</v>
      </c>
      <c r="S86" s="2"/>
      <c r="T86" s="6"/>
      <c r="U86" s="2"/>
      <c r="V86" s="7">
        <f t="shared" si="77"/>
        <v>0</v>
      </c>
      <c r="W86" s="2"/>
      <c r="X86" s="6">
        <f t="shared" si="78"/>
        <v>3837.46</v>
      </c>
      <c r="Y86" s="2"/>
      <c r="Z86" s="7">
        <f t="shared" si="79"/>
        <v>0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6">
        <v>418.12</v>
      </c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418.12</v>
      </c>
      <c r="M87" s="2"/>
      <c r="N87" s="7">
        <f t="shared" si="75"/>
        <v>0</v>
      </c>
      <c r="O87" s="11"/>
      <c r="P87" s="6">
        <v>8417.73</v>
      </c>
      <c r="Q87" s="2"/>
      <c r="R87" s="7">
        <f t="shared" si="76"/>
        <v>0</v>
      </c>
      <c r="S87" s="2"/>
      <c r="T87" s="6"/>
      <c r="U87" s="2"/>
      <c r="V87" s="7">
        <f t="shared" si="77"/>
        <v>0</v>
      </c>
      <c r="W87" s="2"/>
      <c r="X87" s="6">
        <f t="shared" si="78"/>
        <v>8417.73</v>
      </c>
      <c r="Y87" s="2"/>
      <c r="Z87" s="7">
        <f t="shared" si="79"/>
        <v>0</v>
      </c>
    </row>
    <row r="88" spans="1:26" s="24" customFormat="1" hidden="1" outlineLevel="2" x14ac:dyDescent="0.25">
      <c r="A88" s="25"/>
      <c r="B88" s="11" t="str">
        <f>CONCATENATE("          ", "6245", " - ", "PRINTING")</f>
        <v xml:space="preserve">          6245 - PRINTING</v>
      </c>
      <c r="C88" s="11"/>
      <c r="D88" s="6"/>
      <c r="E88" s="2"/>
      <c r="F88" s="7">
        <f t="shared" si="72"/>
        <v>0</v>
      </c>
      <c r="G88" s="2"/>
      <c r="H88" s="6"/>
      <c r="I88" s="2"/>
      <c r="J88" s="7">
        <f t="shared" si="73"/>
        <v>0</v>
      </c>
      <c r="K88" s="2"/>
      <c r="L88" s="6">
        <f t="shared" si="74"/>
        <v>0</v>
      </c>
      <c r="M88" s="2"/>
      <c r="N88" s="7">
        <f t="shared" si="75"/>
        <v>0</v>
      </c>
      <c r="O88" s="11"/>
      <c r="P88" s="6">
        <v>19.73</v>
      </c>
      <c r="Q88" s="2"/>
      <c r="R88" s="7">
        <f t="shared" si="76"/>
        <v>0</v>
      </c>
      <c r="S88" s="2"/>
      <c r="T88" s="6"/>
      <c r="U88" s="2"/>
      <c r="V88" s="7">
        <f t="shared" si="77"/>
        <v>0</v>
      </c>
      <c r="W88" s="2"/>
      <c r="X88" s="6">
        <f t="shared" si="78"/>
        <v>19.73</v>
      </c>
      <c r="Y88" s="2"/>
      <c r="Z88" s="7">
        <f t="shared" si="79"/>
        <v>0</v>
      </c>
    </row>
    <row r="89" spans="1:26" s="24" customFormat="1" hidden="1" outlineLevel="2" x14ac:dyDescent="0.25">
      <c r="A89" s="25"/>
      <c r="B89" s="11" t="str">
        <f>CONCATENATE("          ", "6247", " - ", "STORE SUPPLIES")</f>
        <v xml:space="preserve">          6247 - STORE SUPPLIES</v>
      </c>
      <c r="C89" s="11"/>
      <c r="D89" s="6">
        <v>-201.5</v>
      </c>
      <c r="E89" s="2"/>
      <c r="F89" s="7">
        <f t="shared" si="72"/>
        <v>0</v>
      </c>
      <c r="G89" s="2"/>
      <c r="H89" s="6">
        <v>3250</v>
      </c>
      <c r="I89" s="2"/>
      <c r="J89" s="7">
        <f t="shared" si="73"/>
        <v>0</v>
      </c>
      <c r="K89" s="2"/>
      <c r="L89" s="6">
        <f t="shared" si="74"/>
        <v>-3451.5</v>
      </c>
      <c r="M89" s="2"/>
      <c r="N89" s="7">
        <f t="shared" si="75"/>
        <v>-1.0620000000000001</v>
      </c>
      <c r="O89" s="11"/>
      <c r="P89" s="6">
        <v>-461.12</v>
      </c>
      <c r="Q89" s="2"/>
      <c r="R89" s="7">
        <f t="shared" si="76"/>
        <v>0</v>
      </c>
      <c r="S89" s="2"/>
      <c r="T89" s="6">
        <v>26100</v>
      </c>
      <c r="U89" s="2"/>
      <c r="V89" s="7">
        <f t="shared" si="77"/>
        <v>0</v>
      </c>
      <c r="W89" s="2"/>
      <c r="X89" s="6">
        <f t="shared" si="78"/>
        <v>-26561.119999999999</v>
      </c>
      <c r="Y89" s="2"/>
      <c r="Z89" s="7">
        <f t="shared" si="79"/>
        <v>-1.0176674329501916</v>
      </c>
    </row>
    <row r="90" spans="1:26" s="24" customFormat="1" hidden="1" outlineLevel="2" x14ac:dyDescent="0.25">
      <c r="A90" s="25"/>
      <c r="B90" s="11" t="str">
        <f>CONCATENATE("          ", "6248", " - ", "UNIFORMS")</f>
        <v xml:space="preserve">          6248 - UNIFORMS</v>
      </c>
      <c r="C90" s="11"/>
      <c r="D90" s="6"/>
      <c r="E90" s="2"/>
      <c r="F90" s="7">
        <f t="shared" si="72"/>
        <v>0</v>
      </c>
      <c r="G90" s="2"/>
      <c r="H90" s="6">
        <v>1000</v>
      </c>
      <c r="I90" s="2"/>
      <c r="J90" s="7">
        <f t="shared" si="73"/>
        <v>0</v>
      </c>
      <c r="K90" s="2"/>
      <c r="L90" s="6">
        <f t="shared" si="74"/>
        <v>-1000</v>
      </c>
      <c r="M90" s="2"/>
      <c r="N90" s="7">
        <f t="shared" si="75"/>
        <v>-1</v>
      </c>
      <c r="O90" s="11"/>
      <c r="P90" s="6"/>
      <c r="Q90" s="2"/>
      <c r="R90" s="7">
        <f t="shared" si="76"/>
        <v>0</v>
      </c>
      <c r="S90" s="2"/>
      <c r="T90" s="6">
        <v>8000</v>
      </c>
      <c r="U90" s="2"/>
      <c r="V90" s="7">
        <f t="shared" si="77"/>
        <v>0</v>
      </c>
      <c r="W90" s="2"/>
      <c r="X90" s="6">
        <f t="shared" si="78"/>
        <v>-8000</v>
      </c>
      <c r="Y90" s="2"/>
      <c r="Z90" s="7">
        <f t="shared" si="79"/>
        <v>-1</v>
      </c>
    </row>
    <row r="91" spans="1:26" s="27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SUM(OSRRefD22_19x_0)</f>
        <v>592.96</v>
      </c>
      <c r="E91" s="1"/>
      <c r="F91" s="5">
        <f t="shared" ref="F91:F98" si="80">IF(D$12=0,0,D91/D$12)</f>
        <v>0</v>
      </c>
      <c r="G91" s="1"/>
      <c r="H91" s="1">
        <f>SUM(OSRRefH22_19x_0)</f>
        <v>500</v>
      </c>
      <c r="I91" s="1"/>
      <c r="J91" s="5">
        <f t="shared" ref="J91:J98" si="81">IF(H$12=0,0,H91/H$12)</f>
        <v>0</v>
      </c>
      <c r="K91" s="1"/>
      <c r="L91" s="1">
        <f t="shared" ref="L91:L98" si="82">+D91-H91</f>
        <v>92.960000000000036</v>
      </c>
      <c r="M91" s="1"/>
      <c r="N91" s="5">
        <f t="shared" ref="N91:N98" si="83">IF(H91=0,0,L91/H91)</f>
        <v>0.18592000000000009</v>
      </c>
      <c r="O91" s="13"/>
      <c r="P91" s="1">
        <f>SUM(OSRRefP22_19x_0)</f>
        <v>4293.3999999999996</v>
      </c>
      <c r="Q91" s="1"/>
      <c r="R91" s="5">
        <f t="shared" ref="R91:R98" si="84">IF(P$12=0,0,P91/P$12)</f>
        <v>0</v>
      </c>
      <c r="S91" s="1"/>
      <c r="T91" s="1">
        <f>SUM(OSRRefT22_19x_0)</f>
        <v>4000</v>
      </c>
      <c r="U91" s="1"/>
      <c r="V91" s="5">
        <f t="shared" ref="V91:V98" si="85">IF(T$12=0,0,T91/T$12)</f>
        <v>0</v>
      </c>
      <c r="W91" s="1"/>
      <c r="X91" s="1">
        <f t="shared" ref="X91:X98" si="86">+P91-T91</f>
        <v>293.39999999999964</v>
      </c>
      <c r="Y91" s="1"/>
      <c r="Z91" s="5">
        <f t="shared" ref="Z91:Z98" si="87">IF(T91=0,0,X91/T91)</f>
        <v>7.3349999999999915E-2</v>
      </c>
    </row>
    <row r="92" spans="1:26" s="24" customFormat="1" hidden="1" outlineLevel="2" x14ac:dyDescent="0.25">
      <c r="A92" s="25"/>
      <c r="B92" s="11" t="str">
        <f>CONCATENATE("          ", "6309", " - ", "TELEPHONE")</f>
        <v xml:space="preserve">          6309 - TELEPHONE</v>
      </c>
      <c r="C92" s="11"/>
      <c r="D92" s="6">
        <v>592.96</v>
      </c>
      <c r="E92" s="2"/>
      <c r="F92" s="7">
        <f t="shared" si="80"/>
        <v>0</v>
      </c>
      <c r="G92" s="2"/>
      <c r="H92" s="6">
        <v>500</v>
      </c>
      <c r="I92" s="2"/>
      <c r="J92" s="7">
        <f t="shared" si="81"/>
        <v>0</v>
      </c>
      <c r="K92" s="2"/>
      <c r="L92" s="6">
        <f t="shared" si="82"/>
        <v>92.960000000000036</v>
      </c>
      <c r="M92" s="2"/>
      <c r="N92" s="7">
        <f t="shared" si="83"/>
        <v>0.18592000000000009</v>
      </c>
      <c r="O92" s="11"/>
      <c r="P92" s="6">
        <v>4293.3999999999996</v>
      </c>
      <c r="Q92" s="2"/>
      <c r="R92" s="7">
        <f t="shared" si="84"/>
        <v>0</v>
      </c>
      <c r="S92" s="2"/>
      <c r="T92" s="6">
        <v>4000</v>
      </c>
      <c r="U92" s="2"/>
      <c r="V92" s="7">
        <f t="shared" si="85"/>
        <v>0</v>
      </c>
      <c r="W92" s="2"/>
      <c r="X92" s="6">
        <f t="shared" si="86"/>
        <v>293.39999999999964</v>
      </c>
      <c r="Y92" s="2"/>
      <c r="Z92" s="7">
        <f t="shared" si="87"/>
        <v>7.3349999999999915E-2</v>
      </c>
    </row>
    <row r="93" spans="1:26" s="27" customFormat="1" outlineLevel="1" collapsed="1" x14ac:dyDescent="0.25">
      <c r="A93" s="26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SUM(OSRRefD22_20x_0)</f>
        <v>1843.35</v>
      </c>
      <c r="E93" s="1"/>
      <c r="F93" s="5">
        <f t="shared" si="80"/>
        <v>0</v>
      </c>
      <c r="G93" s="1"/>
      <c r="H93" s="1">
        <f>SUM(OSRRefH22_20x_0)</f>
        <v>1125</v>
      </c>
      <c r="I93" s="1"/>
      <c r="J93" s="5">
        <f t="shared" si="81"/>
        <v>0</v>
      </c>
      <c r="K93" s="1"/>
      <c r="L93" s="1">
        <f t="shared" si="82"/>
        <v>718.34999999999991</v>
      </c>
      <c r="M93" s="1"/>
      <c r="N93" s="5">
        <f t="shared" si="83"/>
        <v>0.63853333333333329</v>
      </c>
      <c r="O93" s="13"/>
      <c r="P93" s="1">
        <f>SUM(OSRRefP22_20x_0)</f>
        <v>8434.8799999999992</v>
      </c>
      <c r="Q93" s="1"/>
      <c r="R93" s="5">
        <f t="shared" si="84"/>
        <v>0</v>
      </c>
      <c r="S93" s="1"/>
      <c r="T93" s="1">
        <f>SUM(OSRRefT22_20x_0)</f>
        <v>9000</v>
      </c>
      <c r="U93" s="1"/>
      <c r="V93" s="5">
        <f t="shared" si="85"/>
        <v>0</v>
      </c>
      <c r="W93" s="1"/>
      <c r="X93" s="1">
        <f t="shared" si="86"/>
        <v>-565.1200000000008</v>
      </c>
      <c r="Y93" s="1"/>
      <c r="Z93" s="5">
        <f t="shared" si="87"/>
        <v>-6.27911111111112E-2</v>
      </c>
    </row>
    <row r="94" spans="1:26" s="24" customFormat="1" hidden="1" outlineLevel="2" x14ac:dyDescent="0.25">
      <c r="A94" s="25"/>
      <c r="B94" s="11" t="str">
        <f>CONCATENATE("          ", "6376", " - ", "TRAINING")</f>
        <v xml:space="preserve">          6376 - TRAINING</v>
      </c>
      <c r="C94" s="11"/>
      <c r="D94" s="6">
        <v>1843.35</v>
      </c>
      <c r="E94" s="2"/>
      <c r="F94" s="7">
        <f t="shared" si="80"/>
        <v>0</v>
      </c>
      <c r="G94" s="2"/>
      <c r="H94" s="6">
        <v>1125</v>
      </c>
      <c r="I94" s="2"/>
      <c r="J94" s="7">
        <f t="shared" si="81"/>
        <v>0</v>
      </c>
      <c r="K94" s="2"/>
      <c r="L94" s="6">
        <f t="shared" si="82"/>
        <v>718.34999999999991</v>
      </c>
      <c r="M94" s="2"/>
      <c r="N94" s="7">
        <f t="shared" si="83"/>
        <v>0.63853333333333329</v>
      </c>
      <c r="O94" s="11"/>
      <c r="P94" s="6">
        <v>8434.8799999999992</v>
      </c>
      <c r="Q94" s="2"/>
      <c r="R94" s="7">
        <f t="shared" si="84"/>
        <v>0</v>
      </c>
      <c r="S94" s="2"/>
      <c r="T94" s="6">
        <v>9000</v>
      </c>
      <c r="U94" s="2"/>
      <c r="V94" s="7">
        <f t="shared" si="85"/>
        <v>0</v>
      </c>
      <c r="W94" s="2"/>
      <c r="X94" s="6">
        <f t="shared" si="86"/>
        <v>-565.1200000000008</v>
      </c>
      <c r="Y94" s="2"/>
      <c r="Z94" s="7">
        <f t="shared" si="87"/>
        <v>-6.27911111111112E-2</v>
      </c>
    </row>
    <row r="95" spans="1:26" s="27" customFormat="1" outlineLevel="1" collapsed="1" x14ac:dyDescent="0.25">
      <c r="A95" s="26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SUM(OSRRefD22_21x_0)</f>
        <v>66.84</v>
      </c>
      <c r="E95" s="1"/>
      <c r="F95" s="5">
        <f t="shared" si="80"/>
        <v>0</v>
      </c>
      <c r="G95" s="1"/>
      <c r="H95" s="1">
        <f>SUM(OSRRefH22_21x_0)</f>
        <v>0</v>
      </c>
      <c r="I95" s="1"/>
      <c r="J95" s="5">
        <f t="shared" si="81"/>
        <v>0</v>
      </c>
      <c r="K95" s="1"/>
      <c r="L95" s="1">
        <f t="shared" si="82"/>
        <v>66.84</v>
      </c>
      <c r="M95" s="1"/>
      <c r="N95" s="5">
        <f t="shared" si="83"/>
        <v>0</v>
      </c>
      <c r="O95" s="13"/>
      <c r="P95" s="1">
        <f>SUM(OSRRefP22_21x_0)</f>
        <v>712.4</v>
      </c>
      <c r="Q95" s="1"/>
      <c r="R95" s="5">
        <f t="shared" si="84"/>
        <v>0</v>
      </c>
      <c r="S95" s="1"/>
      <c r="T95" s="1">
        <f>SUM(OSRRefT22_21x_0)</f>
        <v>0</v>
      </c>
      <c r="U95" s="1"/>
      <c r="V95" s="5">
        <f t="shared" si="85"/>
        <v>0</v>
      </c>
      <c r="W95" s="1"/>
      <c r="X95" s="1">
        <f t="shared" si="86"/>
        <v>712.4</v>
      </c>
      <c r="Y95" s="1"/>
      <c r="Z95" s="5">
        <f t="shared" si="87"/>
        <v>0</v>
      </c>
    </row>
    <row r="96" spans="1:26" s="24" customFormat="1" hidden="1" outlineLevel="2" x14ac:dyDescent="0.25">
      <c r="A96" s="25"/>
      <c r="B96" s="11" t="str">
        <f>CONCATENATE("          ", "6292", " - ", "TRAVEL/CONFERENCE")</f>
        <v xml:space="preserve">          6292 - TRAVEL/CONFERENCE</v>
      </c>
      <c r="C96" s="11"/>
      <c r="D96" s="6">
        <v>47.96</v>
      </c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47.96</v>
      </c>
      <c r="M96" s="2"/>
      <c r="N96" s="7">
        <f t="shared" si="83"/>
        <v>0</v>
      </c>
      <c r="O96" s="11"/>
      <c r="P96" s="6">
        <v>545.6</v>
      </c>
      <c r="Q96" s="2"/>
      <c r="R96" s="7">
        <f t="shared" si="84"/>
        <v>0</v>
      </c>
      <c r="S96" s="2"/>
      <c r="T96" s="6"/>
      <c r="U96" s="2"/>
      <c r="V96" s="7">
        <f t="shared" si="85"/>
        <v>0</v>
      </c>
      <c r="W96" s="2"/>
      <c r="X96" s="6">
        <f t="shared" si="86"/>
        <v>545.6</v>
      </c>
      <c r="Y96" s="2"/>
      <c r="Z96" s="7">
        <f t="shared" si="87"/>
        <v>0</v>
      </c>
    </row>
    <row r="97" spans="1:26" s="24" customFormat="1" hidden="1" outlineLevel="2" x14ac:dyDescent="0.25">
      <c r="A97" s="25"/>
      <c r="B97" s="11" t="str">
        <f>CONCATENATE("          ", "6294", " - ", "TRAVEL OPERATIONAL")</f>
        <v xml:space="preserve">          6294 - TRAVEL OPERATIONAL</v>
      </c>
      <c r="C97" s="11"/>
      <c r="D97" s="6"/>
      <c r="E97" s="2"/>
      <c r="F97" s="7">
        <f t="shared" si="80"/>
        <v>0</v>
      </c>
      <c r="G97" s="2"/>
      <c r="H97" s="6"/>
      <c r="I97" s="2"/>
      <c r="J97" s="7">
        <f t="shared" si="81"/>
        <v>0</v>
      </c>
      <c r="K97" s="2"/>
      <c r="L97" s="6">
        <f t="shared" si="82"/>
        <v>0</v>
      </c>
      <c r="M97" s="2"/>
      <c r="N97" s="7">
        <f t="shared" si="83"/>
        <v>0</v>
      </c>
      <c r="O97" s="11"/>
      <c r="P97" s="6">
        <v>-144.33000000000001</v>
      </c>
      <c r="Q97" s="2"/>
      <c r="R97" s="7">
        <f t="shared" si="84"/>
        <v>0</v>
      </c>
      <c r="S97" s="2"/>
      <c r="T97" s="6"/>
      <c r="U97" s="2"/>
      <c r="V97" s="7">
        <f t="shared" si="85"/>
        <v>0</v>
      </c>
      <c r="W97" s="2"/>
      <c r="X97" s="6">
        <f t="shared" si="86"/>
        <v>-144.33000000000001</v>
      </c>
      <c r="Y97" s="2"/>
      <c r="Z97" s="7">
        <f t="shared" si="87"/>
        <v>0</v>
      </c>
    </row>
    <row r="98" spans="1:26" s="24" customFormat="1" hidden="1" outlineLevel="2" x14ac:dyDescent="0.25">
      <c r="A98" s="25"/>
      <c r="B98" s="11" t="str">
        <f>CONCATENATE("          ", "6298", " - ", "VEHICLE MILEAGE")</f>
        <v xml:space="preserve">          6298 - VEHICLE MILEAGE</v>
      </c>
      <c r="C98" s="11"/>
      <c r="D98" s="6">
        <v>18.88</v>
      </c>
      <c r="E98" s="2"/>
      <c r="F98" s="7">
        <f t="shared" si="80"/>
        <v>0</v>
      </c>
      <c r="G98" s="2"/>
      <c r="H98" s="6"/>
      <c r="I98" s="2"/>
      <c r="J98" s="7">
        <f t="shared" si="81"/>
        <v>0</v>
      </c>
      <c r="K98" s="2"/>
      <c r="L98" s="6">
        <f t="shared" si="82"/>
        <v>18.88</v>
      </c>
      <c r="M98" s="2"/>
      <c r="N98" s="7">
        <f t="shared" si="83"/>
        <v>0</v>
      </c>
      <c r="O98" s="11"/>
      <c r="P98" s="6">
        <v>311.13</v>
      </c>
      <c r="Q98" s="2"/>
      <c r="R98" s="7">
        <f t="shared" si="84"/>
        <v>0</v>
      </c>
      <c r="S98" s="2"/>
      <c r="T98" s="6"/>
      <c r="U98" s="2"/>
      <c r="V98" s="7">
        <f t="shared" si="85"/>
        <v>0</v>
      </c>
      <c r="W98" s="2"/>
      <c r="X98" s="6">
        <f t="shared" si="86"/>
        <v>311.13</v>
      </c>
      <c r="Y98" s="2"/>
      <c r="Z98" s="7">
        <f t="shared" si="87"/>
        <v>0</v>
      </c>
    </row>
    <row r="99" spans="1:26" s="27" customFormat="1" outlineLevel="1" collapsed="1" x14ac:dyDescent="0.25">
      <c r="A99" s="26"/>
      <c r="B99" s="13" t="str">
        <f>CONCATENATE("     ","Utilities                                         ")</f>
        <v xml:space="preserve">     Utilities                                         </v>
      </c>
      <c r="C99" s="13"/>
      <c r="D99" s="1">
        <f>SUM(OSRRefD22_22x_0)</f>
        <v>6133</v>
      </c>
      <c r="E99" s="1"/>
      <c r="F99" s="5">
        <f t="shared" ref="F99:F100" si="88">IF(D$12=0,0,D99/D$12)</f>
        <v>0</v>
      </c>
      <c r="G99" s="1"/>
      <c r="H99" s="1">
        <f>SUM(OSRRefH22_22x_0)</f>
        <v>5000</v>
      </c>
      <c r="I99" s="1"/>
      <c r="J99" s="5">
        <f t="shared" ref="J99:J100" si="89">IF(H$12=0,0,H99/H$12)</f>
        <v>0</v>
      </c>
      <c r="K99" s="1"/>
      <c r="L99" s="1">
        <f t="shared" ref="L99:L100" si="90">+D99-H99</f>
        <v>1133</v>
      </c>
      <c r="M99" s="1"/>
      <c r="N99" s="5">
        <f t="shared" ref="N99:N100" si="91">IF(H99=0,0,L99/H99)</f>
        <v>0.2266</v>
      </c>
      <c r="O99" s="13"/>
      <c r="P99" s="1">
        <f>SUM(OSRRefP22_22x_0)</f>
        <v>44005</v>
      </c>
      <c r="Q99" s="1"/>
      <c r="R99" s="5">
        <f t="shared" ref="R99:R100" si="92">IF(P$12=0,0,P99/P$12)</f>
        <v>0</v>
      </c>
      <c r="S99" s="1"/>
      <c r="T99" s="1">
        <f>SUM(OSRRefT22_22x_0)</f>
        <v>40000</v>
      </c>
      <c r="U99" s="1"/>
      <c r="V99" s="5">
        <f t="shared" ref="V99:V100" si="93">IF(T$12=0,0,T99/T$12)</f>
        <v>0</v>
      </c>
      <c r="W99" s="1"/>
      <c r="X99" s="1">
        <f t="shared" ref="X99:X100" si="94">+P99-T99</f>
        <v>4005</v>
      </c>
      <c r="Y99" s="1"/>
      <c r="Z99" s="5">
        <f t="shared" ref="Z99:Z100" si="95">IF(T99=0,0,X99/T99)</f>
        <v>0.10012500000000001</v>
      </c>
    </row>
    <row r="100" spans="1:26" s="24" customFormat="1" hidden="1" outlineLevel="2" x14ac:dyDescent="0.25">
      <c r="A100" s="25"/>
      <c r="B100" s="11" t="str">
        <f>CONCATENATE("          ", "6274", " - ", "UTILITIES")</f>
        <v xml:space="preserve">          6274 - UTILITIES</v>
      </c>
      <c r="C100" s="11"/>
      <c r="D100" s="6">
        <v>6133</v>
      </c>
      <c r="E100" s="2"/>
      <c r="F100" s="7">
        <f t="shared" si="88"/>
        <v>0</v>
      </c>
      <c r="G100" s="2"/>
      <c r="H100" s="6">
        <v>5000</v>
      </c>
      <c r="I100" s="2"/>
      <c r="J100" s="7">
        <f t="shared" si="89"/>
        <v>0</v>
      </c>
      <c r="K100" s="2"/>
      <c r="L100" s="6">
        <f t="shared" si="90"/>
        <v>1133</v>
      </c>
      <c r="M100" s="2"/>
      <c r="N100" s="7">
        <f t="shared" si="91"/>
        <v>0.2266</v>
      </c>
      <c r="O100" s="11"/>
      <c r="P100" s="6">
        <v>44005</v>
      </c>
      <c r="Q100" s="2"/>
      <c r="R100" s="7">
        <f t="shared" si="92"/>
        <v>0</v>
      </c>
      <c r="S100" s="2"/>
      <c r="T100" s="6">
        <v>40000</v>
      </c>
      <c r="U100" s="2"/>
      <c r="V100" s="7">
        <f t="shared" si="93"/>
        <v>0</v>
      </c>
      <c r="W100" s="2"/>
      <c r="X100" s="6">
        <f t="shared" si="94"/>
        <v>4005</v>
      </c>
      <c r="Y100" s="2"/>
      <c r="Z100" s="7">
        <f t="shared" si="95"/>
        <v>0.10012500000000001</v>
      </c>
    </row>
    <row r="101" spans="1:26" s="53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30357.090000000004</v>
      </c>
      <c r="E102" s="4"/>
      <c r="F102" s="12">
        <f t="shared" ref="F102:F106" si="96">IF(D$12=0,0,D102/D$12)</f>
        <v>0</v>
      </c>
      <c r="G102" s="4"/>
      <c r="H102" s="4">
        <f>SUM(OSRRefH25x_0)</f>
        <v>24000</v>
      </c>
      <c r="I102" s="4"/>
      <c r="J102" s="12">
        <f t="shared" ref="J102:J106" si="97">IF(H$12=0,0,H102/H$12)</f>
        <v>0</v>
      </c>
      <c r="K102" s="4"/>
      <c r="L102" s="4">
        <f t="shared" ref="L102:L106" si="98">+D102-H102</f>
        <v>6357.0900000000038</v>
      </c>
      <c r="M102" s="4"/>
      <c r="N102" s="12">
        <f t="shared" ref="N102:N106" si="99">IF(H102=0,0,L102/H102)</f>
        <v>0.26487875000000016</v>
      </c>
      <c r="O102" s="10"/>
      <c r="P102" s="4">
        <f>SUM(OSRRefP25x_0)</f>
        <v>191220.71999999997</v>
      </c>
      <c r="Q102" s="4"/>
      <c r="R102" s="12">
        <f t="shared" ref="R102:R106" si="100">IF(P$12=0,0,P102/P$12)</f>
        <v>0</v>
      </c>
      <c r="S102" s="4"/>
      <c r="T102" s="4">
        <f>SUM(OSRRefT25x_0)</f>
        <v>192000</v>
      </c>
      <c r="U102" s="4"/>
      <c r="V102" s="12">
        <f t="shared" ref="V102:V106" si="101">IF(T$12=0,0,T102/T$12)</f>
        <v>0</v>
      </c>
      <c r="W102" s="4"/>
      <c r="X102" s="4">
        <f t="shared" ref="X102:X106" si="102">+P102-T102</f>
        <v>-779.28000000002794</v>
      </c>
      <c r="Y102" s="4"/>
      <c r="Z102" s="12">
        <f t="shared" ref="Z102:Z106" si="103">IF(T102=0,0,X102/T102)</f>
        <v>-4.0587500000001456E-3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--35300.91</f>
        <v>35300.910000000003</v>
      </c>
      <c r="E103" s="2"/>
      <c r="F103" s="19">
        <f t="shared" si="96"/>
        <v>0</v>
      </c>
      <c r="G103" s="2"/>
      <c r="H103" s="2">
        <v>21500</v>
      </c>
      <c r="I103" s="2"/>
      <c r="J103" s="19">
        <f t="shared" si="97"/>
        <v>0</v>
      </c>
      <c r="K103" s="2"/>
      <c r="L103" s="2">
        <f t="shared" si="98"/>
        <v>13800.910000000003</v>
      </c>
      <c r="M103" s="2"/>
      <c r="N103" s="19">
        <f t="shared" si="99"/>
        <v>0.64190279069767453</v>
      </c>
      <c r="O103" s="11"/>
      <c r="P103" s="2">
        <f>--197437.36</f>
        <v>197437.36</v>
      </c>
      <c r="Q103" s="2"/>
      <c r="R103" s="19">
        <f t="shared" si="100"/>
        <v>0</v>
      </c>
      <c r="S103" s="2"/>
      <c r="T103" s="2">
        <v>172000</v>
      </c>
      <c r="U103" s="2"/>
      <c r="V103" s="19">
        <f t="shared" si="101"/>
        <v>0</v>
      </c>
      <c r="W103" s="2"/>
      <c r="X103" s="2">
        <f t="shared" si="102"/>
        <v>25437.359999999986</v>
      </c>
      <c r="Y103" s="2"/>
      <c r="Z103" s="19">
        <f t="shared" si="103"/>
        <v>0.14789162790697666</v>
      </c>
    </row>
    <row r="104" spans="1:26" s="24" customFormat="1" hidden="1" outlineLevel="1" x14ac:dyDescent="0.25">
      <c r="A104" s="44"/>
      <c r="B104" s="11" t="str">
        <f>CONCATENATE("          ", "9151", " - ", "MISC. INCOME")</f>
        <v xml:space="preserve">          9151 - MISC. INCOME</v>
      </c>
      <c r="C104" s="11"/>
      <c r="D104" s="2">
        <f>-4943.82</f>
        <v>-4943.82</v>
      </c>
      <c r="E104" s="2"/>
      <c r="F104" s="19">
        <f t="shared" si="96"/>
        <v>0</v>
      </c>
      <c r="G104" s="2"/>
      <c r="H104" s="2">
        <v>500</v>
      </c>
      <c r="I104" s="2"/>
      <c r="J104" s="19">
        <f t="shared" si="97"/>
        <v>0</v>
      </c>
      <c r="K104" s="2"/>
      <c r="L104" s="2">
        <f t="shared" si="98"/>
        <v>-5443.82</v>
      </c>
      <c r="M104" s="2"/>
      <c r="N104" s="19">
        <f t="shared" si="99"/>
        <v>-10.887639999999999</v>
      </c>
      <c r="O104" s="11"/>
      <c r="P104" s="2">
        <f>-6666.64</f>
        <v>-6666.64</v>
      </c>
      <c r="Q104" s="2"/>
      <c r="R104" s="19">
        <f t="shared" si="100"/>
        <v>0</v>
      </c>
      <c r="S104" s="2"/>
      <c r="T104" s="2">
        <v>4000</v>
      </c>
      <c r="U104" s="2"/>
      <c r="V104" s="19">
        <f t="shared" si="101"/>
        <v>0</v>
      </c>
      <c r="W104" s="2"/>
      <c r="X104" s="2">
        <f t="shared" si="102"/>
        <v>-10666.64</v>
      </c>
      <c r="Y104" s="2"/>
      <c r="Z104" s="19">
        <f t="shared" si="103"/>
        <v>-2.6666599999999998</v>
      </c>
    </row>
    <row r="105" spans="1:26" s="24" customFormat="1" hidden="1" outlineLevel="1" x14ac:dyDescent="0.25">
      <c r="A105" s="44"/>
      <c r="B105" s="11" t="str">
        <f>CONCATENATE("          ", "9153", " - ", "MISC. INCOME")</f>
        <v xml:space="preserve">          9153 - MISC. INCOME</v>
      </c>
      <c r="C105" s="11"/>
      <c r="D105" s="2">
        <f t="shared" ref="D105:D106" si="104">0</f>
        <v>0</v>
      </c>
      <c r="E105" s="2"/>
      <c r="F105" s="19">
        <f t="shared" si="96"/>
        <v>0</v>
      </c>
      <c r="G105" s="2"/>
      <c r="H105" s="2"/>
      <c r="I105" s="2"/>
      <c r="J105" s="19">
        <f t="shared" si="97"/>
        <v>0</v>
      </c>
      <c r="K105" s="2"/>
      <c r="L105" s="2">
        <f t="shared" si="98"/>
        <v>0</v>
      </c>
      <c r="M105" s="2"/>
      <c r="N105" s="19">
        <f t="shared" si="99"/>
        <v>0</v>
      </c>
      <c r="O105" s="11"/>
      <c r="P105" s="2">
        <f>--450</f>
        <v>450</v>
      </c>
      <c r="Q105" s="2"/>
      <c r="R105" s="19">
        <f t="shared" si="100"/>
        <v>0</v>
      </c>
      <c r="S105" s="2"/>
      <c r="T105" s="2"/>
      <c r="U105" s="2"/>
      <c r="V105" s="19">
        <f t="shared" si="101"/>
        <v>0</v>
      </c>
      <c r="W105" s="2"/>
      <c r="X105" s="2">
        <f t="shared" si="102"/>
        <v>450</v>
      </c>
      <c r="Y105" s="2"/>
      <c r="Z105" s="19">
        <f t="shared" si="103"/>
        <v>0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si="104"/>
        <v>0</v>
      </c>
      <c r="E106" s="2"/>
      <c r="F106" s="19">
        <f t="shared" si="96"/>
        <v>0</v>
      </c>
      <c r="G106" s="2"/>
      <c r="H106" s="2">
        <v>2000</v>
      </c>
      <c r="I106" s="2"/>
      <c r="J106" s="19">
        <f t="shared" si="97"/>
        <v>0</v>
      </c>
      <c r="K106" s="2"/>
      <c r="L106" s="2">
        <f t="shared" si="98"/>
        <v>-2000</v>
      </c>
      <c r="M106" s="2"/>
      <c r="N106" s="19">
        <f t="shared" si="99"/>
        <v>-1</v>
      </c>
      <c r="O106" s="11"/>
      <c r="P106" s="2">
        <f>0</f>
        <v>0</v>
      </c>
      <c r="Q106" s="2"/>
      <c r="R106" s="19">
        <f t="shared" si="100"/>
        <v>0</v>
      </c>
      <c r="S106" s="2"/>
      <c r="T106" s="2">
        <v>16000</v>
      </c>
      <c r="U106" s="2"/>
      <c r="V106" s="19">
        <f t="shared" si="101"/>
        <v>0</v>
      </c>
      <c r="W106" s="2"/>
      <c r="X106" s="2">
        <f t="shared" si="102"/>
        <v>-16000</v>
      </c>
      <c r="Y106" s="2"/>
      <c r="Z106" s="19">
        <f t="shared" si="103"/>
        <v>-1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1">
        <f>+D16-D18+D102</f>
        <v>-52022.580000000009</v>
      </c>
      <c r="E108" s="14"/>
      <c r="F108" s="22">
        <f>IF(D$12=0,0,D108/D$12)</f>
        <v>0</v>
      </c>
      <c r="G108" s="14"/>
      <c r="H108" s="21">
        <f>+H16-H18+H102</f>
        <v>-114049.90219911691</v>
      </c>
      <c r="I108" s="14"/>
      <c r="J108" s="22">
        <f>IF(H$12=0,0,H108/H$12)</f>
        <v>0</v>
      </c>
      <c r="K108" s="15"/>
      <c r="L108" s="21">
        <f>+D108-H108</f>
        <v>62027.322199116905</v>
      </c>
      <c r="M108" s="15"/>
      <c r="N108" s="22">
        <f>IF(H108=0,0,L108/H108)</f>
        <v>-0.54386124848073025</v>
      </c>
      <c r="O108" s="29"/>
      <c r="P108" s="21">
        <f>+P16-P18+P102</f>
        <v>-832870.54</v>
      </c>
      <c r="Q108" s="14"/>
      <c r="R108" s="22">
        <f>IF(P$12=0,0,P108/P$12)</f>
        <v>0</v>
      </c>
      <c r="S108" s="14"/>
      <c r="T108" s="21">
        <f>+T16-T18+T102</f>
        <v>-990189.5849979606</v>
      </c>
      <c r="U108" s="14"/>
      <c r="V108" s="22">
        <f>IF(T$12=0,0,T108/T$12)</f>
        <v>0</v>
      </c>
      <c r="W108" s="15"/>
      <c r="X108" s="21">
        <f>+P108-T108</f>
        <v>157319.04499796056</v>
      </c>
      <c r="Y108" s="15"/>
      <c r="Z108" s="22">
        <f>IF(T108=0,0,X108/T108)</f>
        <v>-0.15887770118111733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14</v>
      </c>
      <c r="C110" s="10"/>
      <c r="D110" s="4"/>
      <c r="E110" s="4"/>
      <c r="F110" s="12">
        <f>IF(D$12=0,0,D110/D$12)</f>
        <v>0</v>
      </c>
      <c r="G110" s="4"/>
      <c r="H110" s="4"/>
      <c r="I110" s="4"/>
      <c r="J110" s="12">
        <f>IF(H$12=0,0,H110/H$12)</f>
        <v>0</v>
      </c>
      <c r="K110" s="4"/>
      <c r="L110" s="4">
        <f>+D110-H110</f>
        <v>0</v>
      </c>
      <c r="M110" s="4"/>
      <c r="N110" s="12">
        <f>IF(H110=0,0,L110/H110)</f>
        <v>0</v>
      </c>
      <c r="O110" s="10"/>
      <c r="P110" s="4"/>
      <c r="Q110" s="4"/>
      <c r="R110" s="12">
        <f>IF(P$12=0,0,P110/P$12)</f>
        <v>0</v>
      </c>
      <c r="S110" s="4"/>
      <c r="T110" s="4"/>
      <c r="U110" s="4"/>
      <c r="V110" s="12">
        <f>IF(T$12=0,0,T110/T$12)</f>
        <v>0</v>
      </c>
      <c r="W110" s="4"/>
      <c r="X110" s="4">
        <f>+P110-T110</f>
        <v>0</v>
      </c>
      <c r="Y110" s="4"/>
      <c r="Z110" s="12">
        <f>IF(T110=0,0,X110/T110)</f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1">
        <f>+D108-D110</f>
        <v>-52022.580000000009</v>
      </c>
      <c r="E112" s="14"/>
      <c r="F112" s="32">
        <f>IF(D$12=0,0,D112/D$12)</f>
        <v>0</v>
      </c>
      <c r="G112" s="14"/>
      <c r="H112" s="31">
        <f>+H108-H110</f>
        <v>-114049.90219911691</v>
      </c>
      <c r="I112" s="14"/>
      <c r="J112" s="32">
        <f>IF(H$12=0,0,H112/H$12)</f>
        <v>0</v>
      </c>
      <c r="K112" s="15"/>
      <c r="L112" s="31">
        <f>D112-H112</f>
        <v>62027.322199116905</v>
      </c>
      <c r="M112" s="15"/>
      <c r="N112" s="32">
        <f>IF(H112=0,0,L112/H112)</f>
        <v>-0.54386124848073025</v>
      </c>
      <c r="O112" s="29"/>
      <c r="P112" s="31">
        <f>+P108-P110</f>
        <v>-832870.54</v>
      </c>
      <c r="Q112" s="14"/>
      <c r="R112" s="32">
        <f>IF(P$12=0,0,P112/P$12)</f>
        <v>0</v>
      </c>
      <c r="S112" s="14"/>
      <c r="T112" s="31">
        <f>+T108-T110</f>
        <v>-990189.5849979606</v>
      </c>
      <c r="U112" s="14"/>
      <c r="V112" s="32">
        <f>IF(T$12=0,0,T112/T$12)</f>
        <v>0</v>
      </c>
      <c r="W112" s="15"/>
      <c r="X112" s="31">
        <f>P112-T112</f>
        <v>157319.04499796056</v>
      </c>
      <c r="Y112" s="15"/>
      <c r="Z112" s="32">
        <f>IF(T112=0,0,X112/T112)</f>
        <v>-0.15887770118111733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3">
        <f>SUM(D112:D114)</f>
        <v>-52022.580000000009</v>
      </c>
      <c r="E115" s="14"/>
      <c r="F115" s="30">
        <f>IF(D$12=0,0,D115/D$12)</f>
        <v>0</v>
      </c>
      <c r="G115" s="14"/>
      <c r="H115" s="33">
        <f>SUM(H112:H114)</f>
        <v>-114049.90219911691</v>
      </c>
      <c r="I115" s="14"/>
      <c r="J115" s="30">
        <f>IF(H$12=0,0,H115/H$12)</f>
        <v>0</v>
      </c>
      <c r="K115" s="15"/>
      <c r="L115" s="33">
        <f>+D115-H115</f>
        <v>62027.322199116905</v>
      </c>
      <c r="M115" s="15"/>
      <c r="N115" s="30">
        <f>IF(H115=0,0,L115/H115)</f>
        <v>-0.54386124848073025</v>
      </c>
      <c r="O115" s="29"/>
      <c r="P115" s="33">
        <f>SUM(P112:P114)</f>
        <v>-832870.54</v>
      </c>
      <c r="Q115" s="14"/>
      <c r="R115" s="30">
        <f>IF(P$12=0,0,P115/P$12)</f>
        <v>0</v>
      </c>
      <c r="S115" s="14"/>
      <c r="T115" s="33">
        <f>SUM(T112:T114)</f>
        <v>-990189.5849979606</v>
      </c>
      <c r="U115" s="14"/>
      <c r="V115" s="30">
        <f>IF(T$12=0,0,T115/T$12)</f>
        <v>0</v>
      </c>
      <c r="W115" s="15"/>
      <c r="X115" s="33">
        <f>+P115-T115</f>
        <v>157319.04499796056</v>
      </c>
      <c r="Y115" s="15"/>
      <c r="Z115" s="30">
        <f>IF(T115=0,0,X115/T115)</f>
        <v>-0.15887770118111733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9">
        <v>43908.494523113426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63" t="s">
        <v>314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57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34283.75</v>
      </c>
      <c r="E18" s="20"/>
      <c r="F18" s="34">
        <f t="shared" ref="F18:F28" si="0">IF(D$12=0,0,D18/D$12)</f>
        <v>0</v>
      </c>
      <c r="G18" s="20"/>
      <c r="H18" s="20">
        <f>SUM(OSRRefH22x_0)</f>
        <v>32496.303739635998</v>
      </c>
      <c r="I18" s="20"/>
      <c r="J18" s="34">
        <f t="shared" ref="J18:J28" si="1">IF(H$12=0,0,H18/H$12)</f>
        <v>0</v>
      </c>
      <c r="K18" s="4"/>
      <c r="L18" s="20">
        <f t="shared" ref="L18:L28" si="2">+D18-H18</f>
        <v>1787.4462603640022</v>
      </c>
      <c r="M18" s="4"/>
      <c r="N18" s="34">
        <f t="shared" ref="N18:N28" si="3">IF(H18=0,0,L18/H18)</f>
        <v>5.5004602205999197E-2</v>
      </c>
      <c r="O18" s="10"/>
      <c r="P18" s="20">
        <f>SUM(OSRRefP22x_0)</f>
        <v>377256.21000000014</v>
      </c>
      <c r="Q18" s="20"/>
      <c r="R18" s="34">
        <f t="shared" ref="R18:R28" si="4">IF(P$12=0,0,P18/P$12)</f>
        <v>0</v>
      </c>
      <c r="S18" s="20"/>
      <c r="T18" s="20">
        <f>SUM(OSRRefT22x_0)</f>
        <v>373435.15333031502</v>
      </c>
      <c r="U18" s="20"/>
      <c r="V18" s="34">
        <f t="shared" ref="V18:V28" si="5">IF(T$12=0,0,T18/T$12)</f>
        <v>0</v>
      </c>
      <c r="W18" s="4"/>
      <c r="X18" s="20">
        <f t="shared" ref="X18:X28" si="6">+P18-T18</f>
        <v>3821.0566696851165</v>
      </c>
      <c r="Y18" s="4"/>
      <c r="Z18" s="34">
        <f t="shared" ref="Z18:Z28" si="7">IF(T18=0,0,X18/T18)</f>
        <v>1.023218257737314E-2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5376.67</v>
      </c>
      <c r="E19" s="1"/>
      <c r="F19" s="5">
        <f t="shared" si="0"/>
        <v>0</v>
      </c>
      <c r="G19" s="1"/>
      <c r="H19" s="1">
        <f>SUM(OSRRefH22_0x_0)</f>
        <v>4097.2326316360004</v>
      </c>
      <c r="I19" s="1"/>
      <c r="J19" s="5">
        <f t="shared" si="1"/>
        <v>0</v>
      </c>
      <c r="K19" s="1"/>
      <c r="L19" s="1">
        <f t="shared" si="2"/>
        <v>1279.4373683639997</v>
      </c>
      <c r="M19" s="1"/>
      <c r="N19" s="5">
        <f t="shared" si="3"/>
        <v>0.31226866604670384</v>
      </c>
      <c r="O19" s="13"/>
      <c r="P19" s="1">
        <f>SUM(OSRRefP22_0x_0)</f>
        <v>49589.049999999996</v>
      </c>
      <c r="Q19" s="1"/>
      <c r="R19" s="5">
        <f t="shared" si="4"/>
        <v>0</v>
      </c>
      <c r="S19" s="1"/>
      <c r="T19" s="1">
        <f>SUM(OSRRefT22_0x_0)</f>
        <v>40913.690135315002</v>
      </c>
      <c r="U19" s="1"/>
      <c r="V19" s="5">
        <f t="shared" si="5"/>
        <v>0</v>
      </c>
      <c r="W19" s="1"/>
      <c r="X19" s="1">
        <f t="shared" si="6"/>
        <v>8675.3598646849932</v>
      </c>
      <c r="Y19" s="1"/>
      <c r="Z19" s="5">
        <f t="shared" si="7"/>
        <v>0.21204051348076233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908.8</v>
      </c>
      <c r="E20" s="2"/>
      <c r="F20" s="7">
        <f t="shared" si="0"/>
        <v>0</v>
      </c>
      <c r="G20" s="2"/>
      <c r="H20" s="6">
        <v>909.62312091599995</v>
      </c>
      <c r="I20" s="2"/>
      <c r="J20" s="7">
        <f t="shared" si="1"/>
        <v>0</v>
      </c>
      <c r="K20" s="2"/>
      <c r="L20" s="6">
        <f t="shared" si="2"/>
        <v>-0.82312091599999349</v>
      </c>
      <c r="M20" s="2"/>
      <c r="N20" s="7">
        <f t="shared" si="3"/>
        <v>-9.0490324737029784E-4</v>
      </c>
      <c r="O20" s="11"/>
      <c r="P20" s="6">
        <v>11834.22</v>
      </c>
      <c r="Q20" s="2"/>
      <c r="R20" s="7">
        <f t="shared" si="4"/>
        <v>0</v>
      </c>
      <c r="S20" s="2"/>
      <c r="T20" s="6">
        <v>11337.424006514999</v>
      </c>
      <c r="U20" s="2"/>
      <c r="V20" s="7">
        <f t="shared" si="5"/>
        <v>0</v>
      </c>
      <c r="W20" s="2"/>
      <c r="X20" s="6">
        <f t="shared" si="6"/>
        <v>496.79599348500051</v>
      </c>
      <c r="Y20" s="2"/>
      <c r="Z20" s="7">
        <f t="shared" si="7"/>
        <v>4.3819124450097217E-2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703.97</v>
      </c>
      <c r="E21" s="2"/>
      <c r="F21" s="7">
        <f t="shared" si="0"/>
        <v>0</v>
      </c>
      <c r="G21" s="2"/>
      <c r="H21" s="6">
        <v>540.40364680000005</v>
      </c>
      <c r="I21" s="2"/>
      <c r="J21" s="7">
        <f t="shared" si="1"/>
        <v>0</v>
      </c>
      <c r="K21" s="2"/>
      <c r="L21" s="6">
        <f t="shared" si="2"/>
        <v>163.56635319999998</v>
      </c>
      <c r="M21" s="2"/>
      <c r="N21" s="7">
        <f t="shared" si="3"/>
        <v>0.30267440674865553</v>
      </c>
      <c r="O21" s="11"/>
      <c r="P21" s="6">
        <v>5511.55</v>
      </c>
      <c r="Q21" s="2"/>
      <c r="R21" s="7">
        <f t="shared" si="4"/>
        <v>0</v>
      </c>
      <c r="S21" s="2"/>
      <c r="T21" s="6">
        <v>6275.7726844999997</v>
      </c>
      <c r="U21" s="2"/>
      <c r="V21" s="7">
        <f t="shared" si="5"/>
        <v>0</v>
      </c>
      <c r="W21" s="2"/>
      <c r="X21" s="6">
        <f t="shared" si="6"/>
        <v>-764.22268449999956</v>
      </c>
      <c r="Y21" s="2"/>
      <c r="Z21" s="7">
        <f t="shared" si="7"/>
        <v>-0.12177348079982064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2064.35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1401.35</v>
      </c>
      <c r="M22" s="2"/>
      <c r="N22" s="7">
        <f t="shared" si="3"/>
        <v>2.1136500754147813</v>
      </c>
      <c r="O22" s="11"/>
      <c r="P22" s="6">
        <v>15824.32</v>
      </c>
      <c r="Q22" s="2"/>
      <c r="R22" s="7">
        <f t="shared" si="4"/>
        <v>0</v>
      </c>
      <c r="S22" s="2"/>
      <c r="T22" s="6">
        <v>5304</v>
      </c>
      <c r="U22" s="2"/>
      <c r="V22" s="7">
        <f t="shared" si="5"/>
        <v>0</v>
      </c>
      <c r="W22" s="2"/>
      <c r="X22" s="6">
        <f t="shared" si="6"/>
        <v>10520.32</v>
      </c>
      <c r="Y22" s="2"/>
      <c r="Z22" s="7">
        <f t="shared" si="7"/>
        <v>1.9834690799396681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96.33</v>
      </c>
      <c r="E23" s="2"/>
      <c r="F23" s="7">
        <f t="shared" si="0"/>
        <v>0</v>
      </c>
      <c r="G23" s="2"/>
      <c r="H23" s="6">
        <v>73.949972720000005</v>
      </c>
      <c r="I23" s="2"/>
      <c r="J23" s="7">
        <f t="shared" si="1"/>
        <v>0</v>
      </c>
      <c r="K23" s="2"/>
      <c r="L23" s="6">
        <f t="shared" si="2"/>
        <v>22.380027279999993</v>
      </c>
      <c r="M23" s="2"/>
      <c r="N23" s="7">
        <f t="shared" si="3"/>
        <v>0.30263739737590523</v>
      </c>
      <c r="O23" s="11"/>
      <c r="P23" s="6">
        <v>847.71</v>
      </c>
      <c r="Q23" s="2"/>
      <c r="R23" s="7">
        <f t="shared" si="4"/>
        <v>0</v>
      </c>
      <c r="S23" s="2"/>
      <c r="T23" s="6">
        <v>858.7899463</v>
      </c>
      <c r="U23" s="2"/>
      <c r="V23" s="7">
        <f t="shared" si="5"/>
        <v>0</v>
      </c>
      <c r="W23" s="2"/>
      <c r="X23" s="6">
        <f t="shared" si="6"/>
        <v>-11.079946299999961</v>
      </c>
      <c r="Y23" s="2"/>
      <c r="Z23" s="7">
        <f t="shared" si="7"/>
        <v>-1.2901811843206438E-2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724</v>
      </c>
      <c r="E24" s="2"/>
      <c r="F24" s="7">
        <f t="shared" si="0"/>
        <v>0</v>
      </c>
      <c r="G24" s="2"/>
      <c r="H24" s="6">
        <v>724.55319919999999</v>
      </c>
      <c r="I24" s="2"/>
      <c r="J24" s="7">
        <f t="shared" si="1"/>
        <v>0</v>
      </c>
      <c r="K24" s="2"/>
      <c r="L24" s="6">
        <f t="shared" si="2"/>
        <v>-0.55319919999999456</v>
      </c>
      <c r="M24" s="2"/>
      <c r="N24" s="7">
        <f t="shared" si="3"/>
        <v>-7.6350390918264899E-4</v>
      </c>
      <c r="O24" s="11"/>
      <c r="P24" s="6">
        <v>6222.07</v>
      </c>
      <c r="Q24" s="2"/>
      <c r="R24" s="7">
        <f t="shared" si="4"/>
        <v>0</v>
      </c>
      <c r="S24" s="2"/>
      <c r="T24" s="6">
        <v>6168.1156930000006</v>
      </c>
      <c r="U24" s="2"/>
      <c r="V24" s="7">
        <f t="shared" si="5"/>
        <v>0</v>
      </c>
      <c r="W24" s="2"/>
      <c r="X24" s="6">
        <f t="shared" si="6"/>
        <v>53.954306999999062</v>
      </c>
      <c r="Y24" s="2"/>
      <c r="Z24" s="7">
        <f t="shared" si="7"/>
        <v>8.7472916665992662E-3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167.96</v>
      </c>
      <c r="E26" s="2"/>
      <c r="F26" s="7">
        <f t="shared" si="0"/>
        <v>0</v>
      </c>
      <c r="G26" s="2"/>
      <c r="H26" s="6">
        <v>631.224604</v>
      </c>
      <c r="I26" s="2"/>
      <c r="J26" s="7">
        <f t="shared" si="1"/>
        <v>0</v>
      </c>
      <c r="K26" s="2"/>
      <c r="L26" s="6">
        <f t="shared" si="2"/>
        <v>-463.26460399999996</v>
      </c>
      <c r="M26" s="2"/>
      <c r="N26" s="7">
        <f t="shared" si="3"/>
        <v>-0.73391404749489131</v>
      </c>
      <c r="O26" s="11"/>
      <c r="P26" s="6">
        <v>2682.39</v>
      </c>
      <c r="Q26" s="2"/>
      <c r="R26" s="7">
        <f t="shared" si="4"/>
        <v>0</v>
      </c>
      <c r="S26" s="2"/>
      <c r="T26" s="6">
        <v>5363.4712850000005</v>
      </c>
      <c r="U26" s="2"/>
      <c r="V26" s="7">
        <f t="shared" si="5"/>
        <v>0</v>
      </c>
      <c r="W26" s="2"/>
      <c r="X26" s="6">
        <f t="shared" si="6"/>
        <v>-2681.0812850000007</v>
      </c>
      <c r="Y26" s="2"/>
      <c r="Z26" s="7">
        <f t="shared" si="7"/>
        <v>-0.49987799738914801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389.2</v>
      </c>
      <c r="E27" s="2"/>
      <c r="F27" s="7">
        <f t="shared" si="0"/>
        <v>0</v>
      </c>
      <c r="G27" s="2"/>
      <c r="H27" s="6">
        <v>554.47808799999996</v>
      </c>
      <c r="I27" s="2"/>
      <c r="J27" s="7">
        <f t="shared" si="1"/>
        <v>0</v>
      </c>
      <c r="K27" s="2"/>
      <c r="L27" s="6">
        <f t="shared" si="2"/>
        <v>-165.27808799999997</v>
      </c>
      <c r="M27" s="2"/>
      <c r="N27" s="7">
        <f t="shared" si="3"/>
        <v>-0.29807866456212417</v>
      </c>
      <c r="O27" s="11"/>
      <c r="P27" s="6">
        <v>4090.89</v>
      </c>
      <c r="Q27" s="2"/>
      <c r="R27" s="7">
        <f t="shared" si="4"/>
        <v>0</v>
      </c>
      <c r="S27" s="2"/>
      <c r="T27" s="6">
        <v>5606.1165199999996</v>
      </c>
      <c r="U27" s="2"/>
      <c r="V27" s="7">
        <f t="shared" si="5"/>
        <v>0</v>
      </c>
      <c r="W27" s="2"/>
      <c r="X27" s="6">
        <f t="shared" si="6"/>
        <v>-1515.2265199999997</v>
      </c>
      <c r="Y27" s="2"/>
      <c r="Z27" s="7">
        <f t="shared" si="7"/>
        <v>-0.27028095377510986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322.06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322.06</v>
      </c>
      <c r="M28" s="2"/>
      <c r="N28" s="7">
        <f t="shared" si="3"/>
        <v>0</v>
      </c>
      <c r="O28" s="11"/>
      <c r="P28" s="6">
        <v>2575.9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2575.9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26952.080000000002</v>
      </c>
      <c r="E29" s="1"/>
      <c r="F29" s="5">
        <f t="shared" ref="F29:F39" si="8">IF(D$12=0,0,D29/D$12)</f>
        <v>0</v>
      </c>
      <c r="G29" s="1"/>
      <c r="H29" s="1">
        <f>SUM(OSRRefH22_1x_0)</f>
        <v>27474.071108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-521.99110799999835</v>
      </c>
      <c r="M29" s="1"/>
      <c r="N29" s="5">
        <f t="shared" ref="N29:N39" si="11">IF(H29=0,0,L29/H29)</f>
        <v>-1.8999408786126461E-2</v>
      </c>
      <c r="O29" s="13"/>
      <c r="P29" s="1">
        <f>SUM(OSRRefP22_1x_0)</f>
        <v>319300.24000000005</v>
      </c>
      <c r="Q29" s="1"/>
      <c r="R29" s="5">
        <f t="shared" ref="R29:R39" si="12">IF(P$12=0,0,P29/P$12)</f>
        <v>0</v>
      </c>
      <c r="S29" s="1"/>
      <c r="T29" s="1">
        <f>SUM(OSRRefT22_1x_0)</f>
        <v>322071.46319500002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-2771.2231949999696</v>
      </c>
      <c r="Y29" s="1"/>
      <c r="Z29" s="5">
        <f t="shared" ref="Z29:Z39" si="15">IF(T29=0,0,X29/T29)</f>
        <v>-8.6043735992906538E-3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3807.2751079999994</v>
      </c>
      <c r="I30" s="2"/>
      <c r="J30" s="7">
        <f t="shared" si="9"/>
        <v>0</v>
      </c>
      <c r="K30" s="2"/>
      <c r="L30" s="6">
        <f t="shared" si="10"/>
        <v>-3807.2751079999994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33313.657195</v>
      </c>
      <c r="U30" s="2"/>
      <c r="V30" s="7">
        <f t="shared" si="13"/>
        <v>0</v>
      </c>
      <c r="W30" s="2"/>
      <c r="X30" s="6">
        <f t="shared" si="14"/>
        <v>-33313.657195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8021.84</v>
      </c>
      <c r="E31" s="2"/>
      <c r="F31" s="7">
        <f t="shared" si="8"/>
        <v>0</v>
      </c>
      <c r="G31" s="2"/>
      <c r="H31" s="6">
        <v>3649.5360000000001</v>
      </c>
      <c r="I31" s="2"/>
      <c r="J31" s="7">
        <f t="shared" si="9"/>
        <v>0</v>
      </c>
      <c r="K31" s="2"/>
      <c r="L31" s="6">
        <f t="shared" si="10"/>
        <v>4372.3040000000001</v>
      </c>
      <c r="M31" s="2"/>
      <c r="N31" s="7">
        <f t="shared" si="11"/>
        <v>1.1980438061167229</v>
      </c>
      <c r="O31" s="11"/>
      <c r="P31" s="6">
        <v>68828.240000000005</v>
      </c>
      <c r="Q31" s="2"/>
      <c r="R31" s="7">
        <f t="shared" si="12"/>
        <v>0</v>
      </c>
      <c r="S31" s="2"/>
      <c r="T31" s="6">
        <v>30176.256000000001</v>
      </c>
      <c r="U31" s="2"/>
      <c r="V31" s="7">
        <f t="shared" si="13"/>
        <v>0</v>
      </c>
      <c r="W31" s="2"/>
      <c r="X31" s="6">
        <f t="shared" si="14"/>
        <v>38651.984000000004</v>
      </c>
      <c r="Y31" s="2"/>
      <c r="Z31" s="7">
        <f t="shared" si="15"/>
        <v>1.2808740752994674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3460.8</v>
      </c>
      <c r="I33" s="2"/>
      <c r="J33" s="7">
        <f t="shared" si="9"/>
        <v>0</v>
      </c>
      <c r="K33" s="2"/>
      <c r="L33" s="6">
        <f t="shared" si="10"/>
        <v>-3460.8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30282</v>
      </c>
      <c r="U33" s="2"/>
      <c r="V33" s="7">
        <f t="shared" si="13"/>
        <v>0</v>
      </c>
      <c r="W33" s="2"/>
      <c r="X33" s="6">
        <f t="shared" si="14"/>
        <v>-30282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2253.9299999999998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2253.9299999999998</v>
      </c>
      <c r="M34" s="2"/>
      <c r="N34" s="7">
        <f t="shared" si="11"/>
        <v>0</v>
      </c>
      <c r="O34" s="11"/>
      <c r="P34" s="6">
        <v>16374.14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16374.14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>
        <v>868.04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868.04</v>
      </c>
      <c r="M35" s="2"/>
      <c r="N35" s="7">
        <f t="shared" si="11"/>
        <v>0</v>
      </c>
      <c r="O35" s="11"/>
      <c r="P35" s="6">
        <v>10845.22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10845.22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13889.32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13889.32</v>
      </c>
      <c r="M36" s="2"/>
      <c r="N36" s="7">
        <f t="shared" si="11"/>
        <v>0</v>
      </c>
      <c r="O36" s="11"/>
      <c r="P36" s="6">
        <v>212127.80000000002</v>
      </c>
      <c r="Q36" s="2"/>
      <c r="R36" s="7">
        <f t="shared" si="12"/>
        <v>0</v>
      </c>
      <c r="S36" s="2"/>
      <c r="T36" s="6">
        <v>46139.25</v>
      </c>
      <c r="U36" s="2"/>
      <c r="V36" s="7">
        <f t="shared" si="13"/>
        <v>0</v>
      </c>
      <c r="W36" s="2"/>
      <c r="X36" s="6">
        <f t="shared" si="14"/>
        <v>165988.55000000002</v>
      </c>
      <c r="Y36" s="2"/>
      <c r="Z36" s="7">
        <f t="shared" si="15"/>
        <v>3.5975563105165347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1918.95</v>
      </c>
      <c r="E37" s="2"/>
      <c r="F37" s="7">
        <f t="shared" si="8"/>
        <v>0</v>
      </c>
      <c r="G37" s="2"/>
      <c r="H37" s="6">
        <v>16556.46</v>
      </c>
      <c r="I37" s="2"/>
      <c r="J37" s="7">
        <f t="shared" si="9"/>
        <v>0</v>
      </c>
      <c r="K37" s="2"/>
      <c r="L37" s="6">
        <f t="shared" si="10"/>
        <v>-14637.509999999998</v>
      </c>
      <c r="M37" s="2"/>
      <c r="N37" s="7">
        <f t="shared" si="11"/>
        <v>-0.88409660036022186</v>
      </c>
      <c r="O37" s="11"/>
      <c r="P37" s="6">
        <v>11124.84</v>
      </c>
      <c r="Q37" s="2"/>
      <c r="R37" s="7">
        <f t="shared" si="12"/>
        <v>0</v>
      </c>
      <c r="S37" s="2"/>
      <c r="T37" s="6">
        <v>182160.30000000002</v>
      </c>
      <c r="U37" s="2"/>
      <c r="V37" s="7">
        <f t="shared" si="13"/>
        <v>0</v>
      </c>
      <c r="W37" s="2"/>
      <c r="X37" s="6">
        <f t="shared" si="14"/>
        <v>-171035.46000000002</v>
      </c>
      <c r="Y37" s="2"/>
      <c r="Z37" s="7">
        <f t="shared" si="15"/>
        <v>-0.9389282955726358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0</v>
      </c>
      <c r="M40" s="1"/>
      <c r="N40" s="5">
        <f t="shared" ref="N40:N52" si="19">IF(H40=0,0,L40/H40)</f>
        <v>0</v>
      </c>
      <c r="O40" s="13"/>
      <c r="P40" s="1">
        <f>SUM(OSRRefP22_2x_0)</f>
        <v>360</v>
      </c>
      <c r="Q40" s="1"/>
      <c r="R40" s="5">
        <f t="shared" ref="R40:R52" si="20">IF(P$12=0,0,P40/P$12)</f>
        <v>0</v>
      </c>
      <c r="S40" s="1"/>
      <c r="T40" s="1">
        <f>SUM(OSRRefT22_2x_0)</f>
        <v>800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-440</v>
      </c>
      <c r="Y40" s="1"/>
      <c r="Z40" s="5">
        <f t="shared" ref="Z40:Z52" si="23">IF(T40=0,0,X40/T40)</f>
        <v>-0.55000000000000004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360</v>
      </c>
      <c r="Q41" s="2"/>
      <c r="R41" s="7">
        <f t="shared" si="20"/>
        <v>0</v>
      </c>
      <c r="S41" s="2"/>
      <c r="T41" s="6">
        <v>800</v>
      </c>
      <c r="U41" s="2"/>
      <c r="V41" s="7">
        <f t="shared" si="21"/>
        <v>0</v>
      </c>
      <c r="W41" s="2"/>
      <c r="X41" s="6">
        <f t="shared" si="22"/>
        <v>-440</v>
      </c>
      <c r="Y41" s="2"/>
      <c r="Z41" s="7">
        <f t="shared" si="23"/>
        <v>-0.55000000000000004</v>
      </c>
    </row>
    <row r="42" spans="1:26" s="27" customFormat="1" outlineLevel="1" collapsed="1" x14ac:dyDescent="0.25">
      <c r="A42" s="26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400</v>
      </c>
      <c r="U42" s="1"/>
      <c r="V42" s="5">
        <f t="shared" si="21"/>
        <v>0</v>
      </c>
      <c r="W42" s="1"/>
      <c r="X42" s="1">
        <f t="shared" si="22"/>
        <v>-400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400</v>
      </c>
      <c r="U43" s="2"/>
      <c r="V43" s="7">
        <f t="shared" si="21"/>
        <v>0</v>
      </c>
      <c r="W43" s="2"/>
      <c r="X43" s="6">
        <f t="shared" si="22"/>
        <v>-400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-33.739999999999995</v>
      </c>
      <c r="M44" s="1"/>
      <c r="N44" s="5">
        <f t="shared" si="19"/>
        <v>-0.26991999999999994</v>
      </c>
      <c r="O44" s="13"/>
      <c r="P44" s="1">
        <f>SUM(OSRRefP22_4x_0)</f>
        <v>792.94</v>
      </c>
      <c r="Q44" s="1"/>
      <c r="R44" s="5">
        <f t="shared" si="20"/>
        <v>0</v>
      </c>
      <c r="S44" s="1"/>
      <c r="T44" s="1">
        <f>SUM(OSRRefT22_4x_0)</f>
        <v>1000</v>
      </c>
      <c r="U44" s="1"/>
      <c r="V44" s="5">
        <f t="shared" si="21"/>
        <v>0</v>
      </c>
      <c r="W44" s="1"/>
      <c r="X44" s="1">
        <f t="shared" si="22"/>
        <v>-207.05999999999995</v>
      </c>
      <c r="Y44" s="1"/>
      <c r="Z44" s="5">
        <f t="shared" si="23"/>
        <v>-0.20705999999999994</v>
      </c>
    </row>
    <row r="45" spans="1:26" s="24" customFormat="1" hidden="1" outlineLevel="2" x14ac:dyDescent="0.25">
      <c r="A45" s="25"/>
      <c r="B45" s="11" t="str">
        <f>CONCATENATE("          ", "6351", " - ", "EQUIPMENT RENTAL")</f>
        <v xml:space="preserve">          6351 - EQUIPMENT RENTAL</v>
      </c>
      <c r="C45" s="11"/>
      <c r="D45" s="6">
        <v>91.26</v>
      </c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-33.739999999999995</v>
      </c>
      <c r="M45" s="2"/>
      <c r="N45" s="7">
        <f t="shared" si="19"/>
        <v>-0.26991999999999994</v>
      </c>
      <c r="O45" s="11"/>
      <c r="P45" s="6">
        <v>792.94</v>
      </c>
      <c r="Q45" s="2"/>
      <c r="R45" s="7">
        <f t="shared" si="20"/>
        <v>0</v>
      </c>
      <c r="S45" s="2"/>
      <c r="T45" s="6">
        <v>1000</v>
      </c>
      <c r="U45" s="2"/>
      <c r="V45" s="7">
        <f t="shared" si="21"/>
        <v>0</v>
      </c>
      <c r="W45" s="2"/>
      <c r="X45" s="6">
        <f t="shared" si="22"/>
        <v>-207.05999999999995</v>
      </c>
      <c r="Y45" s="2"/>
      <c r="Z45" s="7">
        <f t="shared" si="23"/>
        <v>-0.20705999999999994</v>
      </c>
    </row>
    <row r="46" spans="1:26" s="27" customFormat="1" outlineLevel="1" collapsed="1" x14ac:dyDescent="0.25">
      <c r="A46" s="26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2115.9499999999998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2105.9499999999998</v>
      </c>
      <c r="M46" s="1"/>
      <c r="N46" s="5">
        <f t="shared" si="19"/>
        <v>210.59499999999997</v>
      </c>
      <c r="O46" s="13"/>
      <c r="P46" s="1">
        <f>SUM(OSRRefP22_5x_0)</f>
        <v>3081.9</v>
      </c>
      <c r="Q46" s="1"/>
      <c r="R46" s="5">
        <f t="shared" si="20"/>
        <v>0</v>
      </c>
      <c r="S46" s="1"/>
      <c r="T46" s="1">
        <f>SUM(OSRRefT22_5x_0)</f>
        <v>80</v>
      </c>
      <c r="U46" s="1"/>
      <c r="V46" s="5">
        <f t="shared" si="21"/>
        <v>0</v>
      </c>
      <c r="W46" s="1"/>
      <c r="X46" s="1">
        <f t="shared" si="22"/>
        <v>3001.9</v>
      </c>
      <c r="Y46" s="1"/>
      <c r="Z46" s="5">
        <f t="shared" si="23"/>
        <v>37.52375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6">
        <v>2115.9499999999998</v>
      </c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2105.9499999999998</v>
      </c>
      <c r="M47" s="2"/>
      <c r="N47" s="7">
        <f t="shared" si="19"/>
        <v>210.59499999999997</v>
      </c>
      <c r="O47" s="11"/>
      <c r="P47" s="6">
        <v>3081.9</v>
      </c>
      <c r="Q47" s="2"/>
      <c r="R47" s="7">
        <f t="shared" si="20"/>
        <v>0</v>
      </c>
      <c r="S47" s="2"/>
      <c r="T47" s="6">
        <v>80</v>
      </c>
      <c r="U47" s="2"/>
      <c r="V47" s="7">
        <f t="shared" si="21"/>
        <v>0</v>
      </c>
      <c r="W47" s="2"/>
      <c r="X47" s="6">
        <f t="shared" si="22"/>
        <v>3001.9</v>
      </c>
      <c r="Y47" s="2"/>
      <c r="Z47" s="7">
        <f t="shared" si="23"/>
        <v>37.52375</v>
      </c>
    </row>
    <row r="48" spans="1:26" s="27" customFormat="1" outlineLevel="1" collapsed="1" x14ac:dyDescent="0.25">
      <c r="A48" s="26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89.45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89.45</v>
      </c>
      <c r="Y49" s="2"/>
      <c r="Z49" s="7">
        <f t="shared" si="23"/>
        <v>0</v>
      </c>
    </row>
    <row r="50" spans="1:26" s="27" customFormat="1" outlineLevel="1" collapsed="1" x14ac:dyDescent="0.25">
      <c r="A50" s="26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SUM(OSRRefD22_7x_0)</f>
        <v>90.18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-34.819999999999993</v>
      </c>
      <c r="M50" s="1"/>
      <c r="N50" s="5">
        <f t="shared" si="19"/>
        <v>-0.27855999999999992</v>
      </c>
      <c r="O50" s="13"/>
      <c r="P50" s="1">
        <f>SUM(OSRRefP22_7x_0)</f>
        <v>341.73</v>
      </c>
      <c r="Q50" s="1"/>
      <c r="R50" s="5">
        <f t="shared" si="20"/>
        <v>0</v>
      </c>
      <c r="S50" s="1"/>
      <c r="T50" s="1">
        <f>SUM(OSRRefT22_7x_0)</f>
        <v>1000</v>
      </c>
      <c r="U50" s="1"/>
      <c r="V50" s="5">
        <f t="shared" si="21"/>
        <v>0</v>
      </c>
      <c r="W50" s="1"/>
      <c r="X50" s="1">
        <f t="shared" si="22"/>
        <v>-658.27</v>
      </c>
      <c r="Y50" s="1"/>
      <c r="Z50" s="5">
        <f t="shared" si="23"/>
        <v>-0.65827000000000002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6">
        <v>90.18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90.18</v>
      </c>
      <c r="M51" s="2"/>
      <c r="N51" s="7">
        <f t="shared" si="19"/>
        <v>0</v>
      </c>
      <c r="O51" s="11"/>
      <c r="P51" s="6">
        <v>149.4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149.4</v>
      </c>
      <c r="Y51" s="2"/>
      <c r="Z51" s="7">
        <f t="shared" si="23"/>
        <v>0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16"/>
        <v>0</v>
      </c>
      <c r="G52" s="2"/>
      <c r="H52" s="6">
        <v>125</v>
      </c>
      <c r="I52" s="2"/>
      <c r="J52" s="7">
        <f t="shared" si="17"/>
        <v>0</v>
      </c>
      <c r="K52" s="2"/>
      <c r="L52" s="6">
        <f t="shared" si="18"/>
        <v>-125</v>
      </c>
      <c r="M52" s="2"/>
      <c r="N52" s="7">
        <f t="shared" si="19"/>
        <v>-1</v>
      </c>
      <c r="O52" s="11"/>
      <c r="P52" s="6">
        <v>192.33</v>
      </c>
      <c r="Q52" s="2"/>
      <c r="R52" s="7">
        <f t="shared" si="20"/>
        <v>0</v>
      </c>
      <c r="S52" s="2"/>
      <c r="T52" s="6">
        <v>1000</v>
      </c>
      <c r="U52" s="2"/>
      <c r="V52" s="7">
        <f t="shared" si="21"/>
        <v>0</v>
      </c>
      <c r="W52" s="2"/>
      <c r="X52" s="6">
        <f t="shared" si="22"/>
        <v>-807.67</v>
      </c>
      <c r="Y52" s="2"/>
      <c r="Z52" s="7">
        <f t="shared" si="23"/>
        <v>-0.80767</v>
      </c>
    </row>
    <row r="53" spans="1:26" s="27" customFormat="1" outlineLevel="1" collapsed="1" x14ac:dyDescent="0.25">
      <c r="A53" s="26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SUM(OSRRefD22_8x_0)</f>
        <v>-486.64</v>
      </c>
      <c r="E53" s="1"/>
      <c r="F53" s="5">
        <f t="shared" ref="F53:F57" si="24">IF(D$12=0,0,D53/D$12)</f>
        <v>0</v>
      </c>
      <c r="G53" s="1"/>
      <c r="H53" s="1">
        <f>SUM(OSRRefH22_8x_0)</f>
        <v>450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-936.64</v>
      </c>
      <c r="M53" s="1"/>
      <c r="N53" s="5">
        <f t="shared" ref="N53:N57" si="27">IF(H53=0,0,L53/H53)</f>
        <v>-2.0814222222222223</v>
      </c>
      <c r="O53" s="13"/>
      <c r="P53" s="1">
        <f>SUM(OSRRefP22_8x_0)</f>
        <v>2394.75</v>
      </c>
      <c r="Q53" s="1"/>
      <c r="R53" s="5">
        <f t="shared" ref="R53:R57" si="28">IF(P$12=0,0,P53/P$12)</f>
        <v>0</v>
      </c>
      <c r="S53" s="1"/>
      <c r="T53" s="1">
        <f>SUM(OSRRefT22_8x_0)</f>
        <v>5100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-2705.25</v>
      </c>
      <c r="Y53" s="1"/>
      <c r="Z53" s="5">
        <f t="shared" ref="Z53:Z57" si="31">IF(T53=0,0,X53/T53)</f>
        <v>-0.53044117647058819</v>
      </c>
    </row>
    <row r="54" spans="1:26" s="24" customFormat="1" hidden="1" outlineLevel="2" x14ac:dyDescent="0.25">
      <c r="A54" s="25"/>
      <c r="B54" s="11" t="str">
        <f>CONCATENATE("          ", "6237", " - ", "JANITORIAL SUPPLIES")</f>
        <v xml:space="preserve">          6237 - JANITORIAL SUPPLIES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226.95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226.95</v>
      </c>
      <c r="Y54" s="2"/>
      <c r="Z54" s="7">
        <f t="shared" si="31"/>
        <v>0</v>
      </c>
    </row>
    <row r="55" spans="1:26" s="24" customFormat="1" hidden="1" outlineLevel="2" x14ac:dyDescent="0.25">
      <c r="A55" s="25"/>
      <c r="B55" s="11" t="str">
        <f>CONCATENATE("          ", "6241", " - ", "OFFICE EXPENSE")</f>
        <v xml:space="preserve">          6241 - OFFICE EXPENSE</v>
      </c>
      <c r="C55" s="11"/>
      <c r="D55" s="6">
        <v>-486.64</v>
      </c>
      <c r="E55" s="2"/>
      <c r="F55" s="7">
        <f t="shared" si="24"/>
        <v>0</v>
      </c>
      <c r="G55" s="2"/>
      <c r="H55" s="6">
        <v>150</v>
      </c>
      <c r="I55" s="2"/>
      <c r="J55" s="7">
        <f t="shared" si="25"/>
        <v>0</v>
      </c>
      <c r="K55" s="2"/>
      <c r="L55" s="6">
        <f t="shared" si="26"/>
        <v>-636.64</v>
      </c>
      <c r="M55" s="2"/>
      <c r="N55" s="7">
        <f t="shared" si="27"/>
        <v>-4.2442666666666664</v>
      </c>
      <c r="O55" s="11"/>
      <c r="P55" s="6">
        <v>1533.07</v>
      </c>
      <c r="Q55" s="2"/>
      <c r="R55" s="7">
        <f t="shared" si="28"/>
        <v>0</v>
      </c>
      <c r="S55" s="2"/>
      <c r="T55" s="6">
        <v>1700</v>
      </c>
      <c r="U55" s="2"/>
      <c r="V55" s="7">
        <f t="shared" si="29"/>
        <v>0</v>
      </c>
      <c r="W55" s="2"/>
      <c r="X55" s="6">
        <f t="shared" si="30"/>
        <v>-166.93000000000006</v>
      </c>
      <c r="Y55" s="2"/>
      <c r="Z55" s="7">
        <f t="shared" si="31"/>
        <v>-9.8194117647058862E-2</v>
      </c>
    </row>
    <row r="56" spans="1:26" s="24" customFormat="1" hidden="1" outlineLevel="2" x14ac:dyDescent="0.25">
      <c r="A56" s="25"/>
      <c r="B56" s="11" t="str">
        <f>CONCATENATE("          ", "6243", " - ", "PAPER SUPPLIES")</f>
        <v xml:space="preserve">          6243 - PAPER SUPPLIES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1000</v>
      </c>
      <c r="U56" s="2"/>
      <c r="V56" s="7">
        <f t="shared" si="29"/>
        <v>0</v>
      </c>
      <c r="W56" s="2"/>
      <c r="X56" s="6">
        <f t="shared" si="30"/>
        <v>-1000</v>
      </c>
      <c r="Y56" s="2"/>
      <c r="Z56" s="7">
        <f t="shared" si="31"/>
        <v>-1</v>
      </c>
    </row>
    <row r="57" spans="1:26" s="24" customFormat="1" hidden="1" outlineLevel="2" x14ac:dyDescent="0.25">
      <c r="A57" s="25"/>
      <c r="B57" s="11" t="str">
        <f>CONCATENATE("          ", "6247", " - ", "STORE SUPPLIES")</f>
        <v xml:space="preserve">          6247 - STORE SUPPLIES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634.73</v>
      </c>
      <c r="Q57" s="2"/>
      <c r="R57" s="7">
        <f t="shared" si="28"/>
        <v>0</v>
      </c>
      <c r="S57" s="2"/>
      <c r="T57" s="6">
        <v>2400</v>
      </c>
      <c r="U57" s="2"/>
      <c r="V57" s="7">
        <f t="shared" si="29"/>
        <v>0</v>
      </c>
      <c r="W57" s="2"/>
      <c r="X57" s="6">
        <f t="shared" si="30"/>
        <v>-1765.27</v>
      </c>
      <c r="Y57" s="2"/>
      <c r="Z57" s="7">
        <f t="shared" si="31"/>
        <v>-0.73552916666666668</v>
      </c>
    </row>
    <row r="58" spans="1:26" s="27" customFormat="1" outlineLevel="1" collapsed="1" x14ac:dyDescent="0.25">
      <c r="A58" s="26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SUM(OSRRefD22_9x_0)</f>
        <v>144.25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-20.75</v>
      </c>
      <c r="M58" s="1"/>
      <c r="N58" s="5">
        <f t="shared" ref="N58:N61" si="35">IF(H58=0,0,L58/H58)</f>
        <v>-0.12575757575757576</v>
      </c>
      <c r="O58" s="13"/>
      <c r="P58" s="1">
        <f>SUM(OSRRefP22_9x_0)</f>
        <v>1226.1500000000001</v>
      </c>
      <c r="Q58" s="1"/>
      <c r="R58" s="5">
        <f t="shared" ref="R58:R61" si="36">IF(P$12=0,0,P58/P$12)</f>
        <v>0</v>
      </c>
      <c r="S58" s="1"/>
      <c r="T58" s="1">
        <f>SUM(OSRRefT22_9x_0)</f>
        <v>1320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-93.849999999999909</v>
      </c>
      <c r="Y58" s="1"/>
      <c r="Z58" s="5">
        <f t="shared" ref="Z58:Z61" si="39">IF(T58=0,0,X58/T58)</f>
        <v>-7.1098484848484786E-2</v>
      </c>
    </row>
    <row r="59" spans="1:26" s="24" customFormat="1" hidden="1" outlineLevel="2" x14ac:dyDescent="0.25">
      <c r="A59" s="25"/>
      <c r="B59" s="11" t="str">
        <f>CONCATENATE("          ", "6309", " - ", "TELEPHONE")</f>
        <v xml:space="preserve">          6309 - TELEPHONE</v>
      </c>
      <c r="C59" s="11"/>
      <c r="D59" s="6">
        <v>144.25</v>
      </c>
      <c r="E59" s="2"/>
      <c r="F59" s="7">
        <f t="shared" si="32"/>
        <v>0</v>
      </c>
      <c r="G59" s="2"/>
      <c r="H59" s="6">
        <v>165</v>
      </c>
      <c r="I59" s="2"/>
      <c r="J59" s="7">
        <f t="shared" si="33"/>
        <v>0</v>
      </c>
      <c r="K59" s="2"/>
      <c r="L59" s="6">
        <f t="shared" si="34"/>
        <v>-20.75</v>
      </c>
      <c r="M59" s="2"/>
      <c r="N59" s="7">
        <f t="shared" si="35"/>
        <v>-0.12575757575757576</v>
      </c>
      <c r="O59" s="11"/>
      <c r="P59" s="6">
        <v>1226.1500000000001</v>
      </c>
      <c r="Q59" s="2"/>
      <c r="R59" s="7">
        <f t="shared" si="36"/>
        <v>0</v>
      </c>
      <c r="S59" s="2"/>
      <c r="T59" s="6">
        <v>1320</v>
      </c>
      <c r="U59" s="2"/>
      <c r="V59" s="7">
        <f t="shared" si="37"/>
        <v>0</v>
      </c>
      <c r="W59" s="2"/>
      <c r="X59" s="6">
        <f t="shared" si="38"/>
        <v>-93.849999999999909</v>
      </c>
      <c r="Y59" s="2"/>
      <c r="Z59" s="7">
        <f t="shared" si="39"/>
        <v>-7.1098484848484786E-2</v>
      </c>
    </row>
    <row r="60" spans="1:26" s="27" customFormat="1" outlineLevel="1" collapsed="1" x14ac:dyDescent="0.25">
      <c r="A60" s="26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3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750</v>
      </c>
      <c r="U60" s="1"/>
      <c r="V60" s="5">
        <f t="shared" si="37"/>
        <v>0</v>
      </c>
      <c r="W60" s="1"/>
      <c r="X60" s="1">
        <f t="shared" si="38"/>
        <v>-670</v>
      </c>
      <c r="Y60" s="1"/>
      <c r="Z60" s="5">
        <f t="shared" si="39"/>
        <v>-0.89333333333333331</v>
      </c>
    </row>
    <row r="61" spans="1:26" s="24" customFormat="1" hidden="1" outlineLevel="2" x14ac:dyDescent="0.25">
      <c r="A61" s="25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80</v>
      </c>
      <c r="Q61" s="2"/>
      <c r="R61" s="7">
        <f t="shared" si="36"/>
        <v>0</v>
      </c>
      <c r="S61" s="2"/>
      <c r="T61" s="6">
        <v>750</v>
      </c>
      <c r="U61" s="2"/>
      <c r="V61" s="7">
        <f t="shared" si="37"/>
        <v>0</v>
      </c>
      <c r="W61" s="2"/>
      <c r="X61" s="6">
        <f t="shared" si="38"/>
        <v>-670</v>
      </c>
      <c r="Y61" s="2"/>
      <c r="Z61" s="7">
        <f t="shared" si="39"/>
        <v>-0.89333333333333331</v>
      </c>
    </row>
    <row r="62" spans="1:26" s="53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1">
        <f>+D16-D18+D63</f>
        <v>-34283.75</v>
      </c>
      <c r="E65" s="14"/>
      <c r="F65" s="22">
        <f>IF(D$12=0,0,D65/D$12)</f>
        <v>0</v>
      </c>
      <c r="G65" s="14"/>
      <c r="H65" s="21">
        <f>+H16-H18+H63</f>
        <v>-32496.303739635998</v>
      </c>
      <c r="I65" s="14"/>
      <c r="J65" s="22">
        <f>IF(H$12=0,0,H65/H$12)</f>
        <v>0</v>
      </c>
      <c r="K65" s="15"/>
      <c r="L65" s="21">
        <f>+D65-H65</f>
        <v>-1787.4462603640022</v>
      </c>
      <c r="M65" s="15"/>
      <c r="N65" s="22">
        <f>IF(H65=0,0,L65/H65)</f>
        <v>5.5004602205999197E-2</v>
      </c>
      <c r="O65" s="29"/>
      <c r="P65" s="21">
        <f>+P16-P18+P63</f>
        <v>-377256.21000000014</v>
      </c>
      <c r="Q65" s="14"/>
      <c r="R65" s="22">
        <f>IF(P$12=0,0,P65/P$12)</f>
        <v>0</v>
      </c>
      <c r="S65" s="14"/>
      <c r="T65" s="21">
        <f>+T16-T18+T63</f>
        <v>-373435.15333031502</v>
      </c>
      <c r="U65" s="14"/>
      <c r="V65" s="22">
        <f>IF(T$12=0,0,T65/T$12)</f>
        <v>0</v>
      </c>
      <c r="W65" s="15"/>
      <c r="X65" s="21">
        <f>+P65-T65</f>
        <v>-3821.0566696851165</v>
      </c>
      <c r="Y65" s="15"/>
      <c r="Z65" s="22">
        <f>IF(T65=0,0,X65/T65)</f>
        <v>1.023218257737314E-2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1">
        <f>+D65-D67</f>
        <v>-34283.75</v>
      </c>
      <c r="E69" s="14"/>
      <c r="F69" s="32">
        <f>IF(D$12=0,0,D69/D$12)</f>
        <v>0</v>
      </c>
      <c r="G69" s="14"/>
      <c r="H69" s="31">
        <f>+H65-H67</f>
        <v>-32496.303739635998</v>
      </c>
      <c r="I69" s="14"/>
      <c r="J69" s="32">
        <f>IF(H$12=0,0,H69/H$12)</f>
        <v>0</v>
      </c>
      <c r="K69" s="15"/>
      <c r="L69" s="31">
        <f>D69-H69</f>
        <v>-1787.4462603640022</v>
      </c>
      <c r="M69" s="15"/>
      <c r="N69" s="32">
        <f>IF(H69=0,0,L69/H69)</f>
        <v>5.5004602205999197E-2</v>
      </c>
      <c r="O69" s="29"/>
      <c r="P69" s="31">
        <f>+P65-P67</f>
        <v>-377256.21000000014</v>
      </c>
      <c r="Q69" s="14"/>
      <c r="R69" s="32">
        <f>IF(P$12=0,0,P69/P$12)</f>
        <v>0</v>
      </c>
      <c r="S69" s="14"/>
      <c r="T69" s="31">
        <f>+T65-T67</f>
        <v>-373435.15333031502</v>
      </c>
      <c r="U69" s="14"/>
      <c r="V69" s="32">
        <f>IF(T$12=0,0,T69/T$12)</f>
        <v>0</v>
      </c>
      <c r="W69" s="15"/>
      <c r="X69" s="31">
        <f>P69-T69</f>
        <v>-3821.0566696851165</v>
      </c>
      <c r="Y69" s="15"/>
      <c r="Z69" s="32">
        <f>IF(T69=0,0,X69/T69)</f>
        <v>1.023218257737314E-2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3">
        <f>SUM(D69:D71)</f>
        <v>-34283.75</v>
      </c>
      <c r="E72" s="14"/>
      <c r="F72" s="30">
        <f>IF(D$12=0,0,D72/D$12)</f>
        <v>0</v>
      </c>
      <c r="G72" s="14"/>
      <c r="H72" s="33">
        <f>SUM(H69:H71)</f>
        <v>-32496.303739635998</v>
      </c>
      <c r="I72" s="14"/>
      <c r="J72" s="30">
        <f>IF(H$12=0,0,H72/H$12)</f>
        <v>0</v>
      </c>
      <c r="K72" s="15"/>
      <c r="L72" s="33">
        <f>+D72-H72</f>
        <v>-1787.4462603640022</v>
      </c>
      <c r="M72" s="15"/>
      <c r="N72" s="30">
        <f>IF(H72=0,0,L72/H72)</f>
        <v>5.5004602205999197E-2</v>
      </c>
      <c r="O72" s="29"/>
      <c r="P72" s="33">
        <f>SUM(P69:P71)</f>
        <v>-377256.21000000014</v>
      </c>
      <c r="Q72" s="14"/>
      <c r="R72" s="30">
        <f>IF(P$12=0,0,P72/P$12)</f>
        <v>0</v>
      </c>
      <c r="S72" s="14"/>
      <c r="T72" s="33">
        <f>SUM(T69:T71)</f>
        <v>-373435.15333031502</v>
      </c>
      <c r="U72" s="14"/>
      <c r="V72" s="30">
        <f>IF(T$12=0,0,T72/T$12)</f>
        <v>0</v>
      </c>
      <c r="W72" s="15"/>
      <c r="X72" s="33">
        <f>+P72-T72</f>
        <v>-3821.0566696851165</v>
      </c>
      <c r="Y72" s="15"/>
      <c r="Z72" s="30">
        <f>IF(T72=0,0,X72/T72)</f>
        <v>1.023218257737314E-2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9">
        <v>43908.494600844904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3" t="s">
        <v>314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7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306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116818.28</v>
      </c>
      <c r="E12" s="4"/>
      <c r="F12" s="12"/>
      <c r="G12" s="4"/>
      <c r="H12" s="4">
        <f>SUM(OSRRefH13x_0)</f>
        <v>111605</v>
      </c>
      <c r="I12" s="4"/>
      <c r="J12" s="12"/>
      <c r="K12" s="4"/>
      <c r="L12" s="4">
        <f t="shared" ref="L12:L54" si="0">+D12-H12</f>
        <v>5213.2799999999988</v>
      </c>
      <c r="M12" s="4"/>
      <c r="N12" s="12">
        <f t="shared" ref="N12:N54" si="1">IF(H12=0,0,L12/H12)</f>
        <v>4.6711885668204819E-2</v>
      </c>
      <c r="O12" s="10"/>
      <c r="P12" s="4">
        <f>SUM(OSRRefP13x_0)</f>
        <v>770703.1100000001</v>
      </c>
      <c r="Q12" s="4"/>
      <c r="R12" s="12"/>
      <c r="S12" s="4"/>
      <c r="T12" s="4">
        <f>SUM(OSRRefT13x_0)</f>
        <v>808959</v>
      </c>
      <c r="U12" s="4"/>
      <c r="V12" s="12"/>
      <c r="W12" s="4"/>
      <c r="X12" s="4">
        <f t="shared" ref="X12:X54" si="2">+P12-T12</f>
        <v>-38255.889999999898</v>
      </c>
      <c r="Y12" s="4"/>
      <c r="Z12" s="12">
        <f t="shared" ref="Z12:Z54" si="3">IF(T12=0,0,X12/T12)</f>
        <v>-4.7290270582316156E-2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91069</v>
      </c>
      <c r="I13" s="2"/>
      <c r="J13" s="19"/>
      <c r="K13" s="2"/>
      <c r="L13" s="2">
        <f t="shared" si="0"/>
        <v>-91069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683924</v>
      </c>
      <c r="U13" s="2"/>
      <c r="V13" s="19"/>
      <c r="W13" s="2"/>
      <c r="X13" s="2">
        <f t="shared" si="2"/>
        <v>-683924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--16.47</f>
        <v>16.47</v>
      </c>
      <c r="E14" s="2"/>
      <c r="F14" s="19"/>
      <c r="G14" s="2"/>
      <c r="H14" s="2"/>
      <c r="I14" s="2"/>
      <c r="J14" s="19"/>
      <c r="K14" s="2"/>
      <c r="L14" s="2">
        <f t="shared" si="0"/>
        <v>16.47</v>
      </c>
      <c r="M14" s="2"/>
      <c r="N14" s="19">
        <f t="shared" si="1"/>
        <v>0</v>
      </c>
      <c r="O14" s="11"/>
      <c r="P14" s="2">
        <f>--271.59</f>
        <v>271.58999999999997</v>
      </c>
      <c r="Q14" s="2"/>
      <c r="R14" s="19"/>
      <c r="S14" s="2"/>
      <c r="T14" s="2"/>
      <c r="U14" s="2"/>
      <c r="V14" s="19"/>
      <c r="W14" s="2"/>
      <c r="X14" s="2">
        <f t="shared" si="2"/>
        <v>271.58999999999997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--8.97</f>
        <v>8.9700000000000006</v>
      </c>
      <c r="E15" s="2"/>
      <c r="F15" s="19"/>
      <c r="G15" s="2"/>
      <c r="H15" s="2"/>
      <c r="I15" s="2"/>
      <c r="J15" s="19"/>
      <c r="K15" s="2"/>
      <c r="L15" s="2">
        <f t="shared" si="0"/>
        <v>8.9700000000000006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--11343.24</f>
        <v>11343.24</v>
      </c>
      <c r="E16" s="2"/>
      <c r="F16" s="19"/>
      <c r="G16" s="2"/>
      <c r="H16" s="2"/>
      <c r="I16" s="2"/>
      <c r="J16" s="19"/>
      <c r="K16" s="2"/>
      <c r="L16" s="2">
        <f t="shared" si="0"/>
        <v>11343.24</v>
      </c>
      <c r="M16" s="2"/>
      <c r="N16" s="19">
        <f t="shared" si="1"/>
        <v>0</v>
      </c>
      <c r="O16" s="11"/>
      <c r="P16" s="2">
        <f>--51770.07</f>
        <v>51770.07</v>
      </c>
      <c r="Q16" s="2"/>
      <c r="R16" s="19"/>
      <c r="S16" s="2"/>
      <c r="T16" s="2"/>
      <c r="U16" s="2"/>
      <c r="V16" s="19"/>
      <c r="W16" s="2"/>
      <c r="X16" s="2">
        <f t="shared" si="2"/>
        <v>51770.07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--11734.27</f>
        <v>11734.27</v>
      </c>
      <c r="E17" s="2"/>
      <c r="F17" s="19"/>
      <c r="G17" s="2"/>
      <c r="H17" s="2"/>
      <c r="I17" s="2"/>
      <c r="J17" s="19"/>
      <c r="K17" s="2"/>
      <c r="L17" s="2">
        <f t="shared" si="0"/>
        <v>11734.27</v>
      </c>
      <c r="M17" s="2"/>
      <c r="N17" s="19">
        <f t="shared" si="1"/>
        <v>0</v>
      </c>
      <c r="O17" s="11"/>
      <c r="P17" s="2">
        <f>--75249.13</f>
        <v>75249.13</v>
      </c>
      <c r="Q17" s="2"/>
      <c r="R17" s="19"/>
      <c r="S17" s="2"/>
      <c r="T17" s="2"/>
      <c r="U17" s="2"/>
      <c r="V17" s="19"/>
      <c r="W17" s="2"/>
      <c r="X17" s="2">
        <f t="shared" si="2"/>
        <v>75249.13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--30024.06</f>
        <v>30024.06</v>
      </c>
      <c r="E18" s="2"/>
      <c r="F18" s="19"/>
      <c r="G18" s="2"/>
      <c r="H18" s="2"/>
      <c r="I18" s="2"/>
      <c r="J18" s="19"/>
      <c r="K18" s="2"/>
      <c r="L18" s="2">
        <f t="shared" si="0"/>
        <v>30024.06</v>
      </c>
      <c r="M18" s="2"/>
      <c r="N18" s="19">
        <f t="shared" si="1"/>
        <v>0</v>
      </c>
      <c r="O18" s="11"/>
      <c r="P18" s="2">
        <f>--261531.74</f>
        <v>261531.74</v>
      </c>
      <c r="Q18" s="2"/>
      <c r="R18" s="19"/>
      <c r="S18" s="2"/>
      <c r="T18" s="2"/>
      <c r="U18" s="2"/>
      <c r="V18" s="19"/>
      <c r="W18" s="2"/>
      <c r="X18" s="2">
        <f t="shared" si="2"/>
        <v>261531.74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--42663.45</f>
        <v>42663.45</v>
      </c>
      <c r="E19" s="2"/>
      <c r="F19" s="19"/>
      <c r="G19" s="2"/>
      <c r="H19" s="2"/>
      <c r="I19" s="2"/>
      <c r="J19" s="19"/>
      <c r="K19" s="2"/>
      <c r="L19" s="2">
        <f t="shared" si="0"/>
        <v>42663.45</v>
      </c>
      <c r="M19" s="2"/>
      <c r="N19" s="19">
        <f t="shared" si="1"/>
        <v>0</v>
      </c>
      <c r="O19" s="11"/>
      <c r="P19" s="2">
        <f>--275336.23</f>
        <v>275336.23</v>
      </c>
      <c r="Q19" s="2"/>
      <c r="R19" s="19"/>
      <c r="S19" s="2"/>
      <c r="T19" s="2"/>
      <c r="U19" s="2"/>
      <c r="V19" s="19"/>
      <c r="W19" s="2"/>
      <c r="X19" s="2">
        <f t="shared" si="2"/>
        <v>275336.23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--92.07</f>
        <v>92.07</v>
      </c>
      <c r="E20" s="2"/>
      <c r="F20" s="19"/>
      <c r="G20" s="2"/>
      <c r="H20" s="2"/>
      <c r="I20" s="2"/>
      <c r="J20" s="19"/>
      <c r="K20" s="2"/>
      <c r="L20" s="2">
        <f t="shared" si="0"/>
        <v>92.07</v>
      </c>
      <c r="M20" s="2"/>
      <c r="N20" s="19">
        <f t="shared" si="1"/>
        <v>0</v>
      </c>
      <c r="O20" s="11"/>
      <c r="P20" s="2">
        <f>--442.04</f>
        <v>442.04</v>
      </c>
      <c r="Q20" s="2"/>
      <c r="R20" s="19"/>
      <c r="S20" s="2"/>
      <c r="T20" s="2"/>
      <c r="U20" s="2"/>
      <c r="V20" s="19"/>
      <c r="W20" s="2"/>
      <c r="X20" s="2">
        <f t="shared" si="2"/>
        <v>442.04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--555.66</f>
        <v>555.66</v>
      </c>
      <c r="E21" s="2"/>
      <c r="F21" s="19"/>
      <c r="G21" s="2"/>
      <c r="H21" s="2"/>
      <c r="I21" s="2"/>
      <c r="J21" s="19"/>
      <c r="K21" s="2"/>
      <c r="L21" s="2">
        <f t="shared" si="0"/>
        <v>555.66</v>
      </c>
      <c r="M21" s="2"/>
      <c r="N21" s="19">
        <f t="shared" si="1"/>
        <v>0</v>
      </c>
      <c r="O21" s="11"/>
      <c r="P21" s="2">
        <f>--1664.25</f>
        <v>1664.25</v>
      </c>
      <c r="Q21" s="2"/>
      <c r="R21" s="19"/>
      <c r="S21" s="2"/>
      <c r="T21" s="2"/>
      <c r="U21" s="2"/>
      <c r="V21" s="19"/>
      <c r="W21" s="2"/>
      <c r="X21" s="2">
        <f t="shared" si="2"/>
        <v>1664.25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--33.83</f>
        <v>33.83</v>
      </c>
      <c r="E22" s="2"/>
      <c r="F22" s="19"/>
      <c r="G22" s="2"/>
      <c r="H22" s="2"/>
      <c r="I22" s="2"/>
      <c r="J22" s="19"/>
      <c r="K22" s="2"/>
      <c r="L22" s="2">
        <f t="shared" si="0"/>
        <v>33.83</v>
      </c>
      <c r="M22" s="2"/>
      <c r="N22" s="19">
        <f t="shared" si="1"/>
        <v>0</v>
      </c>
      <c r="O22" s="11"/>
      <c r="P22" s="2">
        <f>--179.98</f>
        <v>179.98</v>
      </c>
      <c r="Q22" s="2"/>
      <c r="R22" s="19"/>
      <c r="S22" s="2"/>
      <c r="T22" s="2"/>
      <c r="U22" s="2"/>
      <c r="V22" s="19"/>
      <c r="W22" s="2"/>
      <c r="X22" s="2">
        <f t="shared" si="2"/>
        <v>179.98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--1452.19</f>
        <v>1452.19</v>
      </c>
      <c r="E23" s="2"/>
      <c r="F23" s="19"/>
      <c r="G23" s="2"/>
      <c r="H23" s="2"/>
      <c r="I23" s="2"/>
      <c r="J23" s="19"/>
      <c r="K23" s="2"/>
      <c r="L23" s="2">
        <f t="shared" si="0"/>
        <v>1452.19</v>
      </c>
      <c r="M23" s="2"/>
      <c r="N23" s="19">
        <f t="shared" si="1"/>
        <v>0</v>
      </c>
      <c r="O23" s="11"/>
      <c r="P23" s="2">
        <f>--7203.43</f>
        <v>7203.43</v>
      </c>
      <c r="Q23" s="2"/>
      <c r="R23" s="19"/>
      <c r="S23" s="2"/>
      <c r="T23" s="2"/>
      <c r="U23" s="2"/>
      <c r="V23" s="19"/>
      <c r="W23" s="2"/>
      <c r="X23" s="2">
        <f t="shared" si="2"/>
        <v>7203.43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--442.03</f>
        <v>442.03</v>
      </c>
      <c r="E24" s="2"/>
      <c r="F24" s="19"/>
      <c r="G24" s="2"/>
      <c r="H24" s="2"/>
      <c r="I24" s="2"/>
      <c r="J24" s="19"/>
      <c r="K24" s="2"/>
      <c r="L24" s="2">
        <f t="shared" si="0"/>
        <v>442.03</v>
      </c>
      <c r="M24" s="2"/>
      <c r="N24" s="19">
        <f t="shared" si="1"/>
        <v>0</v>
      </c>
      <c r="O24" s="11"/>
      <c r="P24" s="2">
        <f>--1880.52</f>
        <v>1880.52</v>
      </c>
      <c r="Q24" s="2"/>
      <c r="R24" s="19"/>
      <c r="S24" s="2"/>
      <c r="T24" s="2"/>
      <c r="U24" s="2"/>
      <c r="V24" s="19"/>
      <c r="W24" s="2"/>
      <c r="X24" s="2">
        <f t="shared" si="2"/>
        <v>1880.52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--74.61</f>
        <v>74.61</v>
      </c>
      <c r="E25" s="2"/>
      <c r="F25" s="19"/>
      <c r="G25" s="2"/>
      <c r="H25" s="2"/>
      <c r="I25" s="2"/>
      <c r="J25" s="19"/>
      <c r="K25" s="2"/>
      <c r="L25" s="2">
        <f t="shared" si="0"/>
        <v>74.61</v>
      </c>
      <c r="M25" s="2"/>
      <c r="N25" s="19">
        <f t="shared" si="1"/>
        <v>0</v>
      </c>
      <c r="O25" s="11"/>
      <c r="P25" s="2">
        <f>--488.71</f>
        <v>488.71</v>
      </c>
      <c r="Q25" s="2"/>
      <c r="R25" s="19"/>
      <c r="S25" s="2"/>
      <c r="T25" s="2"/>
      <c r="U25" s="2"/>
      <c r="V25" s="19"/>
      <c r="W25" s="2"/>
      <c r="X25" s="2">
        <f t="shared" si="2"/>
        <v>488.71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>--363.67</f>
        <v>363.67</v>
      </c>
      <c r="E26" s="2"/>
      <c r="F26" s="19"/>
      <c r="G26" s="2"/>
      <c r="H26" s="2"/>
      <c r="I26" s="2"/>
      <c r="J26" s="19"/>
      <c r="K26" s="2"/>
      <c r="L26" s="2">
        <f t="shared" si="0"/>
        <v>363.67</v>
      </c>
      <c r="M26" s="2"/>
      <c r="N26" s="19">
        <f t="shared" si="1"/>
        <v>0</v>
      </c>
      <c r="O26" s="11"/>
      <c r="P26" s="2">
        <f>--363.67</f>
        <v>363.67</v>
      </c>
      <c r="Q26" s="2"/>
      <c r="R26" s="19"/>
      <c r="S26" s="2"/>
      <c r="T26" s="2"/>
      <c r="U26" s="2"/>
      <c r="V26" s="19"/>
      <c r="W26" s="2"/>
      <c r="X26" s="2">
        <f t="shared" si="2"/>
        <v>363.67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>--394.76</f>
        <v>394.76</v>
      </c>
      <c r="E27" s="2"/>
      <c r="F27" s="19"/>
      <c r="G27" s="2"/>
      <c r="H27" s="2"/>
      <c r="I27" s="2"/>
      <c r="J27" s="19"/>
      <c r="K27" s="2"/>
      <c r="L27" s="2">
        <f t="shared" si="0"/>
        <v>394.76</v>
      </c>
      <c r="M27" s="2"/>
      <c r="N27" s="19">
        <f t="shared" si="1"/>
        <v>0</v>
      </c>
      <c r="O27" s="11"/>
      <c r="P27" s="2">
        <f>--427.71</f>
        <v>427.71</v>
      </c>
      <c r="Q27" s="2"/>
      <c r="R27" s="19"/>
      <c r="S27" s="2"/>
      <c r="T27" s="2"/>
      <c r="U27" s="2"/>
      <c r="V27" s="19"/>
      <c r="W27" s="2"/>
      <c r="X27" s="2">
        <f t="shared" si="2"/>
        <v>427.71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>--159.55</f>
        <v>159.55000000000001</v>
      </c>
      <c r="E28" s="2"/>
      <c r="F28" s="19"/>
      <c r="G28" s="2"/>
      <c r="H28" s="2"/>
      <c r="I28" s="2"/>
      <c r="J28" s="19"/>
      <c r="K28" s="2"/>
      <c r="L28" s="2">
        <f t="shared" si="0"/>
        <v>159.55000000000001</v>
      </c>
      <c r="M28" s="2"/>
      <c r="N28" s="19">
        <f t="shared" si="1"/>
        <v>0</v>
      </c>
      <c r="O28" s="11"/>
      <c r="P28" s="2">
        <f>--159.55</f>
        <v>159.55000000000001</v>
      </c>
      <c r="Q28" s="2"/>
      <c r="R28" s="19"/>
      <c r="S28" s="2"/>
      <c r="T28" s="2"/>
      <c r="U28" s="2"/>
      <c r="V28" s="19"/>
      <c r="W28" s="2"/>
      <c r="X28" s="2">
        <f t="shared" si="2"/>
        <v>159.55000000000001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>--308.7</f>
        <v>308.7</v>
      </c>
      <c r="E29" s="2"/>
      <c r="F29" s="19"/>
      <c r="G29" s="2"/>
      <c r="H29" s="2"/>
      <c r="I29" s="2"/>
      <c r="J29" s="19"/>
      <c r="K29" s="2"/>
      <c r="L29" s="2">
        <f t="shared" si="0"/>
        <v>308.7</v>
      </c>
      <c r="M29" s="2"/>
      <c r="N29" s="19">
        <f t="shared" si="1"/>
        <v>0</v>
      </c>
      <c r="O29" s="11"/>
      <c r="P29" s="2">
        <f>--3109.98</f>
        <v>3109.98</v>
      </c>
      <c r="Q29" s="2"/>
      <c r="R29" s="19"/>
      <c r="S29" s="2"/>
      <c r="T29" s="2"/>
      <c r="U29" s="2"/>
      <c r="V29" s="19"/>
      <c r="W29" s="2"/>
      <c r="X29" s="2">
        <f t="shared" si="2"/>
        <v>3109.98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>--76.98</f>
        <v>76.98</v>
      </c>
      <c r="E30" s="2"/>
      <c r="F30" s="19"/>
      <c r="G30" s="2"/>
      <c r="H30" s="2"/>
      <c r="I30" s="2"/>
      <c r="J30" s="19"/>
      <c r="K30" s="2"/>
      <c r="L30" s="2">
        <f t="shared" si="0"/>
        <v>76.98</v>
      </c>
      <c r="M30" s="2"/>
      <c r="N30" s="19">
        <f t="shared" si="1"/>
        <v>0</v>
      </c>
      <c r="O30" s="11"/>
      <c r="P30" s="2">
        <f>--295.98</f>
        <v>295.98</v>
      </c>
      <c r="Q30" s="2"/>
      <c r="R30" s="19"/>
      <c r="S30" s="2"/>
      <c r="T30" s="2"/>
      <c r="U30" s="2"/>
      <c r="V30" s="19"/>
      <c r="W30" s="2"/>
      <c r="X30" s="2">
        <f t="shared" si="2"/>
        <v>295.98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>--34.97</f>
        <v>34.97</v>
      </c>
      <c r="E31" s="2"/>
      <c r="F31" s="19"/>
      <c r="G31" s="2"/>
      <c r="H31" s="2"/>
      <c r="I31" s="2"/>
      <c r="J31" s="19"/>
      <c r="K31" s="2"/>
      <c r="L31" s="2">
        <f t="shared" si="0"/>
        <v>34.97</v>
      </c>
      <c r="M31" s="2"/>
      <c r="N31" s="19">
        <f t="shared" si="1"/>
        <v>0</v>
      </c>
      <c r="O31" s="11"/>
      <c r="P31" s="2">
        <f>--884.36</f>
        <v>884.36</v>
      </c>
      <c r="Q31" s="2"/>
      <c r="R31" s="19"/>
      <c r="S31" s="2"/>
      <c r="T31" s="2"/>
      <c r="U31" s="2"/>
      <c r="V31" s="19"/>
      <c r="W31" s="2"/>
      <c r="X31" s="2">
        <f t="shared" si="2"/>
        <v>884.36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>--28.98</f>
        <v>28.98</v>
      </c>
      <c r="E32" s="2"/>
      <c r="F32" s="19"/>
      <c r="G32" s="2"/>
      <c r="H32" s="2"/>
      <c r="I32" s="2"/>
      <c r="J32" s="19"/>
      <c r="K32" s="2"/>
      <c r="L32" s="2">
        <f t="shared" si="0"/>
        <v>28.98</v>
      </c>
      <c r="M32" s="2"/>
      <c r="N32" s="19">
        <f t="shared" si="1"/>
        <v>0</v>
      </c>
      <c r="O32" s="11"/>
      <c r="P32" s="2">
        <f>--804.74</f>
        <v>804.74</v>
      </c>
      <c r="Q32" s="2"/>
      <c r="R32" s="19"/>
      <c r="S32" s="2"/>
      <c r="T32" s="2"/>
      <c r="U32" s="2"/>
      <c r="V32" s="19"/>
      <c r="W32" s="2"/>
      <c r="X32" s="2">
        <f t="shared" si="2"/>
        <v>804.74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"4100", " - ", "NON-TAXABLE SALES")</f>
        <v xml:space="preserve">          4100 - NON-TAXABLE SALES</v>
      </c>
      <c r="C33" s="11"/>
      <c r="D33" s="2">
        <f>0</f>
        <v>0</v>
      </c>
      <c r="E33" s="2"/>
      <c r="F33" s="19"/>
      <c r="G33" s="2"/>
      <c r="H33" s="2">
        <v>20536</v>
      </c>
      <c r="I33" s="2"/>
      <c r="J33" s="19"/>
      <c r="K33" s="2"/>
      <c r="L33" s="2">
        <f t="shared" si="0"/>
        <v>-20536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v>125035</v>
      </c>
      <c r="U33" s="2"/>
      <c r="V33" s="19"/>
      <c r="W33" s="2"/>
      <c r="X33" s="2">
        <f t="shared" si="2"/>
        <v>-125035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"4125", " - ", "NON-TAXABLE SALES-TEST FORMS")</f>
        <v xml:space="preserve">          4125 - NON-TAXABLE SALES-TEST FORMS</v>
      </c>
      <c r="C34" s="11"/>
      <c r="D34" s="2">
        <f>--40.39</f>
        <v>40.39</v>
      </c>
      <c r="E34" s="2"/>
      <c r="F34" s="19"/>
      <c r="G34" s="2"/>
      <c r="H34" s="2"/>
      <c r="I34" s="2"/>
      <c r="J34" s="19"/>
      <c r="K34" s="2"/>
      <c r="L34" s="2">
        <f t="shared" si="0"/>
        <v>40.39</v>
      </c>
      <c r="M34" s="2"/>
      <c r="N34" s="19">
        <f t="shared" si="1"/>
        <v>0</v>
      </c>
      <c r="O34" s="11"/>
      <c r="P34" s="2">
        <f>--263.07</f>
        <v>263.07</v>
      </c>
      <c r="Q34" s="2"/>
      <c r="R34" s="19"/>
      <c r="S34" s="2"/>
      <c r="T34" s="2"/>
      <c r="U34" s="2"/>
      <c r="V34" s="19"/>
      <c r="W34" s="2"/>
      <c r="X34" s="2">
        <f t="shared" si="2"/>
        <v>263.07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"4126", " - ", "NON-TAXABLE SALES-WRITING INST")</f>
        <v xml:space="preserve">          4126 - NON-TAXABLE SALES-WRITING INST</v>
      </c>
      <c r="C35" s="11"/>
      <c r="D35" s="2">
        <f>--349.94</f>
        <v>349.94</v>
      </c>
      <c r="E35" s="2"/>
      <c r="F35" s="19"/>
      <c r="G35" s="2"/>
      <c r="H35" s="2"/>
      <c r="I35" s="2"/>
      <c r="J35" s="19"/>
      <c r="K35" s="2"/>
      <c r="L35" s="2">
        <f t="shared" si="0"/>
        <v>349.94</v>
      </c>
      <c r="M35" s="2"/>
      <c r="N35" s="19">
        <f t="shared" si="1"/>
        <v>0</v>
      </c>
      <c r="O35" s="11"/>
      <c r="P35" s="2">
        <f>--2906.58</f>
        <v>2906.58</v>
      </c>
      <c r="Q35" s="2"/>
      <c r="R35" s="19"/>
      <c r="S35" s="2"/>
      <c r="T35" s="2"/>
      <c r="U35" s="2"/>
      <c r="V35" s="19"/>
      <c r="W35" s="2"/>
      <c r="X35" s="2">
        <f t="shared" si="2"/>
        <v>2906.58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"4127", " - ", "NON-TAXABLE SALES-SCHOOL SUPPL")</f>
        <v xml:space="preserve">          4127 - NON-TAXABLE SALES-SCHOOL SUPPL</v>
      </c>
      <c r="C36" s="11"/>
      <c r="D36" s="2">
        <f>--527.81</f>
        <v>527.80999999999995</v>
      </c>
      <c r="E36" s="2"/>
      <c r="F36" s="19"/>
      <c r="G36" s="2"/>
      <c r="H36" s="2"/>
      <c r="I36" s="2"/>
      <c r="J36" s="19"/>
      <c r="K36" s="2"/>
      <c r="L36" s="2">
        <f t="shared" si="0"/>
        <v>527.80999999999995</v>
      </c>
      <c r="M36" s="2"/>
      <c r="N36" s="19">
        <f t="shared" si="1"/>
        <v>0</v>
      </c>
      <c r="O36" s="11"/>
      <c r="P36" s="2">
        <f>--4662.41</f>
        <v>4662.41</v>
      </c>
      <c r="Q36" s="2"/>
      <c r="R36" s="19"/>
      <c r="S36" s="2"/>
      <c r="T36" s="2"/>
      <c r="U36" s="2"/>
      <c r="V36" s="19"/>
      <c r="W36" s="2"/>
      <c r="X36" s="2">
        <f t="shared" si="2"/>
        <v>4662.41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"4128", " - ", "NON-TAXABLE SALES-ART/TECH")</f>
        <v xml:space="preserve">          4128 - NON-TAXABLE SALES-ART/TECH</v>
      </c>
      <c r="C37" s="11"/>
      <c r="D37" s="2">
        <f>--147.48</f>
        <v>147.47999999999999</v>
      </c>
      <c r="E37" s="2"/>
      <c r="F37" s="19"/>
      <c r="G37" s="2"/>
      <c r="H37" s="2"/>
      <c r="I37" s="2"/>
      <c r="J37" s="19"/>
      <c r="K37" s="2"/>
      <c r="L37" s="2">
        <f t="shared" si="0"/>
        <v>147.47999999999999</v>
      </c>
      <c r="M37" s="2"/>
      <c r="N37" s="19">
        <f t="shared" si="1"/>
        <v>0</v>
      </c>
      <c r="O37" s="11"/>
      <c r="P37" s="2">
        <f>--678.5</f>
        <v>678.5</v>
      </c>
      <c r="Q37" s="2"/>
      <c r="R37" s="19"/>
      <c r="S37" s="2"/>
      <c r="T37" s="2"/>
      <c r="U37" s="2"/>
      <c r="V37" s="19"/>
      <c r="W37" s="2"/>
      <c r="X37" s="2">
        <f t="shared" si="2"/>
        <v>678.5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"4131", " - ", "NON-TAXABLE SALES-FOOD")</f>
        <v xml:space="preserve">          4131 - NON-TAXABLE SALES-FOOD</v>
      </c>
      <c r="C38" s="11"/>
      <c r="D38" s="2">
        <f>--10371.21</f>
        <v>10371.209999999999</v>
      </c>
      <c r="E38" s="2"/>
      <c r="F38" s="19"/>
      <c r="G38" s="2"/>
      <c r="H38" s="2"/>
      <c r="I38" s="2"/>
      <c r="J38" s="19"/>
      <c r="K38" s="2"/>
      <c r="L38" s="2">
        <f t="shared" si="0"/>
        <v>10371.209999999999</v>
      </c>
      <c r="M38" s="2"/>
      <c r="N38" s="19">
        <f t="shared" si="1"/>
        <v>0</v>
      </c>
      <c r="O38" s="11"/>
      <c r="P38" s="2">
        <f>--53401.55</f>
        <v>53401.55</v>
      </c>
      <c r="Q38" s="2"/>
      <c r="R38" s="19"/>
      <c r="S38" s="2"/>
      <c r="T38" s="2"/>
      <c r="U38" s="2"/>
      <c r="V38" s="19"/>
      <c r="W38" s="2"/>
      <c r="X38" s="2">
        <f t="shared" si="2"/>
        <v>53401.55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"4132", " - ", "NON-TAXABLE SALES-JUICE")</f>
        <v xml:space="preserve">          4132 - NON-TAXABLE SALES-JUICE</v>
      </c>
      <c r="C39" s="11"/>
      <c r="D39" s="2">
        <f>--2501.74</f>
        <v>2501.7399999999998</v>
      </c>
      <c r="E39" s="2"/>
      <c r="F39" s="19"/>
      <c r="G39" s="2"/>
      <c r="H39" s="2"/>
      <c r="I39" s="2"/>
      <c r="J39" s="19"/>
      <c r="K39" s="2"/>
      <c r="L39" s="2">
        <f t="shared" si="0"/>
        <v>2501.7399999999998</v>
      </c>
      <c r="M39" s="2"/>
      <c r="N39" s="19">
        <f t="shared" si="1"/>
        <v>0</v>
      </c>
      <c r="O39" s="11"/>
      <c r="P39" s="2">
        <f>--15049.17</f>
        <v>15049.17</v>
      </c>
      <c r="Q39" s="2"/>
      <c r="R39" s="19"/>
      <c r="S39" s="2"/>
      <c r="T39" s="2"/>
      <c r="U39" s="2"/>
      <c r="V39" s="19"/>
      <c r="W39" s="2"/>
      <c r="X39" s="2">
        <f t="shared" si="2"/>
        <v>15049.17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"4133", " - ", "NON-TAXABLE SALES-CANDY")</f>
        <v xml:space="preserve">          4133 - NON-TAXABLE SALES-CANDY</v>
      </c>
      <c r="C40" s="11"/>
      <c r="D40" s="2">
        <f>--3264.8</f>
        <v>3264.8</v>
      </c>
      <c r="E40" s="2"/>
      <c r="F40" s="19"/>
      <c r="G40" s="2"/>
      <c r="H40" s="2"/>
      <c r="I40" s="2"/>
      <c r="J40" s="19"/>
      <c r="K40" s="2"/>
      <c r="L40" s="2">
        <f t="shared" si="0"/>
        <v>3264.8</v>
      </c>
      <c r="M40" s="2"/>
      <c r="N40" s="19">
        <f t="shared" si="1"/>
        <v>0</v>
      </c>
      <c r="O40" s="11"/>
      <c r="P40" s="2">
        <f>--16822.98</f>
        <v>16822.98</v>
      </c>
      <c r="Q40" s="2"/>
      <c r="R40" s="19"/>
      <c r="S40" s="2"/>
      <c r="T40" s="2"/>
      <c r="U40" s="2"/>
      <c r="V40" s="19"/>
      <c r="W40" s="2"/>
      <c r="X40" s="2">
        <f t="shared" si="2"/>
        <v>16822.98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"4134", " - ", "NON-TAXABLE SALES-SODA")</f>
        <v xml:space="preserve">          4134 - NON-TAXABLE SALES-SODA</v>
      </c>
      <c r="C41" s="11"/>
      <c r="D41" s="2">
        <f>--1.89</f>
        <v>1.89</v>
      </c>
      <c r="E41" s="2"/>
      <c r="F41" s="19"/>
      <c r="G41" s="2"/>
      <c r="H41" s="2"/>
      <c r="I41" s="2"/>
      <c r="J41" s="19"/>
      <c r="K41" s="2"/>
      <c r="L41" s="2">
        <f t="shared" si="0"/>
        <v>1.89</v>
      </c>
      <c r="M41" s="2"/>
      <c r="N41" s="19">
        <f t="shared" si="1"/>
        <v>0</v>
      </c>
      <c r="O41" s="11"/>
      <c r="P41" s="2">
        <f>--1.89</f>
        <v>1.89</v>
      </c>
      <c r="Q41" s="2"/>
      <c r="R41" s="19"/>
      <c r="S41" s="2"/>
      <c r="T41" s="2"/>
      <c r="U41" s="2"/>
      <c r="V41" s="19"/>
      <c r="W41" s="2"/>
      <c r="X41" s="2">
        <f t="shared" si="2"/>
        <v>1.89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"4135", " - ", "NON-TAXABLE SALES")</f>
        <v xml:space="preserve">          4135 - NON-TAXABLE SALES</v>
      </c>
      <c r="C42" s="11"/>
      <c r="D42" s="2">
        <f>--21.54</f>
        <v>21.54</v>
      </c>
      <c r="E42" s="2"/>
      <c r="F42" s="19"/>
      <c r="G42" s="2"/>
      <c r="H42" s="2"/>
      <c r="I42" s="2"/>
      <c r="J42" s="19"/>
      <c r="K42" s="2"/>
      <c r="L42" s="2">
        <f t="shared" si="0"/>
        <v>21.54</v>
      </c>
      <c r="M42" s="2"/>
      <c r="N42" s="19">
        <f t="shared" si="1"/>
        <v>0</v>
      </c>
      <c r="O42" s="11"/>
      <c r="P42" s="2">
        <f>--161.4</f>
        <v>161.4</v>
      </c>
      <c r="Q42" s="2"/>
      <c r="R42" s="19"/>
      <c r="S42" s="2"/>
      <c r="T42" s="2"/>
      <c r="U42" s="2"/>
      <c r="V42" s="19"/>
      <c r="W42" s="2"/>
      <c r="X42" s="2">
        <f t="shared" si="2"/>
        <v>161.4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"4137", " - ", "NON-TAXABLE SALES-WATER")</f>
        <v xml:space="preserve">          4137 - NON-TAXABLE SALES-WATER</v>
      </c>
      <c r="C43" s="11"/>
      <c r="D43" s="2">
        <f>--1327.6</f>
        <v>1327.6</v>
      </c>
      <c r="E43" s="2"/>
      <c r="F43" s="19"/>
      <c r="G43" s="2"/>
      <c r="H43" s="2"/>
      <c r="I43" s="2"/>
      <c r="J43" s="19"/>
      <c r="K43" s="2"/>
      <c r="L43" s="2">
        <f t="shared" si="0"/>
        <v>1327.6</v>
      </c>
      <c r="M43" s="2"/>
      <c r="N43" s="19">
        <f t="shared" si="1"/>
        <v>0</v>
      </c>
      <c r="O43" s="11"/>
      <c r="P43" s="2">
        <f>--7773.06</f>
        <v>7773.06</v>
      </c>
      <c r="Q43" s="2"/>
      <c r="R43" s="19"/>
      <c r="S43" s="2"/>
      <c r="T43" s="2"/>
      <c r="U43" s="2"/>
      <c r="V43" s="19"/>
      <c r="W43" s="2"/>
      <c r="X43" s="2">
        <f t="shared" si="2"/>
        <v>7773.06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"4186", " - ", "NON-TAXABLE SALES-COMPUTER SUP")</f>
        <v xml:space="preserve">          4186 - NON-TAXABLE SALES-COMPUTER SUP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-30.97</f>
        <v>-30.97</v>
      </c>
      <c r="Q44" s="2"/>
      <c r="R44" s="19"/>
      <c r="S44" s="2"/>
      <c r="T44" s="2"/>
      <c r="U44" s="2"/>
      <c r="V44" s="19"/>
      <c r="W44" s="2"/>
      <c r="X44" s="2">
        <f t="shared" si="2"/>
        <v>-30.97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"4217", " - ", "NON-TAXABLE SALES-DORM/HOUSEWA")</f>
        <v xml:space="preserve">          4217 - NON-TAXABLE SALES-DORM/HOUSEWA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-2.98</f>
        <v>-2.98</v>
      </c>
      <c r="Q45" s="2"/>
      <c r="R45" s="19"/>
      <c r="S45" s="2"/>
      <c r="T45" s="2"/>
      <c r="U45" s="2"/>
      <c r="V45" s="19"/>
      <c r="W45" s="2"/>
      <c r="X45" s="2">
        <f t="shared" si="2"/>
        <v>-2.98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"4225", " - ", "SALES RETURN TAXABLE-TEST FORM")</f>
        <v xml:space="preserve">          4225 - SALES RETURN TAXABLE-TEST FORM</v>
      </c>
      <c r="C46" s="11"/>
      <c r="D46" s="2">
        <f>-72.54</f>
        <v>-72.540000000000006</v>
      </c>
      <c r="E46" s="2"/>
      <c r="F46" s="19"/>
      <c r="G46" s="2"/>
      <c r="H46" s="2"/>
      <c r="I46" s="2"/>
      <c r="J46" s="19"/>
      <c r="K46" s="2"/>
      <c r="L46" s="2">
        <f t="shared" si="0"/>
        <v>-72.540000000000006</v>
      </c>
      <c r="M46" s="2"/>
      <c r="N46" s="19">
        <f t="shared" si="1"/>
        <v>0</v>
      </c>
      <c r="O46" s="11"/>
      <c r="P46" s="2">
        <f>-168.25</f>
        <v>-168.25</v>
      </c>
      <c r="Q46" s="2"/>
      <c r="R46" s="19"/>
      <c r="S46" s="2"/>
      <c r="T46" s="2"/>
      <c r="U46" s="2"/>
      <c r="V46" s="19"/>
      <c r="W46" s="2"/>
      <c r="X46" s="2">
        <f t="shared" si="2"/>
        <v>-168.25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"4226", " - ", "SALES RETURN TAXABLE-WRITING I")</f>
        <v xml:space="preserve">          4226 - SALES RETURN TAXABLE-WRITING I</v>
      </c>
      <c r="C47" s="11"/>
      <c r="D47" s="2">
        <f>-72.88</f>
        <v>-72.88</v>
      </c>
      <c r="E47" s="2"/>
      <c r="F47" s="19"/>
      <c r="G47" s="2"/>
      <c r="H47" s="2"/>
      <c r="I47" s="2"/>
      <c r="J47" s="19"/>
      <c r="K47" s="2"/>
      <c r="L47" s="2">
        <f t="shared" si="0"/>
        <v>-72.88</v>
      </c>
      <c r="M47" s="2"/>
      <c r="N47" s="19">
        <f t="shared" si="1"/>
        <v>0</v>
      </c>
      <c r="O47" s="11"/>
      <c r="P47" s="2">
        <f>-618.99</f>
        <v>-618.99</v>
      </c>
      <c r="Q47" s="2"/>
      <c r="R47" s="19"/>
      <c r="S47" s="2"/>
      <c r="T47" s="2"/>
      <c r="U47" s="2"/>
      <c r="V47" s="19"/>
      <c r="W47" s="2"/>
      <c r="X47" s="2">
        <f t="shared" si="2"/>
        <v>-618.99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"4227", " - ", "SALES RETURN TAXABLE-SCHOOL SU")</f>
        <v xml:space="preserve">          4227 - SALES RETURN TAXABLE-SCHOOL SU</v>
      </c>
      <c r="C48" s="11"/>
      <c r="D48" s="2">
        <f>-703.56</f>
        <v>-703.56</v>
      </c>
      <c r="E48" s="2"/>
      <c r="F48" s="19"/>
      <c r="G48" s="2"/>
      <c r="H48" s="2"/>
      <c r="I48" s="2"/>
      <c r="J48" s="19"/>
      <c r="K48" s="2"/>
      <c r="L48" s="2">
        <f t="shared" si="0"/>
        <v>-703.56</v>
      </c>
      <c r="M48" s="2"/>
      <c r="N48" s="19">
        <f t="shared" si="1"/>
        <v>0</v>
      </c>
      <c r="O48" s="11"/>
      <c r="P48" s="2">
        <f>-7614.42</f>
        <v>-7614.42</v>
      </c>
      <c r="Q48" s="2"/>
      <c r="R48" s="19"/>
      <c r="S48" s="2"/>
      <c r="T48" s="2"/>
      <c r="U48" s="2"/>
      <c r="V48" s="19"/>
      <c r="W48" s="2"/>
      <c r="X48" s="2">
        <f t="shared" si="2"/>
        <v>-7614.42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"4228", " - ", "SALES RETURN TAXABLE-ART/TECH")</f>
        <v xml:space="preserve">          4228 - SALES RETURN TAXABLE-ART/TECH</v>
      </c>
      <c r="C49" s="11"/>
      <c r="D49" s="2">
        <f>-685.23</f>
        <v>-685.23</v>
      </c>
      <c r="E49" s="2"/>
      <c r="F49" s="19"/>
      <c r="G49" s="2"/>
      <c r="H49" s="2"/>
      <c r="I49" s="2"/>
      <c r="J49" s="19"/>
      <c r="K49" s="2"/>
      <c r="L49" s="2">
        <f t="shared" si="0"/>
        <v>-685.23</v>
      </c>
      <c r="M49" s="2"/>
      <c r="N49" s="19">
        <f t="shared" si="1"/>
        <v>0</v>
      </c>
      <c r="O49" s="11"/>
      <c r="P49" s="2">
        <f>-4599.92</f>
        <v>-4599.92</v>
      </c>
      <c r="Q49" s="2"/>
      <c r="R49" s="19"/>
      <c r="S49" s="2"/>
      <c r="T49" s="2"/>
      <c r="U49" s="2"/>
      <c r="V49" s="19"/>
      <c r="W49" s="2"/>
      <c r="X49" s="2">
        <f t="shared" si="2"/>
        <v>-4599.92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"4233", " - ", "SALES RETURN TAXABLE-CANDY")</f>
        <v xml:space="preserve">          4233 - SALES RETURN TAXABLE-CANDY</v>
      </c>
      <c r="C50" s="11"/>
      <c r="D50" s="2">
        <f t="shared" ref="D50:D52" si="5"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-1.29</f>
        <v>-1.29</v>
      </c>
      <c r="Q50" s="2"/>
      <c r="R50" s="19"/>
      <c r="S50" s="2"/>
      <c r="T50" s="2"/>
      <c r="U50" s="2"/>
      <c r="V50" s="19"/>
      <c r="W50" s="2"/>
      <c r="X50" s="2">
        <f t="shared" si="2"/>
        <v>-1.29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5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-54.97</f>
        <v>-54.97</v>
      </c>
      <c r="Q51" s="2"/>
      <c r="R51" s="19"/>
      <c r="S51" s="2"/>
      <c r="T51" s="2"/>
      <c r="U51" s="2"/>
      <c r="V51" s="19"/>
      <c r="W51" s="2"/>
      <c r="X51" s="2">
        <f t="shared" si="2"/>
        <v>-54.97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"4327", " - ", "SALES RETURN NON TAXABLE-SCHOO")</f>
        <v xml:space="preserve">          4327 - SALES RETURN NON TAXABLE-SCHOO</v>
      </c>
      <c r="C52" s="11"/>
      <c r="D52" s="2">
        <f t="shared" si="5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-21.87</f>
        <v>-21.87</v>
      </c>
      <c r="Q52" s="2"/>
      <c r="R52" s="19"/>
      <c r="S52" s="2"/>
      <c r="T52" s="2"/>
      <c r="U52" s="2"/>
      <c r="V52" s="19"/>
      <c r="W52" s="2"/>
      <c r="X52" s="2">
        <f t="shared" si="2"/>
        <v>-21.87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"4331", " - ", "SALES RETURN NON TAXABLE-FOOD")</f>
        <v xml:space="preserve">          4331 - SALES RETURN NON TAXABLE-FOOD</v>
      </c>
      <c r="C53" s="11"/>
      <c r="D53" s="2">
        <f>-7.58</f>
        <v>-7.58</v>
      </c>
      <c r="E53" s="2"/>
      <c r="F53" s="19"/>
      <c r="G53" s="2"/>
      <c r="H53" s="2"/>
      <c r="I53" s="2"/>
      <c r="J53" s="19"/>
      <c r="K53" s="2"/>
      <c r="L53" s="2">
        <f t="shared" si="0"/>
        <v>-7.58</v>
      </c>
      <c r="M53" s="2"/>
      <c r="N53" s="19">
        <f t="shared" si="1"/>
        <v>0</v>
      </c>
      <c r="O53" s="11"/>
      <c r="P53" s="2">
        <f>-7.58</f>
        <v>-7.58</v>
      </c>
      <c r="Q53" s="2"/>
      <c r="R53" s="19"/>
      <c r="S53" s="2"/>
      <c r="T53" s="2"/>
      <c r="U53" s="2"/>
      <c r="V53" s="19"/>
      <c r="W53" s="2"/>
      <c r="X53" s="2">
        <f t="shared" si="2"/>
        <v>-7.58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"4332", " - ", "SALES RETURN NON TAXABLE-JUICE")</f>
        <v xml:space="preserve">          4332 - SALES RETURN NON TAXABLE-JUICE</v>
      </c>
      <c r="C54" s="11"/>
      <c r="D54" s="2">
        <f>-2.79</f>
        <v>-2.79</v>
      </c>
      <c r="E54" s="2"/>
      <c r="F54" s="19"/>
      <c r="G54" s="2"/>
      <c r="H54" s="2"/>
      <c r="I54" s="2"/>
      <c r="J54" s="19"/>
      <c r="K54" s="2"/>
      <c r="L54" s="2">
        <f t="shared" si="0"/>
        <v>-2.79</v>
      </c>
      <c r="M54" s="2"/>
      <c r="N54" s="19">
        <f t="shared" si="1"/>
        <v>0</v>
      </c>
      <c r="O54" s="11"/>
      <c r="P54" s="2">
        <f>-2.79</f>
        <v>-2.79</v>
      </c>
      <c r="Q54" s="2"/>
      <c r="R54" s="19"/>
      <c r="S54" s="2"/>
      <c r="T54" s="2"/>
      <c r="U54" s="2"/>
      <c r="V54" s="19"/>
      <c r="W54" s="2"/>
      <c r="X54" s="2">
        <f t="shared" si="2"/>
        <v>-2.79</v>
      </c>
      <c r="Y54" s="2"/>
      <c r="Z54" s="19">
        <f t="shared" si="3"/>
        <v>0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25">
      <c r="A56" s="10"/>
      <c r="B56" s="29" t="s">
        <v>8</v>
      </c>
      <c r="C56" s="10"/>
      <c r="D56" s="4">
        <f>SUM(OSRRefD16x_0)</f>
        <v>58937.920000000006</v>
      </c>
      <c r="E56" s="4"/>
      <c r="F56" s="12">
        <f t="shared" ref="F56:F80" si="6">IF(D$12=0,0,D56/D$12)</f>
        <v>0.50452651759638989</v>
      </c>
      <c r="G56" s="4"/>
      <c r="H56" s="4">
        <f>SUM(OSRRefH16x_0)</f>
        <v>52752</v>
      </c>
      <c r="I56" s="4"/>
      <c r="J56" s="12">
        <f t="shared" ref="J56:J80" si="7">IF(H$12=0,0,H56/H$12)</f>
        <v>0.47266699520630795</v>
      </c>
      <c r="K56" s="4"/>
      <c r="L56" s="4">
        <f t="shared" ref="L56:L80" si="8">+D56-H56</f>
        <v>6185.9200000000055</v>
      </c>
      <c r="M56" s="4"/>
      <c r="N56" s="12">
        <f t="shared" ref="N56:N80" si="9">IF(H56=0,0,L56/H56)</f>
        <v>0.11726417955717329</v>
      </c>
      <c r="O56" s="10"/>
      <c r="P56" s="4">
        <f>SUM(OSRRefP16x_0)</f>
        <v>385701.54999999993</v>
      </c>
      <c r="Q56" s="4"/>
      <c r="R56" s="12">
        <f t="shared" ref="R56:R80" si="10">IF(P$12=0,0,P56/P$12)</f>
        <v>0.50045412428658798</v>
      </c>
      <c r="S56" s="4"/>
      <c r="T56" s="4">
        <f>SUM(OSRRefT16x_0)</f>
        <v>383479</v>
      </c>
      <c r="U56" s="4"/>
      <c r="V56" s="12">
        <f t="shared" ref="V56:V80" si="11">IF(T$12=0,0,T56/T$12)</f>
        <v>0.47404009350288456</v>
      </c>
      <c r="W56" s="4"/>
      <c r="X56" s="4">
        <f t="shared" ref="X56:X80" si="12">+P56-T56</f>
        <v>2222.5499999999302</v>
      </c>
      <c r="Y56" s="4"/>
      <c r="Z56" s="12">
        <f t="shared" ref="Z56:Z80" si="13">IF(T56=0,0,X56/T56)</f>
        <v>5.7957541351675848E-3</v>
      </c>
    </row>
    <row r="57" spans="1:26" s="24" customFormat="1" hidden="1" outlineLevel="1" x14ac:dyDescent="0.25">
      <c r="A57" s="44"/>
      <c r="B57" s="11" t="str">
        <f>CONCATENATE("          ", "5000", " - ", "PURCHASES @ COST")</f>
        <v xml:space="preserve">          5000 - PURCHASES @ COST</v>
      </c>
      <c r="C57" s="11"/>
      <c r="D57" s="2"/>
      <c r="E57" s="2"/>
      <c r="F57" s="19">
        <f t="shared" si="6"/>
        <v>0</v>
      </c>
      <c r="G57" s="2"/>
      <c r="H57" s="2">
        <v>52752</v>
      </c>
      <c r="I57" s="2"/>
      <c r="J57" s="19">
        <f t="shared" si="7"/>
        <v>0.47266699520630795</v>
      </c>
      <c r="K57" s="2"/>
      <c r="L57" s="2">
        <f t="shared" si="8"/>
        <v>-52752</v>
      </c>
      <c r="M57" s="2"/>
      <c r="N57" s="19">
        <f t="shared" si="9"/>
        <v>-1</v>
      </c>
      <c r="O57" s="11"/>
      <c r="P57" s="2"/>
      <c r="Q57" s="2"/>
      <c r="R57" s="19">
        <f t="shared" si="10"/>
        <v>0</v>
      </c>
      <c r="S57" s="2"/>
      <c r="T57" s="2">
        <v>383479</v>
      </c>
      <c r="U57" s="2"/>
      <c r="V57" s="19">
        <f t="shared" si="11"/>
        <v>0.47404009350288456</v>
      </c>
      <c r="W57" s="2"/>
      <c r="X57" s="2">
        <f t="shared" si="12"/>
        <v>-383479</v>
      </c>
      <c r="Y57" s="2"/>
      <c r="Z57" s="19">
        <f t="shared" si="13"/>
        <v>-1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14.46</v>
      </c>
      <c r="Q58" s="2"/>
      <c r="R58" s="19">
        <f t="shared" si="10"/>
        <v>1.8762088555734514E-5</v>
      </c>
      <c r="S58" s="2"/>
      <c r="T58" s="2"/>
      <c r="U58" s="2"/>
      <c r="V58" s="19">
        <f t="shared" si="11"/>
        <v>0</v>
      </c>
      <c r="W58" s="2"/>
      <c r="X58" s="2">
        <f t="shared" si="12"/>
        <v>14.46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/>
      <c r="E59" s="2"/>
      <c r="F59" s="19">
        <f t="shared" si="6"/>
        <v>0</v>
      </c>
      <c r="G59" s="2"/>
      <c r="H59" s="2"/>
      <c r="I59" s="2"/>
      <c r="J59" s="19">
        <f t="shared" si="7"/>
        <v>0</v>
      </c>
      <c r="K59" s="2"/>
      <c r="L59" s="2">
        <f t="shared" si="8"/>
        <v>0</v>
      </c>
      <c r="M59" s="2"/>
      <c r="N59" s="19">
        <f t="shared" si="9"/>
        <v>0</v>
      </c>
      <c r="O59" s="11"/>
      <c r="P59" s="2">
        <v>0</v>
      </c>
      <c r="Q59" s="2"/>
      <c r="R59" s="19">
        <f t="shared" si="10"/>
        <v>0</v>
      </c>
      <c r="S59" s="2"/>
      <c r="T59" s="2"/>
      <c r="U59" s="2"/>
      <c r="V59" s="19">
        <f t="shared" si="11"/>
        <v>0</v>
      </c>
      <c r="W59" s="2"/>
      <c r="X59" s="2">
        <f t="shared" si="12"/>
        <v>0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>
        <v>3423</v>
      </c>
      <c r="E60" s="2"/>
      <c r="F60" s="19">
        <f t="shared" si="6"/>
        <v>2.9301920897996443E-2</v>
      </c>
      <c r="G60" s="2"/>
      <c r="H60" s="2"/>
      <c r="I60" s="2"/>
      <c r="J60" s="19">
        <f t="shared" si="7"/>
        <v>0</v>
      </c>
      <c r="K60" s="2"/>
      <c r="L60" s="2">
        <f t="shared" si="8"/>
        <v>3423</v>
      </c>
      <c r="M60" s="2"/>
      <c r="N60" s="19">
        <f t="shared" si="9"/>
        <v>0</v>
      </c>
      <c r="O60" s="11"/>
      <c r="P60" s="2">
        <v>26395.329999999998</v>
      </c>
      <c r="Q60" s="2"/>
      <c r="R60" s="19">
        <f t="shared" si="10"/>
        <v>3.424837613539667E-2</v>
      </c>
      <c r="S60" s="2"/>
      <c r="T60" s="2"/>
      <c r="U60" s="2"/>
      <c r="V60" s="19">
        <f t="shared" si="11"/>
        <v>0</v>
      </c>
      <c r="W60" s="2"/>
      <c r="X60" s="2">
        <f t="shared" si="12"/>
        <v>26395.329999999998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2342.9299999999998</v>
      </c>
      <c r="E61" s="2"/>
      <c r="F61" s="19">
        <f t="shared" si="6"/>
        <v>2.0056193260164418E-2</v>
      </c>
      <c r="G61" s="2"/>
      <c r="H61" s="2"/>
      <c r="I61" s="2"/>
      <c r="J61" s="19">
        <f t="shared" si="7"/>
        <v>0</v>
      </c>
      <c r="K61" s="2"/>
      <c r="L61" s="2">
        <f t="shared" si="8"/>
        <v>2342.9299999999998</v>
      </c>
      <c r="M61" s="2"/>
      <c r="N61" s="19">
        <f t="shared" si="9"/>
        <v>0</v>
      </c>
      <c r="O61" s="11"/>
      <c r="P61" s="2">
        <v>44563.939999999995</v>
      </c>
      <c r="Q61" s="2"/>
      <c r="R61" s="19">
        <f t="shared" si="10"/>
        <v>5.7822447349407981E-2</v>
      </c>
      <c r="S61" s="2"/>
      <c r="T61" s="2"/>
      <c r="U61" s="2"/>
      <c r="V61" s="19">
        <f t="shared" si="11"/>
        <v>0</v>
      </c>
      <c r="W61" s="2"/>
      <c r="X61" s="2">
        <f t="shared" si="12"/>
        <v>44563.939999999995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-2481.7199999999998</v>
      </c>
      <c r="E62" s="2"/>
      <c r="F62" s="19">
        <f t="shared" si="6"/>
        <v>-2.1244277864731442E-2</v>
      </c>
      <c r="G62" s="2"/>
      <c r="H62" s="2"/>
      <c r="I62" s="2"/>
      <c r="J62" s="19">
        <f t="shared" si="7"/>
        <v>0</v>
      </c>
      <c r="K62" s="2"/>
      <c r="L62" s="2">
        <f t="shared" si="8"/>
        <v>-2481.7199999999998</v>
      </c>
      <c r="M62" s="2"/>
      <c r="N62" s="19">
        <f t="shared" si="9"/>
        <v>0</v>
      </c>
      <c r="O62" s="11"/>
      <c r="P62" s="2">
        <v>118025.75</v>
      </c>
      <c r="Q62" s="2"/>
      <c r="R62" s="19">
        <f t="shared" si="10"/>
        <v>0.15314035777019244</v>
      </c>
      <c r="S62" s="2"/>
      <c r="T62" s="2"/>
      <c r="U62" s="2"/>
      <c r="V62" s="19">
        <f t="shared" si="11"/>
        <v>0</v>
      </c>
      <c r="W62" s="2"/>
      <c r="X62" s="2">
        <f t="shared" si="12"/>
        <v>118025.75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11525.28</v>
      </c>
      <c r="E63" s="2"/>
      <c r="F63" s="19">
        <f t="shared" si="6"/>
        <v>9.8659901515413526E-2</v>
      </c>
      <c r="G63" s="2"/>
      <c r="H63" s="2"/>
      <c r="I63" s="2"/>
      <c r="J63" s="19">
        <f t="shared" si="7"/>
        <v>0</v>
      </c>
      <c r="K63" s="2"/>
      <c r="L63" s="2">
        <f t="shared" si="8"/>
        <v>11525.28</v>
      </c>
      <c r="M63" s="2"/>
      <c r="N63" s="19">
        <f t="shared" si="9"/>
        <v>0</v>
      </c>
      <c r="O63" s="11"/>
      <c r="P63" s="2">
        <v>146652.78</v>
      </c>
      <c r="Q63" s="2"/>
      <c r="R63" s="19">
        <f t="shared" si="10"/>
        <v>0.19028440147335071</v>
      </c>
      <c r="S63" s="2"/>
      <c r="T63" s="2"/>
      <c r="U63" s="2"/>
      <c r="V63" s="19">
        <f t="shared" si="11"/>
        <v>0</v>
      </c>
      <c r="W63" s="2"/>
      <c r="X63" s="2">
        <f t="shared" si="12"/>
        <v>146652.78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>
        <v>5225.67</v>
      </c>
      <c r="E64" s="2"/>
      <c r="F64" s="19">
        <f t="shared" si="6"/>
        <v>4.4733324270824736E-2</v>
      </c>
      <c r="G64" s="2"/>
      <c r="H64" s="2"/>
      <c r="I64" s="2"/>
      <c r="J64" s="19">
        <f t="shared" si="7"/>
        <v>0</v>
      </c>
      <c r="K64" s="2"/>
      <c r="L64" s="2">
        <f t="shared" si="8"/>
        <v>5225.67</v>
      </c>
      <c r="M64" s="2"/>
      <c r="N64" s="19">
        <f t="shared" si="9"/>
        <v>0</v>
      </c>
      <c r="O64" s="11"/>
      <c r="P64" s="2">
        <v>30126.060000000005</v>
      </c>
      <c r="Q64" s="2"/>
      <c r="R64" s="19">
        <f t="shared" si="10"/>
        <v>3.9089059858601068E-2</v>
      </c>
      <c r="S64" s="2"/>
      <c r="T64" s="2"/>
      <c r="U64" s="2"/>
      <c r="V64" s="19">
        <f t="shared" si="11"/>
        <v>0</v>
      </c>
      <c r="W64" s="2"/>
      <c r="X64" s="2">
        <f t="shared" si="12"/>
        <v>30126.060000000005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>
        <v>1720.97</v>
      </c>
      <c r="E65" s="2"/>
      <c r="F65" s="19">
        <f t="shared" si="6"/>
        <v>1.4732026528724785E-2</v>
      </c>
      <c r="G65" s="2"/>
      <c r="H65" s="2"/>
      <c r="I65" s="2"/>
      <c r="J65" s="19">
        <f t="shared" si="7"/>
        <v>0</v>
      </c>
      <c r="K65" s="2"/>
      <c r="L65" s="2">
        <f t="shared" si="8"/>
        <v>1720.97</v>
      </c>
      <c r="M65" s="2"/>
      <c r="N65" s="19">
        <f t="shared" si="9"/>
        <v>0</v>
      </c>
      <c r="O65" s="11"/>
      <c r="P65" s="2">
        <v>7113.48</v>
      </c>
      <c r="Q65" s="2"/>
      <c r="R65" s="19">
        <f t="shared" si="10"/>
        <v>9.2298576555633702E-3</v>
      </c>
      <c r="S65" s="2"/>
      <c r="T65" s="2"/>
      <c r="U65" s="2"/>
      <c r="V65" s="19">
        <f t="shared" si="11"/>
        <v>0</v>
      </c>
      <c r="W65" s="2"/>
      <c r="X65" s="2">
        <f t="shared" si="12"/>
        <v>7113.48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>
        <v>1821.44</v>
      </c>
      <c r="E66" s="2"/>
      <c r="F66" s="19">
        <f t="shared" si="6"/>
        <v>1.5592080280586224E-2</v>
      </c>
      <c r="G66" s="2"/>
      <c r="H66" s="2"/>
      <c r="I66" s="2"/>
      <c r="J66" s="19">
        <f t="shared" si="7"/>
        <v>0</v>
      </c>
      <c r="K66" s="2"/>
      <c r="L66" s="2">
        <f t="shared" si="8"/>
        <v>1821.44</v>
      </c>
      <c r="M66" s="2"/>
      <c r="N66" s="19">
        <f t="shared" si="9"/>
        <v>0</v>
      </c>
      <c r="O66" s="11"/>
      <c r="P66" s="2">
        <v>8825.06</v>
      </c>
      <c r="Q66" s="2"/>
      <c r="R66" s="19">
        <f t="shared" si="10"/>
        <v>1.1450660942577484E-2</v>
      </c>
      <c r="S66" s="2"/>
      <c r="T66" s="2"/>
      <c r="U66" s="2"/>
      <c r="V66" s="19">
        <f t="shared" si="11"/>
        <v>0</v>
      </c>
      <c r="W66" s="2"/>
      <c r="X66" s="2">
        <f t="shared" si="12"/>
        <v>8825.06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>
        <v>1637.93</v>
      </c>
      <c r="E67" s="2"/>
      <c r="F67" s="19">
        <f t="shared" si="6"/>
        <v>1.4021178877141488E-2</v>
      </c>
      <c r="G67" s="2"/>
      <c r="H67" s="2"/>
      <c r="I67" s="2"/>
      <c r="J67" s="19">
        <f t="shared" si="7"/>
        <v>0</v>
      </c>
      <c r="K67" s="2"/>
      <c r="L67" s="2">
        <f t="shared" si="8"/>
        <v>1637.93</v>
      </c>
      <c r="M67" s="2"/>
      <c r="N67" s="19">
        <f t="shared" si="9"/>
        <v>0</v>
      </c>
      <c r="O67" s="11"/>
      <c r="P67" s="2">
        <v>3762.09</v>
      </c>
      <c r="Q67" s="2"/>
      <c r="R67" s="19">
        <f t="shared" si="10"/>
        <v>4.8813738405700732E-3</v>
      </c>
      <c r="S67" s="2"/>
      <c r="T67" s="2"/>
      <c r="U67" s="2"/>
      <c r="V67" s="19">
        <f t="shared" si="11"/>
        <v>0</v>
      </c>
      <c r="W67" s="2"/>
      <c r="X67" s="2">
        <f t="shared" si="12"/>
        <v>3762.09</v>
      </c>
      <c r="Y67" s="2"/>
      <c r="Z67" s="19">
        <f t="shared" si="13"/>
        <v>0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>
        <v>198.47</v>
      </c>
      <c r="E68" s="2"/>
      <c r="F68" s="19">
        <f t="shared" si="6"/>
        <v>1.6989635526220726E-3</v>
      </c>
      <c r="G68" s="2"/>
      <c r="H68" s="2"/>
      <c r="I68" s="2"/>
      <c r="J68" s="19">
        <f t="shared" si="7"/>
        <v>0</v>
      </c>
      <c r="K68" s="2"/>
      <c r="L68" s="2">
        <f t="shared" si="8"/>
        <v>198.47</v>
      </c>
      <c r="M68" s="2"/>
      <c r="N68" s="19">
        <f t="shared" si="9"/>
        <v>0</v>
      </c>
      <c r="O68" s="11"/>
      <c r="P68" s="2">
        <v>1055.67</v>
      </c>
      <c r="Q68" s="2"/>
      <c r="R68" s="19">
        <f t="shared" si="10"/>
        <v>1.3697492410534064E-3</v>
      </c>
      <c r="S68" s="2"/>
      <c r="T68" s="2"/>
      <c r="U68" s="2"/>
      <c r="V68" s="19">
        <f t="shared" si="11"/>
        <v>0</v>
      </c>
      <c r="W68" s="2"/>
      <c r="X68" s="2">
        <f t="shared" si="12"/>
        <v>1055.67</v>
      </c>
      <c r="Y68" s="2"/>
      <c r="Z68" s="19">
        <f t="shared" si="13"/>
        <v>0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>
        <v>1540.46</v>
      </c>
      <c r="E69" s="2"/>
      <c r="F69" s="19">
        <f t="shared" si="6"/>
        <v>1.3186806037548234E-2</v>
      </c>
      <c r="G69" s="2"/>
      <c r="H69" s="2"/>
      <c r="I69" s="2"/>
      <c r="J69" s="19">
        <f t="shared" si="7"/>
        <v>0</v>
      </c>
      <c r="K69" s="2"/>
      <c r="L69" s="2">
        <f t="shared" si="8"/>
        <v>1540.46</v>
      </c>
      <c r="M69" s="2"/>
      <c r="N69" s="19">
        <f t="shared" si="9"/>
        <v>0</v>
      </c>
      <c r="O69" s="11"/>
      <c r="P69" s="2">
        <v>5269.97</v>
      </c>
      <c r="Q69" s="2"/>
      <c r="R69" s="19">
        <f t="shared" si="10"/>
        <v>6.8378730170168892E-3</v>
      </c>
      <c r="S69" s="2"/>
      <c r="T69" s="2"/>
      <c r="U69" s="2"/>
      <c r="V69" s="19">
        <f t="shared" si="11"/>
        <v>0</v>
      </c>
      <c r="W69" s="2"/>
      <c r="X69" s="2">
        <f t="shared" si="12"/>
        <v>5269.97</v>
      </c>
      <c r="Y69" s="2"/>
      <c r="Z69" s="19">
        <f t="shared" si="13"/>
        <v>0</v>
      </c>
    </row>
    <row r="70" spans="1:26" s="24" customFormat="1" hidden="1" outlineLevel="1" x14ac:dyDescent="0.25">
      <c r="A70" s="44"/>
      <c r="B70" s="11" t="str">
        <f>CONCATENATE("          ", "5081", " - ", "PURCHASES @ COST-ELECTRONICS")</f>
        <v xml:space="preserve">          5081 - PURCHASES @ COST-ELECTRONICS</v>
      </c>
      <c r="C70" s="11"/>
      <c r="D70" s="2"/>
      <c r="E70" s="2"/>
      <c r="F70" s="19">
        <f t="shared" si="6"/>
        <v>0</v>
      </c>
      <c r="G70" s="2"/>
      <c r="H70" s="2"/>
      <c r="I70" s="2"/>
      <c r="J70" s="19">
        <f t="shared" si="7"/>
        <v>0</v>
      </c>
      <c r="K70" s="2"/>
      <c r="L70" s="2">
        <f t="shared" si="8"/>
        <v>0</v>
      </c>
      <c r="M70" s="2"/>
      <c r="N70" s="19">
        <f t="shared" si="9"/>
        <v>0</v>
      </c>
      <c r="O70" s="11"/>
      <c r="P70" s="2">
        <v>1891.21</v>
      </c>
      <c r="Q70" s="2"/>
      <c r="R70" s="19">
        <f t="shared" si="10"/>
        <v>2.4538761754834488E-3</v>
      </c>
      <c r="S70" s="2"/>
      <c r="T70" s="2"/>
      <c r="U70" s="2"/>
      <c r="V70" s="19">
        <f t="shared" si="11"/>
        <v>0</v>
      </c>
      <c r="W70" s="2"/>
      <c r="X70" s="2">
        <f t="shared" si="12"/>
        <v>1891.21</v>
      </c>
      <c r="Y70" s="2"/>
      <c r="Z70" s="19">
        <f t="shared" si="13"/>
        <v>0</v>
      </c>
    </row>
    <row r="71" spans="1:26" s="24" customFormat="1" hidden="1" outlineLevel="1" x14ac:dyDescent="0.25">
      <c r="A71" s="44"/>
      <c r="B71" s="11" t="str">
        <f>CONCATENATE("          ", "5082", " - ", "PURCHASES @ COST-COMPUTER HARD")</f>
        <v xml:space="preserve">          5082 - PURCHASES @ COST-COMPUTER HARD</v>
      </c>
      <c r="C71" s="11"/>
      <c r="D71" s="2"/>
      <c r="E71" s="2"/>
      <c r="F71" s="19">
        <f t="shared" si="6"/>
        <v>0</v>
      </c>
      <c r="G71" s="2"/>
      <c r="H71" s="2"/>
      <c r="I71" s="2"/>
      <c r="J71" s="19">
        <f t="shared" si="7"/>
        <v>0</v>
      </c>
      <c r="K71" s="2"/>
      <c r="L71" s="2">
        <f t="shared" si="8"/>
        <v>0</v>
      </c>
      <c r="M71" s="2"/>
      <c r="N71" s="19">
        <f t="shared" si="9"/>
        <v>0</v>
      </c>
      <c r="O71" s="11"/>
      <c r="P71" s="2">
        <v>349.6</v>
      </c>
      <c r="Q71" s="2"/>
      <c r="R71" s="19">
        <f t="shared" si="10"/>
        <v>4.5361176757156201E-4</v>
      </c>
      <c r="S71" s="2"/>
      <c r="T71" s="2"/>
      <c r="U71" s="2"/>
      <c r="V71" s="19">
        <f t="shared" si="11"/>
        <v>0</v>
      </c>
      <c r="W71" s="2"/>
      <c r="X71" s="2">
        <f t="shared" si="12"/>
        <v>349.6</v>
      </c>
      <c r="Y71" s="2"/>
      <c r="Z71" s="19">
        <f t="shared" si="13"/>
        <v>0</v>
      </c>
    </row>
    <row r="72" spans="1:26" s="24" customFormat="1" hidden="1" outlineLevel="1" x14ac:dyDescent="0.25">
      <c r="A72" s="44"/>
      <c r="B72" s="11" t="str">
        <f>CONCATENATE("          ", "5083", " - ", "PURCHASES @ COST-COMPUTER EQUI")</f>
        <v xml:space="preserve">          5083 - PURCHASES @ COST-COMPUTER EQUI</v>
      </c>
      <c r="C72" s="11"/>
      <c r="D72" s="2">
        <v>-67.650000000000006</v>
      </c>
      <c r="E72" s="2"/>
      <c r="F72" s="19">
        <f t="shared" si="6"/>
        <v>-5.7910457164751957E-4</v>
      </c>
      <c r="G72" s="2"/>
      <c r="H72" s="2"/>
      <c r="I72" s="2"/>
      <c r="J72" s="19">
        <f t="shared" si="7"/>
        <v>0</v>
      </c>
      <c r="K72" s="2"/>
      <c r="L72" s="2">
        <f t="shared" si="8"/>
        <v>-67.650000000000006</v>
      </c>
      <c r="M72" s="2"/>
      <c r="N72" s="19">
        <f t="shared" si="9"/>
        <v>0</v>
      </c>
      <c r="O72" s="11"/>
      <c r="P72" s="2">
        <v>304.70999999999998</v>
      </c>
      <c r="Q72" s="2"/>
      <c r="R72" s="19">
        <f t="shared" si="10"/>
        <v>3.9536625199293663E-4</v>
      </c>
      <c r="S72" s="2"/>
      <c r="T72" s="2"/>
      <c r="U72" s="2"/>
      <c r="V72" s="19">
        <f t="shared" si="11"/>
        <v>0</v>
      </c>
      <c r="W72" s="2"/>
      <c r="X72" s="2">
        <f t="shared" si="12"/>
        <v>304.70999999999998</v>
      </c>
      <c r="Y72" s="2"/>
      <c r="Z72" s="19">
        <f t="shared" si="13"/>
        <v>0</v>
      </c>
    </row>
    <row r="73" spans="1:26" s="24" customFormat="1" hidden="1" outlineLevel="1" x14ac:dyDescent="0.25">
      <c r="A73" s="44"/>
      <c r="B73" s="11" t="str">
        <f>CONCATENATE("          ", "5086", " - ", "PURCHASES @ COST-COMPUTER SUPP")</f>
        <v xml:space="preserve">          5086 - PURCHASES @ COST-COMPUTER SUPP</v>
      </c>
      <c r="C73" s="11"/>
      <c r="D73" s="2">
        <v>9.98</v>
      </c>
      <c r="E73" s="2"/>
      <c r="F73" s="19">
        <f t="shared" si="6"/>
        <v>8.5431834812154398E-5</v>
      </c>
      <c r="G73" s="2"/>
      <c r="H73" s="2"/>
      <c r="I73" s="2"/>
      <c r="J73" s="19">
        <f t="shared" si="7"/>
        <v>0</v>
      </c>
      <c r="K73" s="2"/>
      <c r="L73" s="2">
        <f t="shared" si="8"/>
        <v>9.98</v>
      </c>
      <c r="M73" s="2"/>
      <c r="N73" s="19">
        <f t="shared" si="9"/>
        <v>0</v>
      </c>
      <c r="O73" s="11"/>
      <c r="P73" s="2">
        <v>426.22</v>
      </c>
      <c r="Q73" s="2"/>
      <c r="R73" s="19">
        <f t="shared" si="10"/>
        <v>5.5302748161999756E-4</v>
      </c>
      <c r="S73" s="2"/>
      <c r="T73" s="2"/>
      <c r="U73" s="2"/>
      <c r="V73" s="19">
        <f t="shared" si="11"/>
        <v>0</v>
      </c>
      <c r="W73" s="2"/>
      <c r="X73" s="2">
        <f t="shared" si="12"/>
        <v>426.22</v>
      </c>
      <c r="Y73" s="2"/>
      <c r="Z73" s="19">
        <f t="shared" si="13"/>
        <v>0</v>
      </c>
    </row>
    <row r="74" spans="1:26" s="24" customFormat="1" hidden="1" outlineLevel="1" x14ac:dyDescent="0.25">
      <c r="A74" s="44"/>
      <c r="B74" s="11" t="str">
        <f>CONCATENATE("          ", "5200", " - ", "PURCHASES OFFSET")</f>
        <v xml:space="preserve">          5200 - PURCHASES OFFSET</v>
      </c>
      <c r="C74" s="11"/>
      <c r="D74" s="2">
        <v>-28026</v>
      </c>
      <c r="E74" s="2"/>
      <c r="F74" s="19">
        <f t="shared" si="6"/>
        <v>-0.23991108240936265</v>
      </c>
      <c r="G74" s="2"/>
      <c r="H74" s="2"/>
      <c r="I74" s="2"/>
      <c r="J74" s="19">
        <f t="shared" si="7"/>
        <v>0</v>
      </c>
      <c r="K74" s="2"/>
      <c r="L74" s="2">
        <f t="shared" si="8"/>
        <v>-28026</v>
      </c>
      <c r="M74" s="2"/>
      <c r="N74" s="19">
        <f t="shared" si="9"/>
        <v>0</v>
      </c>
      <c r="O74" s="11"/>
      <c r="P74" s="2">
        <v>-399343</v>
      </c>
      <c r="Q74" s="2"/>
      <c r="R74" s="19">
        <f t="shared" si="10"/>
        <v>-0.51815413071318728</v>
      </c>
      <c r="S74" s="2"/>
      <c r="T74" s="2"/>
      <c r="U74" s="2"/>
      <c r="V74" s="19">
        <f t="shared" si="11"/>
        <v>0</v>
      </c>
      <c r="W74" s="2"/>
      <c r="X74" s="2">
        <f t="shared" si="12"/>
        <v>-399343</v>
      </c>
      <c r="Y74" s="2"/>
      <c r="Z74" s="19">
        <f t="shared" si="13"/>
        <v>0</v>
      </c>
    </row>
    <row r="75" spans="1:26" s="24" customFormat="1" hidden="1" outlineLevel="1" x14ac:dyDescent="0.25">
      <c r="A75" s="44"/>
      <c r="B75" s="11" t="str">
        <f>CONCATENATE("          ", "5300", " - ", "COG$ OFFSET")</f>
        <v xml:space="preserve">          5300 - COG$ OFFSET</v>
      </c>
      <c r="C75" s="11"/>
      <c r="D75" s="2">
        <v>58938</v>
      </c>
      <c r="E75" s="2"/>
      <c r="F75" s="19">
        <f t="shared" si="6"/>
        <v>0.50452720242071702</v>
      </c>
      <c r="G75" s="2"/>
      <c r="H75" s="2"/>
      <c r="I75" s="2"/>
      <c r="J75" s="19">
        <f t="shared" si="7"/>
        <v>0</v>
      </c>
      <c r="K75" s="2"/>
      <c r="L75" s="2">
        <f t="shared" si="8"/>
        <v>58938</v>
      </c>
      <c r="M75" s="2"/>
      <c r="N75" s="19">
        <f t="shared" si="9"/>
        <v>0</v>
      </c>
      <c r="O75" s="11"/>
      <c r="P75" s="2">
        <v>385619</v>
      </c>
      <c r="Q75" s="2"/>
      <c r="R75" s="19">
        <f t="shared" si="10"/>
        <v>0.50034701429970863</v>
      </c>
      <c r="S75" s="2"/>
      <c r="T75" s="2"/>
      <c r="U75" s="2"/>
      <c r="V75" s="19">
        <f t="shared" si="11"/>
        <v>0</v>
      </c>
      <c r="W75" s="2"/>
      <c r="X75" s="2">
        <f t="shared" si="12"/>
        <v>385619</v>
      </c>
      <c r="Y75" s="2"/>
      <c r="Z75" s="19">
        <f t="shared" si="13"/>
        <v>0</v>
      </c>
    </row>
    <row r="76" spans="1:26" s="24" customFormat="1" hidden="1" outlineLevel="1" x14ac:dyDescent="0.25">
      <c r="A76" s="44"/>
      <c r="B76" s="11" t="str">
        <f>CONCATENATE("          ", "5500", " - ", "FREIGHT-IN")</f>
        <v xml:space="preserve">          5500 - FREIGHT-IN</v>
      </c>
      <c r="C76" s="11"/>
      <c r="D76" s="2"/>
      <c r="E76" s="2"/>
      <c r="F76" s="19">
        <f t="shared" si="6"/>
        <v>0</v>
      </c>
      <c r="G76" s="2"/>
      <c r="H76" s="2"/>
      <c r="I76" s="2"/>
      <c r="J76" s="19">
        <f t="shared" si="7"/>
        <v>0</v>
      </c>
      <c r="K76" s="2"/>
      <c r="L76" s="2">
        <f t="shared" si="8"/>
        <v>0</v>
      </c>
      <c r="M76" s="2"/>
      <c r="N76" s="19">
        <f t="shared" si="9"/>
        <v>0</v>
      </c>
      <c r="O76" s="11"/>
      <c r="P76" s="2">
        <v>86</v>
      </c>
      <c r="Q76" s="2"/>
      <c r="R76" s="19">
        <f t="shared" si="10"/>
        <v>1.1158641879620804E-4</v>
      </c>
      <c r="S76" s="2"/>
      <c r="T76" s="2"/>
      <c r="U76" s="2"/>
      <c r="V76" s="19">
        <f t="shared" si="11"/>
        <v>0</v>
      </c>
      <c r="W76" s="2"/>
      <c r="X76" s="2">
        <f t="shared" si="12"/>
        <v>86</v>
      </c>
      <c r="Y76" s="2"/>
      <c r="Z76" s="19">
        <f t="shared" si="13"/>
        <v>0</v>
      </c>
    </row>
    <row r="77" spans="1:26" s="24" customFormat="1" hidden="1" outlineLevel="1" x14ac:dyDescent="0.25">
      <c r="A77" s="44"/>
      <c r="B77" s="11" t="str">
        <f>CONCATENATE("          ", "5525", " - ", "FREIGHT-IN-TEST FORMS")</f>
        <v xml:space="preserve">          5525 - FREIGHT-IN-TEST FORMS</v>
      </c>
      <c r="C77" s="11"/>
      <c r="D77" s="2">
        <v>532.61</v>
      </c>
      <c r="E77" s="2"/>
      <c r="F77" s="19">
        <f t="shared" si="6"/>
        <v>4.55930356105226E-3</v>
      </c>
      <c r="G77" s="2"/>
      <c r="H77" s="2"/>
      <c r="I77" s="2"/>
      <c r="J77" s="19">
        <f t="shared" si="7"/>
        <v>0</v>
      </c>
      <c r="K77" s="2"/>
      <c r="L77" s="2">
        <f t="shared" si="8"/>
        <v>532.61</v>
      </c>
      <c r="M77" s="2"/>
      <c r="N77" s="19">
        <f t="shared" si="9"/>
        <v>0</v>
      </c>
      <c r="O77" s="11"/>
      <c r="P77" s="2">
        <v>1155.02</v>
      </c>
      <c r="Q77" s="2"/>
      <c r="R77" s="19">
        <f t="shared" si="10"/>
        <v>1.4986575050929792E-3</v>
      </c>
      <c r="S77" s="2"/>
      <c r="T77" s="2"/>
      <c r="U77" s="2"/>
      <c r="V77" s="19">
        <f t="shared" si="11"/>
        <v>0</v>
      </c>
      <c r="W77" s="2"/>
      <c r="X77" s="2">
        <f t="shared" si="12"/>
        <v>1155.02</v>
      </c>
      <c r="Y77" s="2"/>
      <c r="Z77" s="19">
        <f t="shared" si="13"/>
        <v>0</v>
      </c>
    </row>
    <row r="78" spans="1:26" s="24" customFormat="1" hidden="1" outlineLevel="1" x14ac:dyDescent="0.25">
      <c r="A78" s="44"/>
      <c r="B78" s="11" t="str">
        <f>CONCATENATE("          ", "5526", " - ", "FREIGHT-IN-WRITING INSTRUMENTS")</f>
        <v xml:space="preserve">          5526 - FREIGHT-IN-WRITING INSTRUMENTS</v>
      </c>
      <c r="C78" s="11"/>
      <c r="D78" s="2"/>
      <c r="E78" s="2"/>
      <c r="F78" s="19">
        <f t="shared" si="6"/>
        <v>0</v>
      </c>
      <c r="G78" s="2"/>
      <c r="H78" s="2"/>
      <c r="I78" s="2"/>
      <c r="J78" s="19">
        <f t="shared" si="7"/>
        <v>0</v>
      </c>
      <c r="K78" s="2"/>
      <c r="L78" s="2">
        <f t="shared" si="8"/>
        <v>0</v>
      </c>
      <c r="M78" s="2"/>
      <c r="N78" s="19">
        <f t="shared" si="9"/>
        <v>0</v>
      </c>
      <c r="O78" s="11"/>
      <c r="P78" s="2">
        <v>260.35000000000002</v>
      </c>
      <c r="Q78" s="2"/>
      <c r="R78" s="19">
        <f t="shared" si="10"/>
        <v>3.3780842015805542E-4</v>
      </c>
      <c r="S78" s="2"/>
      <c r="T78" s="2"/>
      <c r="U78" s="2"/>
      <c r="V78" s="19">
        <f t="shared" si="11"/>
        <v>0</v>
      </c>
      <c r="W78" s="2"/>
      <c r="X78" s="2">
        <f t="shared" si="12"/>
        <v>260.35000000000002</v>
      </c>
      <c r="Y78" s="2"/>
      <c r="Z78" s="19">
        <f t="shared" si="13"/>
        <v>0</v>
      </c>
    </row>
    <row r="79" spans="1:26" s="24" customFormat="1" hidden="1" outlineLevel="1" x14ac:dyDescent="0.25">
      <c r="A79" s="44"/>
      <c r="B79" s="11" t="str">
        <f>CONCATENATE("          ", "5527", " - ", "FREIGHT-IN-SCHOOL SUPPLIES")</f>
        <v xml:space="preserve">          5527 - FREIGHT-IN-SCHOOL SUPPLIES</v>
      </c>
      <c r="C79" s="11"/>
      <c r="D79" s="2">
        <v>431.76</v>
      </c>
      <c r="E79" s="2"/>
      <c r="F79" s="19">
        <f t="shared" si="6"/>
        <v>3.695996893636852E-3</v>
      </c>
      <c r="G79" s="2"/>
      <c r="H79" s="2"/>
      <c r="I79" s="2"/>
      <c r="J79" s="19">
        <f t="shared" si="7"/>
        <v>0</v>
      </c>
      <c r="K79" s="2"/>
      <c r="L79" s="2">
        <f t="shared" si="8"/>
        <v>431.76</v>
      </c>
      <c r="M79" s="2"/>
      <c r="N79" s="19">
        <f t="shared" si="9"/>
        <v>0</v>
      </c>
      <c r="O79" s="11"/>
      <c r="P79" s="2">
        <v>1651.6</v>
      </c>
      <c r="Q79" s="2"/>
      <c r="R79" s="19">
        <f t="shared" si="10"/>
        <v>2.1429782474862462E-3</v>
      </c>
      <c r="S79" s="2"/>
      <c r="T79" s="2"/>
      <c r="U79" s="2"/>
      <c r="V79" s="19">
        <f t="shared" si="11"/>
        <v>0</v>
      </c>
      <c r="W79" s="2"/>
      <c r="X79" s="2">
        <f t="shared" si="12"/>
        <v>1651.6</v>
      </c>
      <c r="Y79" s="2"/>
      <c r="Z79" s="19">
        <f t="shared" si="13"/>
        <v>0</v>
      </c>
    </row>
    <row r="80" spans="1:26" s="24" customFormat="1" hidden="1" outlineLevel="1" x14ac:dyDescent="0.25">
      <c r="A80" s="44"/>
      <c r="B80" s="11" t="str">
        <f>CONCATENATE("          ", "5528", " - ", "FREIGHT-IN-ART/TECH")</f>
        <v xml:space="preserve">          5528 - FREIGHT-IN-ART/TECH</v>
      </c>
      <c r="C80" s="11"/>
      <c r="D80" s="2">
        <v>164.79</v>
      </c>
      <c r="E80" s="2"/>
      <c r="F80" s="19">
        <f t="shared" si="6"/>
        <v>1.4106525108912749E-3</v>
      </c>
      <c r="G80" s="2"/>
      <c r="H80" s="2"/>
      <c r="I80" s="2"/>
      <c r="J80" s="19">
        <f t="shared" si="7"/>
        <v>0</v>
      </c>
      <c r="K80" s="2"/>
      <c r="L80" s="2">
        <f t="shared" si="8"/>
        <v>164.79</v>
      </c>
      <c r="M80" s="2"/>
      <c r="N80" s="19">
        <f t="shared" si="9"/>
        <v>0</v>
      </c>
      <c r="O80" s="11"/>
      <c r="P80" s="2">
        <v>1496.25</v>
      </c>
      <c r="Q80" s="2"/>
      <c r="R80" s="19">
        <f t="shared" si="10"/>
        <v>1.9414090595793753E-3</v>
      </c>
      <c r="S80" s="2"/>
      <c r="T80" s="2"/>
      <c r="U80" s="2"/>
      <c r="V80" s="19">
        <f t="shared" si="11"/>
        <v>0</v>
      </c>
      <c r="W80" s="2"/>
      <c r="X80" s="2">
        <f t="shared" si="12"/>
        <v>1496.25</v>
      </c>
      <c r="Y80" s="2"/>
      <c r="Z80" s="19">
        <f t="shared" si="13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6</v>
      </c>
      <c r="C82" s="28"/>
      <c r="D82" s="21">
        <f>D12-D56</f>
        <v>57880.359999999993</v>
      </c>
      <c r="E82" s="14"/>
      <c r="F82" s="22">
        <f>IF(D$12=0,0,D82/D$12)</f>
        <v>0.49547348240361005</v>
      </c>
      <c r="G82" s="14"/>
      <c r="H82" s="21">
        <f>H12-H56</f>
        <v>58853</v>
      </c>
      <c r="I82" s="14"/>
      <c r="J82" s="22">
        <f>IF(H$12=0,0,H82/H$12)</f>
        <v>0.52733300479369205</v>
      </c>
      <c r="K82" s="15"/>
      <c r="L82" s="21">
        <f>+D82-H82</f>
        <v>-972.64000000000669</v>
      </c>
      <c r="M82" s="15"/>
      <c r="N82" s="22">
        <f>IF(H82=0,0,L82/H82)</f>
        <v>-1.6526600173313283E-2</v>
      </c>
      <c r="O82" s="29"/>
      <c r="P82" s="21">
        <f>P12-P56</f>
        <v>385001.56000000017</v>
      </c>
      <c r="Q82" s="14"/>
      <c r="R82" s="22">
        <f>IF(P$12=0,0,P82/P$12)</f>
        <v>0.49954587571341202</v>
      </c>
      <c r="S82" s="14"/>
      <c r="T82" s="21">
        <f>T12-T56</f>
        <v>425480</v>
      </c>
      <c r="U82" s="14"/>
      <c r="V82" s="22">
        <f>IF(T$12=0,0,T82/T$12)</f>
        <v>0.52595990649711544</v>
      </c>
      <c r="W82" s="15"/>
      <c r="X82" s="21">
        <f>+P82-T82</f>
        <v>-40478.439999999828</v>
      </c>
      <c r="Y82" s="15"/>
      <c r="Z82" s="22">
        <f>IF(T82=0,0,X82/T82)</f>
        <v>-9.513594058475093E-2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9</v>
      </c>
      <c r="C84" s="10"/>
      <c r="D84" s="20">
        <f>SUM(OSRRefD22x_0)</f>
        <v>25037.250000000004</v>
      </c>
      <c r="E84" s="20"/>
      <c r="F84" s="34">
        <f t="shared" ref="F84:F94" si="14">IF(D$12=0,0,D84/D$12)</f>
        <v>0.21432647356218568</v>
      </c>
      <c r="G84" s="20"/>
      <c r="H84" s="20">
        <f>SUM(OSRRefH22x_0)</f>
        <v>23734.595827976613</v>
      </c>
      <c r="I84" s="20"/>
      <c r="J84" s="34">
        <f t="shared" ref="J84:J94" si="15">IF(H$12=0,0,H84/H$12)</f>
        <v>0.21266606180705713</v>
      </c>
      <c r="K84" s="4"/>
      <c r="L84" s="20">
        <f t="shared" ref="L84:L94" si="16">+D84-H84</f>
        <v>1302.6541720233909</v>
      </c>
      <c r="M84" s="4"/>
      <c r="N84" s="34">
        <f t="shared" ref="N84:N94" si="17">IF(H84=0,0,L84/H84)</f>
        <v>5.4884194425081259E-2</v>
      </c>
      <c r="O84" s="10"/>
      <c r="P84" s="20">
        <f>SUM(OSRRefP22x_0)</f>
        <v>181979.11999999991</v>
      </c>
      <c r="Q84" s="20"/>
      <c r="R84" s="34">
        <f t="shared" ref="R84:R94" si="18">IF(P$12=0,0,P84/P$12)</f>
        <v>0.23612091042424868</v>
      </c>
      <c r="S84" s="20"/>
      <c r="T84" s="20">
        <f>SUM(OSRRefT22x_0)</f>
        <v>176723.50568895336</v>
      </c>
      <c r="U84" s="20"/>
      <c r="V84" s="34">
        <f t="shared" ref="V84:V94" si="19">IF(T$12=0,0,T84/T$12)</f>
        <v>0.21845792640783199</v>
      </c>
      <c r="W84" s="4"/>
      <c r="X84" s="20">
        <f t="shared" ref="X84:X94" si="20">+P84-T84</f>
        <v>5255.6143110465491</v>
      </c>
      <c r="Y84" s="4"/>
      <c r="Z84" s="34">
        <f t="shared" ref="Z84:Z94" si="21">IF(T84=0,0,X84/T84)</f>
        <v>2.9739192251521E-2</v>
      </c>
    </row>
    <row r="85" spans="1:26" s="27" customFormat="1" outlineLevel="1" collapsed="1" x14ac:dyDescent="0.25">
      <c r="A85" s="26"/>
      <c r="B85" s="13" t="str">
        <f>CONCATENATE("     ","*Benefits                                         ")</f>
        <v xml:space="preserve">     *Benefits                                         </v>
      </c>
      <c r="C85" s="13"/>
      <c r="D85" s="1">
        <f>SUM(OSRRefD22_0x_0)</f>
        <v>4441.25</v>
      </c>
      <c r="E85" s="1"/>
      <c r="F85" s="5">
        <f t="shared" si="14"/>
        <v>3.8018450537022117E-2</v>
      </c>
      <c r="G85" s="1"/>
      <c r="H85" s="1">
        <f>SUM(OSRRefH22_0x_0)</f>
        <v>3582.343426130461</v>
      </c>
      <c r="I85" s="1"/>
      <c r="J85" s="5">
        <f t="shared" si="15"/>
        <v>3.2098413387665975E-2</v>
      </c>
      <c r="K85" s="1"/>
      <c r="L85" s="1">
        <f t="shared" si="16"/>
        <v>858.90657386953899</v>
      </c>
      <c r="M85" s="1"/>
      <c r="N85" s="5">
        <f t="shared" si="17"/>
        <v>0.23976109258662112</v>
      </c>
      <c r="O85" s="13"/>
      <c r="P85" s="1">
        <f>SUM(OSRRefP22_0x_0)</f>
        <v>31188.84</v>
      </c>
      <c r="Q85" s="1"/>
      <c r="R85" s="5">
        <f t="shared" si="18"/>
        <v>4.0468034441952613E-2</v>
      </c>
      <c r="S85" s="1"/>
      <c r="T85" s="1">
        <f>SUM(OSRRefT22_0x_0)</f>
        <v>28426.431020799537</v>
      </c>
      <c r="U85" s="1"/>
      <c r="V85" s="5">
        <f t="shared" si="19"/>
        <v>3.5139520075553321E-2</v>
      </c>
      <c r="W85" s="1"/>
      <c r="X85" s="1">
        <f t="shared" si="20"/>
        <v>2762.4089792004634</v>
      </c>
      <c r="Y85" s="1"/>
      <c r="Z85" s="5">
        <f t="shared" si="21"/>
        <v>9.7177481660614268E-2</v>
      </c>
    </row>
    <row r="86" spans="1:26" s="24" customFormat="1" hidden="1" outlineLevel="2" x14ac:dyDescent="0.25">
      <c r="A86" s="25"/>
      <c r="B86" s="11" t="str">
        <f>CONCATENATE("          ", "6111", " - ", "F.I.C.A.")</f>
        <v xml:space="preserve">          6111 - F.I.C.A.</v>
      </c>
      <c r="C86" s="11"/>
      <c r="D86" s="6">
        <v>558.25</v>
      </c>
      <c r="E86" s="2"/>
      <c r="F86" s="7">
        <f t="shared" si="14"/>
        <v>4.7787897579043281E-3</v>
      </c>
      <c r="G86" s="2"/>
      <c r="H86" s="6">
        <v>898.88570053661499</v>
      </c>
      <c r="I86" s="2"/>
      <c r="J86" s="7">
        <f t="shared" si="15"/>
        <v>8.0541705168819949E-3</v>
      </c>
      <c r="K86" s="2"/>
      <c r="L86" s="6">
        <f t="shared" si="16"/>
        <v>-340.63570053661499</v>
      </c>
      <c r="M86" s="2"/>
      <c r="N86" s="7">
        <f t="shared" si="17"/>
        <v>-0.3789532977699645</v>
      </c>
      <c r="O86" s="11"/>
      <c r="P86" s="6">
        <v>4514.26</v>
      </c>
      <c r="Q86" s="2"/>
      <c r="R86" s="7">
        <f t="shared" si="18"/>
        <v>5.8573268245926758E-3</v>
      </c>
      <c r="S86" s="2"/>
      <c r="T86" s="6">
        <v>7093.0473787933815</v>
      </c>
      <c r="U86" s="2"/>
      <c r="V86" s="7">
        <f t="shared" si="19"/>
        <v>8.7681172702119402E-3</v>
      </c>
      <c r="W86" s="2"/>
      <c r="X86" s="6">
        <f t="shared" si="20"/>
        <v>-2578.7873787933813</v>
      </c>
      <c r="Y86" s="2"/>
      <c r="Z86" s="7">
        <f t="shared" si="21"/>
        <v>-0.36356550874076726</v>
      </c>
    </row>
    <row r="87" spans="1:26" s="24" customFormat="1" hidden="1" outlineLevel="2" x14ac:dyDescent="0.25">
      <c r="A87" s="25"/>
      <c r="B87" s="11" t="str">
        <f>CONCATENATE("          ", "6112", " - ", "COMPENSATION INSURANCE")</f>
        <v xml:space="preserve">          6112 - COMPENSATION INSURANCE</v>
      </c>
      <c r="C87" s="11"/>
      <c r="D87" s="6">
        <v>365.04</v>
      </c>
      <c r="E87" s="2"/>
      <c r="F87" s="7">
        <f t="shared" si="14"/>
        <v>3.1248534047924694E-3</v>
      </c>
      <c r="G87" s="2"/>
      <c r="H87" s="6">
        <v>322.32718690769195</v>
      </c>
      <c r="I87" s="2"/>
      <c r="J87" s="7">
        <f t="shared" si="15"/>
        <v>2.88810704634821E-3</v>
      </c>
      <c r="K87" s="2"/>
      <c r="L87" s="6">
        <f t="shared" si="16"/>
        <v>42.712813092308068</v>
      </c>
      <c r="M87" s="2"/>
      <c r="N87" s="7">
        <f t="shared" si="17"/>
        <v>0.13251383943775169</v>
      </c>
      <c r="O87" s="11"/>
      <c r="P87" s="6">
        <v>2114.46</v>
      </c>
      <c r="Q87" s="2"/>
      <c r="R87" s="7">
        <f t="shared" si="18"/>
        <v>2.7435467335794189E-3</v>
      </c>
      <c r="S87" s="2"/>
      <c r="T87" s="6">
        <v>2328.1726420923046</v>
      </c>
      <c r="U87" s="2"/>
      <c r="V87" s="7">
        <f t="shared" si="19"/>
        <v>2.8779859573752251E-3</v>
      </c>
      <c r="W87" s="2"/>
      <c r="X87" s="6">
        <f t="shared" si="20"/>
        <v>-213.71264209230458</v>
      </c>
      <c r="Y87" s="2"/>
      <c r="Z87" s="7">
        <f t="shared" si="21"/>
        <v>-9.1794155737627448E-2</v>
      </c>
    </row>
    <row r="88" spans="1:26" s="24" customFormat="1" hidden="1" outlineLevel="2" x14ac:dyDescent="0.25">
      <c r="A88" s="25"/>
      <c r="B88" s="11" t="str">
        <f>CONCATENATE("          ", "6113", " - ", "GROUP INSURANCE")</f>
        <v xml:space="preserve">          6113 - GROUP INSURANCE</v>
      </c>
      <c r="C88" s="11"/>
      <c r="D88" s="6">
        <v>2240.4499999999998</v>
      </c>
      <c r="E88" s="2"/>
      <c r="F88" s="7">
        <f t="shared" si="14"/>
        <v>1.9178933297083298E-2</v>
      </c>
      <c r="G88" s="2"/>
      <c r="H88" s="6">
        <v>1288.05</v>
      </c>
      <c r="I88" s="2"/>
      <c r="J88" s="7">
        <f t="shared" si="15"/>
        <v>1.1541149590072129E-2</v>
      </c>
      <c r="K88" s="2"/>
      <c r="L88" s="6">
        <f t="shared" si="16"/>
        <v>952.39999999999986</v>
      </c>
      <c r="M88" s="2"/>
      <c r="N88" s="7">
        <f t="shared" si="17"/>
        <v>0.7394122898955785</v>
      </c>
      <c r="O88" s="11"/>
      <c r="P88" s="6">
        <v>14561.14</v>
      </c>
      <c r="Q88" s="2"/>
      <c r="R88" s="7">
        <f t="shared" si="18"/>
        <v>1.8893319374304843E-2</v>
      </c>
      <c r="S88" s="2"/>
      <c r="T88" s="6">
        <v>10304.4</v>
      </c>
      <c r="U88" s="2"/>
      <c r="V88" s="7">
        <f t="shared" si="19"/>
        <v>1.2737851980137436E-2</v>
      </c>
      <c r="W88" s="2"/>
      <c r="X88" s="6">
        <f t="shared" si="20"/>
        <v>4256.74</v>
      </c>
      <c r="Y88" s="2"/>
      <c r="Z88" s="7">
        <f t="shared" si="21"/>
        <v>0.41309925856915491</v>
      </c>
    </row>
    <row r="89" spans="1:26" s="24" customFormat="1" hidden="1" outlineLevel="2" x14ac:dyDescent="0.25">
      <c r="A89" s="25"/>
      <c r="B89" s="11" t="str">
        <f>CONCATENATE("          ", "6114", " - ", "STATE UNEMPLOYMENT INSURANCE")</f>
        <v xml:space="preserve">          6114 - STATE UNEMPLOYMENT INSURANCE</v>
      </c>
      <c r="C89" s="11"/>
      <c r="D89" s="6">
        <v>49.95</v>
      </c>
      <c r="E89" s="2"/>
      <c r="F89" s="7">
        <f t="shared" si="14"/>
        <v>4.2758718926524171E-4</v>
      </c>
      <c r="G89" s="2"/>
      <c r="H89" s="6">
        <v>44.107930840000002</v>
      </c>
      <c r="I89" s="2"/>
      <c r="J89" s="7">
        <f t="shared" si="15"/>
        <v>3.9521464844765019E-4</v>
      </c>
      <c r="K89" s="2"/>
      <c r="L89" s="6">
        <f t="shared" si="16"/>
        <v>5.8420691600000012</v>
      </c>
      <c r="M89" s="2"/>
      <c r="N89" s="7">
        <f t="shared" si="17"/>
        <v>0.13244940419426851</v>
      </c>
      <c r="O89" s="11"/>
      <c r="P89" s="6">
        <v>331.32</v>
      </c>
      <c r="Q89" s="2"/>
      <c r="R89" s="7">
        <f t="shared" si="18"/>
        <v>4.2989316599487961E-4</v>
      </c>
      <c r="S89" s="2"/>
      <c r="T89" s="6">
        <v>318.59204576000002</v>
      </c>
      <c r="U89" s="2"/>
      <c r="V89" s="7">
        <f t="shared" si="19"/>
        <v>3.9382965732503132E-4</v>
      </c>
      <c r="W89" s="2"/>
      <c r="X89" s="6">
        <f t="shared" si="20"/>
        <v>12.727954239999974</v>
      </c>
      <c r="Y89" s="2"/>
      <c r="Z89" s="7">
        <f t="shared" si="21"/>
        <v>3.9950634076998032E-2</v>
      </c>
    </row>
    <row r="90" spans="1:26" s="24" customFormat="1" hidden="1" outlineLevel="2" x14ac:dyDescent="0.25">
      <c r="A90" s="25"/>
      <c r="B90" s="11" t="str">
        <f>CONCATENATE("          ", "6115", " - ", "P.E.R.S.")</f>
        <v xml:space="preserve">          6115 - P.E.R.S.</v>
      </c>
      <c r="C90" s="11"/>
      <c r="D90" s="6">
        <v>399.23</v>
      </c>
      <c r="E90" s="2"/>
      <c r="F90" s="7">
        <f t="shared" si="14"/>
        <v>3.4175302016088579E-3</v>
      </c>
      <c r="G90" s="2"/>
      <c r="H90" s="6">
        <v>451.12567507692296</v>
      </c>
      <c r="I90" s="2"/>
      <c r="J90" s="7">
        <f t="shared" si="15"/>
        <v>4.0421636582314681E-3</v>
      </c>
      <c r="K90" s="2"/>
      <c r="L90" s="6">
        <f t="shared" si="16"/>
        <v>-51.895675076922942</v>
      </c>
      <c r="M90" s="2"/>
      <c r="N90" s="7">
        <f t="shared" si="17"/>
        <v>-0.11503595991975858</v>
      </c>
      <c r="O90" s="11"/>
      <c r="P90" s="6">
        <v>3263.13</v>
      </c>
      <c r="Q90" s="2"/>
      <c r="R90" s="7">
        <f t="shared" si="18"/>
        <v>4.2339650089124456E-3</v>
      </c>
      <c r="S90" s="2"/>
      <c r="T90" s="6">
        <v>3947.349656923077</v>
      </c>
      <c r="U90" s="2"/>
      <c r="V90" s="7">
        <f t="shared" si="19"/>
        <v>4.8795422968569199E-3</v>
      </c>
      <c r="W90" s="2"/>
      <c r="X90" s="6">
        <f t="shared" si="20"/>
        <v>-684.21965692307685</v>
      </c>
      <c r="Y90" s="2"/>
      <c r="Z90" s="7">
        <f t="shared" si="21"/>
        <v>-0.17333647038920283</v>
      </c>
    </row>
    <row r="91" spans="1:26" s="24" customFormat="1" hidden="1" outlineLevel="2" x14ac:dyDescent="0.25">
      <c r="A91" s="25"/>
      <c r="B91" s="11" t="str">
        <f>CONCATENATE("          ", "6116", " - ", "EDUCATIONAL BENEFITS")</f>
        <v xml:space="preserve">          6116 - EDUCATIONAL BENEFITS</v>
      </c>
      <c r="C91" s="11"/>
      <c r="D91" s="6"/>
      <c r="E91" s="2"/>
      <c r="F91" s="7">
        <f t="shared" si="14"/>
        <v>0</v>
      </c>
      <c r="G91" s="2"/>
      <c r="H91" s="6">
        <v>0</v>
      </c>
      <c r="I91" s="2"/>
      <c r="J91" s="7">
        <f t="shared" si="15"/>
        <v>0</v>
      </c>
      <c r="K91" s="2"/>
      <c r="L91" s="6">
        <f t="shared" si="16"/>
        <v>0</v>
      </c>
      <c r="M91" s="2"/>
      <c r="N91" s="7">
        <f t="shared" si="17"/>
        <v>0</v>
      </c>
      <c r="O91" s="11"/>
      <c r="P91" s="6"/>
      <c r="Q91" s="2"/>
      <c r="R91" s="7">
        <f t="shared" si="18"/>
        <v>0</v>
      </c>
      <c r="S91" s="2"/>
      <c r="T91" s="6">
        <v>0</v>
      </c>
      <c r="U91" s="2"/>
      <c r="V91" s="7">
        <f t="shared" si="19"/>
        <v>0</v>
      </c>
      <c r="W91" s="2"/>
      <c r="X91" s="6">
        <f t="shared" si="20"/>
        <v>0</v>
      </c>
      <c r="Y91" s="2"/>
      <c r="Z91" s="7">
        <f t="shared" si="21"/>
        <v>0</v>
      </c>
    </row>
    <row r="92" spans="1:26" s="24" customFormat="1" hidden="1" outlineLevel="2" x14ac:dyDescent="0.25">
      <c r="A92" s="25"/>
      <c r="B92" s="11" t="str">
        <f>CONCATENATE("          ", "6118", " - ", "VACATION")</f>
        <v xml:space="preserve">          6118 - VACATION</v>
      </c>
      <c r="C92" s="11"/>
      <c r="D92" s="6">
        <v>281.82</v>
      </c>
      <c r="E92" s="2"/>
      <c r="F92" s="7">
        <f t="shared" si="14"/>
        <v>2.4124648984730815E-3</v>
      </c>
      <c r="G92" s="2"/>
      <c r="H92" s="6">
        <v>202.954369230769</v>
      </c>
      <c r="I92" s="2"/>
      <c r="J92" s="7">
        <f t="shared" si="15"/>
        <v>1.818506063624112E-3</v>
      </c>
      <c r="K92" s="2"/>
      <c r="L92" s="6">
        <f t="shared" si="16"/>
        <v>78.865630769230989</v>
      </c>
      <c r="M92" s="2"/>
      <c r="N92" s="7">
        <f t="shared" si="17"/>
        <v>0.38858799181384918</v>
      </c>
      <c r="O92" s="11"/>
      <c r="P92" s="6">
        <v>2810.82</v>
      </c>
      <c r="Q92" s="2"/>
      <c r="R92" s="7">
        <f t="shared" si="18"/>
        <v>3.647085321869273E-3</v>
      </c>
      <c r="S92" s="2"/>
      <c r="T92" s="6">
        <v>1775.8507307692309</v>
      </c>
      <c r="U92" s="2"/>
      <c r="V92" s="7">
        <f t="shared" si="19"/>
        <v>2.1952295861338224E-3</v>
      </c>
      <c r="W92" s="2"/>
      <c r="X92" s="6">
        <f t="shared" si="20"/>
        <v>1034.9692692307692</v>
      </c>
      <c r="Y92" s="2"/>
      <c r="Z92" s="7">
        <f t="shared" si="21"/>
        <v>0.58280195024187642</v>
      </c>
    </row>
    <row r="93" spans="1:26" s="24" customFormat="1" hidden="1" outlineLevel="2" x14ac:dyDescent="0.25">
      <c r="A93" s="25"/>
      <c r="B93" s="11" t="str">
        <f>CONCATENATE("          ", "6119", " - ", "SICK LEAVE")</f>
        <v xml:space="preserve">          6119 - SICK LEAVE</v>
      </c>
      <c r="C93" s="11"/>
      <c r="D93" s="6">
        <v>263.63</v>
      </c>
      <c r="E93" s="2"/>
      <c r="F93" s="7">
        <f t="shared" si="14"/>
        <v>2.2567529670870002E-3</v>
      </c>
      <c r="G93" s="2"/>
      <c r="H93" s="6">
        <v>374.89256353846201</v>
      </c>
      <c r="I93" s="2"/>
      <c r="J93" s="7">
        <f t="shared" si="15"/>
        <v>3.3591018640604098E-3</v>
      </c>
      <c r="K93" s="2"/>
      <c r="L93" s="6">
        <f t="shared" si="16"/>
        <v>-111.26256353846202</v>
      </c>
      <c r="M93" s="2"/>
      <c r="N93" s="7">
        <f t="shared" si="17"/>
        <v>-0.29678519757313632</v>
      </c>
      <c r="O93" s="11"/>
      <c r="P93" s="6">
        <v>2008.77</v>
      </c>
      <c r="Q93" s="2"/>
      <c r="R93" s="7">
        <f t="shared" si="18"/>
        <v>2.6064122149448699E-3</v>
      </c>
      <c r="S93" s="2"/>
      <c r="T93" s="6">
        <v>2659.0185664615406</v>
      </c>
      <c r="U93" s="2"/>
      <c r="V93" s="7">
        <f t="shared" si="19"/>
        <v>3.2869633275129403E-3</v>
      </c>
      <c r="W93" s="2"/>
      <c r="X93" s="6">
        <f t="shared" si="20"/>
        <v>-650.24856646154058</v>
      </c>
      <c r="Y93" s="2"/>
      <c r="Z93" s="7">
        <f t="shared" si="21"/>
        <v>-0.24454457545471434</v>
      </c>
    </row>
    <row r="94" spans="1:26" s="24" customFormat="1" hidden="1" outlineLevel="2" x14ac:dyDescent="0.25">
      <c r="A94" s="25"/>
      <c r="B94" s="11" t="str">
        <f>CONCATENATE("          ", "6156", " - ", "EMPLOYEE MEALS")</f>
        <v xml:space="preserve">          6156 - EMPLOYEE MEALS</v>
      </c>
      <c r="C94" s="11"/>
      <c r="D94" s="6">
        <v>282.88</v>
      </c>
      <c r="E94" s="2"/>
      <c r="F94" s="7">
        <f t="shared" si="14"/>
        <v>2.4215388208078392E-3</v>
      </c>
      <c r="G94" s="2"/>
      <c r="H94" s="6"/>
      <c r="I94" s="2"/>
      <c r="J94" s="7">
        <f t="shared" si="15"/>
        <v>0</v>
      </c>
      <c r="K94" s="2"/>
      <c r="L94" s="6">
        <f t="shared" si="16"/>
        <v>282.88</v>
      </c>
      <c r="M94" s="2"/>
      <c r="N94" s="7">
        <f t="shared" si="17"/>
        <v>0</v>
      </c>
      <c r="O94" s="11"/>
      <c r="P94" s="6">
        <v>1584.94</v>
      </c>
      <c r="Q94" s="2"/>
      <c r="R94" s="7">
        <f t="shared" si="18"/>
        <v>2.0564857977542089E-3</v>
      </c>
      <c r="S94" s="2"/>
      <c r="T94" s="6"/>
      <c r="U94" s="2"/>
      <c r="V94" s="7">
        <f t="shared" si="19"/>
        <v>0</v>
      </c>
      <c r="W94" s="2"/>
      <c r="X94" s="6">
        <f t="shared" si="20"/>
        <v>1584.94</v>
      </c>
      <c r="Y94" s="2"/>
      <c r="Z94" s="7">
        <f t="shared" si="21"/>
        <v>0</v>
      </c>
    </row>
    <row r="95" spans="1:26" s="27" customFormat="1" outlineLevel="1" collapsed="1" x14ac:dyDescent="0.25">
      <c r="A95" s="26"/>
      <c r="B95" s="13" t="str">
        <f>CONCATENATE("     ","*Payroll                                          ")</f>
        <v xml:space="preserve">     *Payroll                                          </v>
      </c>
      <c r="C95" s="13"/>
      <c r="D95" s="1">
        <f>SUM(OSRRefD22_1x_0)</f>
        <v>17692.190000000002</v>
      </c>
      <c r="E95" s="1"/>
      <c r="F95" s="5">
        <f t="shared" ref="F95:F105" si="22">IF(D$12=0,0,D95/D$12)</f>
        <v>0.15145052640733969</v>
      </c>
      <c r="G95" s="1"/>
      <c r="H95" s="1">
        <f>SUM(OSRRefH22_1x_0)</f>
        <v>16587.252401846148</v>
      </c>
      <c r="I95" s="1"/>
      <c r="J95" s="5">
        <f t="shared" ref="J95:J105" si="23">IF(H$12=0,0,H95/H$12)</f>
        <v>0.14862463511353566</v>
      </c>
      <c r="K95" s="1"/>
      <c r="L95" s="1">
        <f t="shared" ref="L95:L105" si="24">+D95-H95</f>
        <v>1104.9375981538542</v>
      </c>
      <c r="M95" s="1"/>
      <c r="N95" s="5">
        <f t="shared" ref="N95:N105" si="25">IF(H95=0,0,L95/H95)</f>
        <v>6.6613660381201867E-2</v>
      </c>
      <c r="O95" s="13"/>
      <c r="P95" s="1">
        <f>SUM(OSRRefP22_1x_0)</f>
        <v>125461.12</v>
      </c>
      <c r="Q95" s="1"/>
      <c r="R95" s="5">
        <f t="shared" ref="R95:R105" si="26">IF(P$12=0,0,P95/P$12)</f>
        <v>0.16278787301117803</v>
      </c>
      <c r="S95" s="1"/>
      <c r="T95" s="1">
        <f>SUM(OSRRefT22_1x_0)</f>
        <v>119777.07466815381</v>
      </c>
      <c r="U95" s="1"/>
      <c r="V95" s="5">
        <f t="shared" ref="V95:V105" si="27">IF(T$12=0,0,T95/T$12)</f>
        <v>0.1480632203463387</v>
      </c>
      <c r="W95" s="1"/>
      <c r="X95" s="1">
        <f t="shared" ref="X95:X105" si="28">+P95-T95</f>
        <v>5684.0453318461805</v>
      </c>
      <c r="Y95" s="1"/>
      <c r="Z95" s="5">
        <f t="shared" ref="Z95:Z105" si="29">IF(T95=0,0,X95/T95)</f>
        <v>4.7455202488406137E-2</v>
      </c>
    </row>
    <row r="96" spans="1:26" s="24" customFormat="1" hidden="1" outlineLevel="2" x14ac:dyDescent="0.25">
      <c r="A96" s="25"/>
      <c r="B96" s="11" t="str">
        <f>CONCATENATE("          ", "6001", " - ", "ADMINISTRATIVE SALARIES")</f>
        <v xml:space="preserve">          6001 - ADMINISTRATIVE SALARIES</v>
      </c>
      <c r="C96" s="11"/>
      <c r="D96" s="6"/>
      <c r="E96" s="2"/>
      <c r="F96" s="7">
        <f t="shared" si="22"/>
        <v>0</v>
      </c>
      <c r="G96" s="2"/>
      <c r="H96" s="6">
        <v>5063.3075938461498</v>
      </c>
      <c r="I96" s="2"/>
      <c r="J96" s="7">
        <f t="shared" si="23"/>
        <v>4.5368107108517984E-2</v>
      </c>
      <c r="K96" s="2"/>
      <c r="L96" s="6">
        <f t="shared" si="24"/>
        <v>-5063.3075938461498</v>
      </c>
      <c r="M96" s="2"/>
      <c r="N96" s="7">
        <f t="shared" si="25"/>
        <v>-1</v>
      </c>
      <c r="O96" s="11"/>
      <c r="P96" s="6"/>
      <c r="Q96" s="2"/>
      <c r="R96" s="7">
        <f t="shared" si="26"/>
        <v>0</v>
      </c>
      <c r="S96" s="2"/>
      <c r="T96" s="6">
        <v>44303.941446153818</v>
      </c>
      <c r="U96" s="2"/>
      <c r="V96" s="7">
        <f t="shared" si="27"/>
        <v>5.4766609242438515E-2</v>
      </c>
      <c r="W96" s="2"/>
      <c r="X96" s="6">
        <f t="shared" si="28"/>
        <v>-44303.941446153818</v>
      </c>
      <c r="Y96" s="2"/>
      <c r="Z96" s="7">
        <f t="shared" si="29"/>
        <v>-1</v>
      </c>
    </row>
    <row r="97" spans="1:26" s="24" customFormat="1" hidden="1" outlineLevel="2" x14ac:dyDescent="0.25">
      <c r="A97" s="25"/>
      <c r="B97" s="11" t="str">
        <f>CONCATENATE("          ", "6002", " - ", "STAFF SALARIES")</f>
        <v xml:space="preserve">          6002 - STAFF SALARIES</v>
      </c>
      <c r="C97" s="11"/>
      <c r="D97" s="6">
        <v>5054.58</v>
      </c>
      <c r="E97" s="2"/>
      <c r="F97" s="7">
        <f t="shared" si="22"/>
        <v>4.3268741844170282E-2</v>
      </c>
      <c r="G97" s="2"/>
      <c r="H97" s="6">
        <v>0</v>
      </c>
      <c r="I97" s="2"/>
      <c r="J97" s="7">
        <f t="shared" si="23"/>
        <v>0</v>
      </c>
      <c r="K97" s="2"/>
      <c r="L97" s="6">
        <f t="shared" si="24"/>
        <v>5054.58</v>
      </c>
      <c r="M97" s="2"/>
      <c r="N97" s="7">
        <f t="shared" si="25"/>
        <v>0</v>
      </c>
      <c r="O97" s="11"/>
      <c r="P97" s="6">
        <v>42490.81</v>
      </c>
      <c r="Q97" s="2"/>
      <c r="R97" s="7">
        <f t="shared" si="26"/>
        <v>5.5132526972675629E-2</v>
      </c>
      <c r="S97" s="2"/>
      <c r="T97" s="6">
        <v>0</v>
      </c>
      <c r="U97" s="2"/>
      <c r="V97" s="7">
        <f t="shared" si="27"/>
        <v>0</v>
      </c>
      <c r="W97" s="2"/>
      <c r="X97" s="6">
        <f t="shared" si="28"/>
        <v>42490.81</v>
      </c>
      <c r="Y97" s="2"/>
      <c r="Z97" s="7">
        <f t="shared" si="29"/>
        <v>0</v>
      </c>
    </row>
    <row r="98" spans="1:26" s="24" customFormat="1" hidden="1" outlineLevel="2" x14ac:dyDescent="0.25">
      <c r="A98" s="25"/>
      <c r="B98" s="11" t="str">
        <f>CONCATENATE("          ", "6003", " - ", "STAFF HOURLY-9 MONTH")</f>
        <v xml:space="preserve">          6003 - STAFF HOURLY-9 MONTH</v>
      </c>
      <c r="C98" s="11"/>
      <c r="D98" s="6"/>
      <c r="E98" s="2"/>
      <c r="F98" s="7">
        <f t="shared" si="22"/>
        <v>0</v>
      </c>
      <c r="G98" s="2"/>
      <c r="H98" s="6">
        <v>0</v>
      </c>
      <c r="I98" s="2"/>
      <c r="J98" s="7">
        <f t="shared" si="23"/>
        <v>0</v>
      </c>
      <c r="K98" s="2"/>
      <c r="L98" s="6">
        <f t="shared" si="24"/>
        <v>0</v>
      </c>
      <c r="M98" s="2"/>
      <c r="N98" s="7">
        <f t="shared" si="25"/>
        <v>0</v>
      </c>
      <c r="O98" s="11"/>
      <c r="P98" s="6"/>
      <c r="Q98" s="2"/>
      <c r="R98" s="7">
        <f t="shared" si="26"/>
        <v>0</v>
      </c>
      <c r="S98" s="2"/>
      <c r="T98" s="6">
        <v>0</v>
      </c>
      <c r="U98" s="2"/>
      <c r="V98" s="7">
        <f t="shared" si="27"/>
        <v>0</v>
      </c>
      <c r="W98" s="2"/>
      <c r="X98" s="6">
        <f t="shared" si="28"/>
        <v>0</v>
      </c>
      <c r="Y98" s="2"/>
      <c r="Z98" s="7">
        <f t="shared" si="29"/>
        <v>0</v>
      </c>
    </row>
    <row r="99" spans="1:26" s="24" customFormat="1" hidden="1" outlineLevel="2" x14ac:dyDescent="0.25">
      <c r="A99" s="25"/>
      <c r="B99" s="11" t="str">
        <f>CONCATENATE("          ", "6004", " - ", "STAFF HOURLY")</f>
        <v xml:space="preserve">          6004 - STAFF HOURLY</v>
      </c>
      <c r="C99" s="11"/>
      <c r="D99" s="6"/>
      <c r="E99" s="2"/>
      <c r="F99" s="7">
        <f t="shared" si="22"/>
        <v>0</v>
      </c>
      <c r="G99" s="2"/>
      <c r="H99" s="6">
        <v>0</v>
      </c>
      <c r="I99" s="2"/>
      <c r="J99" s="7">
        <f t="shared" si="23"/>
        <v>0</v>
      </c>
      <c r="K99" s="2"/>
      <c r="L99" s="6">
        <f t="shared" si="24"/>
        <v>0</v>
      </c>
      <c r="M99" s="2"/>
      <c r="N99" s="7">
        <f t="shared" si="25"/>
        <v>0</v>
      </c>
      <c r="O99" s="11"/>
      <c r="P99" s="6">
        <v>-48</v>
      </c>
      <c r="Q99" s="2"/>
      <c r="R99" s="7">
        <f t="shared" si="26"/>
        <v>-6.2280791886255645E-5</v>
      </c>
      <c r="S99" s="2"/>
      <c r="T99" s="6">
        <v>0</v>
      </c>
      <c r="U99" s="2"/>
      <c r="V99" s="7">
        <f t="shared" si="27"/>
        <v>0</v>
      </c>
      <c r="W99" s="2"/>
      <c r="X99" s="6">
        <f t="shared" si="28"/>
        <v>-48</v>
      </c>
      <c r="Y99" s="2"/>
      <c r="Z99" s="7">
        <f t="shared" si="29"/>
        <v>0</v>
      </c>
    </row>
    <row r="100" spans="1:26" s="24" customFormat="1" hidden="1" outlineLevel="2" x14ac:dyDescent="0.25">
      <c r="A100" s="25"/>
      <c r="B100" s="11" t="str">
        <f>CONCATENATE("          ", "6005", " - ", "TEMPORARY WAGES-HOURLY")</f>
        <v xml:space="preserve">          6005 - TEMPORARY WAGES-HOURLY</v>
      </c>
      <c r="C100" s="11"/>
      <c r="D100" s="6">
        <v>1591.67</v>
      </c>
      <c r="E100" s="2"/>
      <c r="F100" s="7">
        <f t="shared" si="22"/>
        <v>1.3625179209966112E-2</v>
      </c>
      <c r="G100" s="2"/>
      <c r="H100" s="6">
        <v>0</v>
      </c>
      <c r="I100" s="2"/>
      <c r="J100" s="7">
        <f t="shared" si="23"/>
        <v>0</v>
      </c>
      <c r="K100" s="2"/>
      <c r="L100" s="6">
        <f t="shared" si="24"/>
        <v>1591.67</v>
      </c>
      <c r="M100" s="2"/>
      <c r="N100" s="7">
        <f t="shared" si="25"/>
        <v>0</v>
      </c>
      <c r="O100" s="11"/>
      <c r="P100" s="6">
        <v>5305.51</v>
      </c>
      <c r="Q100" s="2"/>
      <c r="R100" s="7">
        <f t="shared" si="26"/>
        <v>6.8839867533426712E-3</v>
      </c>
      <c r="S100" s="2"/>
      <c r="T100" s="6">
        <v>0</v>
      </c>
      <c r="U100" s="2"/>
      <c r="V100" s="7">
        <f t="shared" si="27"/>
        <v>0</v>
      </c>
      <c r="W100" s="2"/>
      <c r="X100" s="6">
        <f t="shared" si="28"/>
        <v>5305.51</v>
      </c>
      <c r="Y100" s="2"/>
      <c r="Z100" s="7">
        <f t="shared" si="29"/>
        <v>0</v>
      </c>
    </row>
    <row r="101" spans="1:26" s="24" customFormat="1" hidden="1" outlineLevel="2" x14ac:dyDescent="0.25">
      <c r="A101" s="25"/>
      <c r="B101" s="11" t="str">
        <f>CONCATENATE("          ", "6006", " - ", "TEMPORARY PART TIME")</f>
        <v xml:space="preserve">          6006 - TEMPORARY PART TIME</v>
      </c>
      <c r="C101" s="11"/>
      <c r="D101" s="6"/>
      <c r="E101" s="2"/>
      <c r="F101" s="7">
        <f t="shared" si="22"/>
        <v>0</v>
      </c>
      <c r="G101" s="2"/>
      <c r="H101" s="6">
        <v>0</v>
      </c>
      <c r="I101" s="2"/>
      <c r="J101" s="7">
        <f t="shared" si="23"/>
        <v>0</v>
      </c>
      <c r="K101" s="2"/>
      <c r="L101" s="6">
        <f t="shared" si="24"/>
        <v>0</v>
      </c>
      <c r="M101" s="2"/>
      <c r="N101" s="7">
        <f t="shared" si="25"/>
        <v>0</v>
      </c>
      <c r="O101" s="11"/>
      <c r="P101" s="6">
        <v>25.5</v>
      </c>
      <c r="Q101" s="2"/>
      <c r="R101" s="7">
        <f t="shared" si="26"/>
        <v>3.3086670689573311E-5</v>
      </c>
      <c r="S101" s="2"/>
      <c r="T101" s="6">
        <v>0</v>
      </c>
      <c r="U101" s="2"/>
      <c r="V101" s="7">
        <f t="shared" si="27"/>
        <v>0</v>
      </c>
      <c r="W101" s="2"/>
      <c r="X101" s="6">
        <f t="shared" si="28"/>
        <v>25.5</v>
      </c>
      <c r="Y101" s="2"/>
      <c r="Z101" s="7">
        <f t="shared" si="29"/>
        <v>0</v>
      </c>
    </row>
    <row r="102" spans="1:26" s="24" customFormat="1" hidden="1" outlineLevel="2" x14ac:dyDescent="0.25">
      <c r="A102" s="25"/>
      <c r="B102" s="11" t="str">
        <f>CONCATENATE("          ", "6007", " - ", "STUDENT HOURLY")</f>
        <v xml:space="preserve">          6007 - STUDENT HOURLY</v>
      </c>
      <c r="C102" s="11"/>
      <c r="D102" s="6">
        <v>11045.94</v>
      </c>
      <c r="E102" s="2"/>
      <c r="F102" s="7">
        <f t="shared" si="22"/>
        <v>9.4556605353203288E-2</v>
      </c>
      <c r="G102" s="2"/>
      <c r="H102" s="6">
        <v>6304.8898079999999</v>
      </c>
      <c r="I102" s="2"/>
      <c r="J102" s="7">
        <f t="shared" si="23"/>
        <v>5.6492897343308993E-2</v>
      </c>
      <c r="K102" s="2"/>
      <c r="L102" s="6">
        <f t="shared" si="24"/>
        <v>4741.0501920000006</v>
      </c>
      <c r="M102" s="2"/>
      <c r="N102" s="7">
        <f t="shared" si="25"/>
        <v>0.75196400514157891</v>
      </c>
      <c r="O102" s="11"/>
      <c r="P102" s="6">
        <v>77687.3</v>
      </c>
      <c r="Q102" s="2"/>
      <c r="R102" s="7">
        <f t="shared" si="26"/>
        <v>0.10080055340635642</v>
      </c>
      <c r="S102" s="2"/>
      <c r="T102" s="6">
        <v>45672.123222000002</v>
      </c>
      <c r="U102" s="2"/>
      <c r="V102" s="7">
        <f t="shared" si="27"/>
        <v>5.6457896162846327E-2</v>
      </c>
      <c r="W102" s="2"/>
      <c r="X102" s="6">
        <f t="shared" si="28"/>
        <v>32015.176778000001</v>
      </c>
      <c r="Y102" s="2"/>
      <c r="Z102" s="7">
        <f t="shared" si="29"/>
        <v>0.70097850766391501</v>
      </c>
    </row>
    <row r="103" spans="1:26" s="24" customFormat="1" hidden="1" outlineLevel="2" x14ac:dyDescent="0.25">
      <c r="A103" s="25"/>
      <c r="B103" s="11" t="str">
        <f>CONCATENATE("          ", "6008", " - ", "STUDENT HOURLY-FICA EXEMPT")</f>
        <v xml:space="preserve">          6008 - STUDENT HOURLY-FICA EXEMPT</v>
      </c>
      <c r="C103" s="11"/>
      <c r="D103" s="6"/>
      <c r="E103" s="2"/>
      <c r="F103" s="7">
        <f t="shared" si="22"/>
        <v>0</v>
      </c>
      <c r="G103" s="2"/>
      <c r="H103" s="6">
        <v>5219.0550000000003</v>
      </c>
      <c r="I103" s="2"/>
      <c r="J103" s="7">
        <f t="shared" si="23"/>
        <v>4.6763630661708709E-2</v>
      </c>
      <c r="K103" s="2"/>
      <c r="L103" s="6">
        <f t="shared" si="24"/>
        <v>-5219.0550000000003</v>
      </c>
      <c r="M103" s="2"/>
      <c r="N103" s="7">
        <f t="shared" si="25"/>
        <v>-1</v>
      </c>
      <c r="O103" s="11"/>
      <c r="P103" s="6"/>
      <c r="Q103" s="2"/>
      <c r="R103" s="7">
        <f t="shared" si="26"/>
        <v>0</v>
      </c>
      <c r="S103" s="2"/>
      <c r="T103" s="6">
        <v>29801.01</v>
      </c>
      <c r="U103" s="2"/>
      <c r="V103" s="7">
        <f t="shared" si="27"/>
        <v>3.6838714941053868E-2</v>
      </c>
      <c r="W103" s="2"/>
      <c r="X103" s="6">
        <f t="shared" si="28"/>
        <v>-29801.01</v>
      </c>
      <c r="Y103" s="2"/>
      <c r="Z103" s="7">
        <f t="shared" si="29"/>
        <v>-1</v>
      </c>
    </row>
    <row r="104" spans="1:26" s="24" customFormat="1" hidden="1" outlineLevel="2" x14ac:dyDescent="0.25">
      <c r="A104" s="25"/>
      <c r="B104" s="11" t="str">
        <f>CONCATENATE("          ", "6009", " - ", "TEMPORARY-SEASONAL")</f>
        <v xml:space="preserve">          6009 - TEMPORARY-SEASONAL</v>
      </c>
      <c r="C104" s="11"/>
      <c r="D104" s="6"/>
      <c r="E104" s="2"/>
      <c r="F104" s="7">
        <f t="shared" si="22"/>
        <v>0</v>
      </c>
      <c r="G104" s="2"/>
      <c r="H104" s="6">
        <v>0</v>
      </c>
      <c r="I104" s="2"/>
      <c r="J104" s="7">
        <f t="shared" si="23"/>
        <v>0</v>
      </c>
      <c r="K104" s="2"/>
      <c r="L104" s="6">
        <f t="shared" si="24"/>
        <v>0</v>
      </c>
      <c r="M104" s="2"/>
      <c r="N104" s="7">
        <f t="shared" si="25"/>
        <v>0</v>
      </c>
      <c r="O104" s="11"/>
      <c r="P104" s="6"/>
      <c r="Q104" s="2"/>
      <c r="R104" s="7">
        <f t="shared" si="26"/>
        <v>0</v>
      </c>
      <c r="S104" s="2"/>
      <c r="T104" s="6">
        <v>0</v>
      </c>
      <c r="U104" s="2"/>
      <c r="V104" s="7">
        <f t="shared" si="27"/>
        <v>0</v>
      </c>
      <c r="W104" s="2"/>
      <c r="X104" s="6">
        <f t="shared" si="28"/>
        <v>0</v>
      </c>
      <c r="Y104" s="2"/>
      <c r="Z104" s="7">
        <f t="shared" si="29"/>
        <v>0</v>
      </c>
    </row>
    <row r="105" spans="1:26" s="24" customFormat="1" hidden="1" outlineLevel="2" x14ac:dyDescent="0.25">
      <c r="A105" s="25"/>
      <c r="B105" s="11" t="str">
        <f>CONCATENATE("          ", "6010", " - ", "GRATUITY")</f>
        <v xml:space="preserve">          6010 - GRATUITY</v>
      </c>
      <c r="C105" s="11"/>
      <c r="D105" s="6"/>
      <c r="E105" s="2"/>
      <c r="F105" s="7">
        <f t="shared" si="22"/>
        <v>0</v>
      </c>
      <c r="G105" s="2"/>
      <c r="H105" s="6">
        <v>0</v>
      </c>
      <c r="I105" s="2"/>
      <c r="J105" s="7">
        <f t="shared" si="23"/>
        <v>0</v>
      </c>
      <c r="K105" s="2"/>
      <c r="L105" s="6">
        <f t="shared" si="24"/>
        <v>0</v>
      </c>
      <c r="M105" s="2"/>
      <c r="N105" s="7">
        <f t="shared" si="25"/>
        <v>0</v>
      </c>
      <c r="O105" s="11"/>
      <c r="P105" s="6"/>
      <c r="Q105" s="2"/>
      <c r="R105" s="7">
        <f t="shared" si="26"/>
        <v>0</v>
      </c>
      <c r="S105" s="2"/>
      <c r="T105" s="6">
        <v>0</v>
      </c>
      <c r="U105" s="2"/>
      <c r="V105" s="7">
        <f t="shared" si="27"/>
        <v>0</v>
      </c>
      <c r="W105" s="2"/>
      <c r="X105" s="6">
        <f t="shared" si="28"/>
        <v>0</v>
      </c>
      <c r="Y105" s="2"/>
      <c r="Z105" s="7">
        <f t="shared" si="29"/>
        <v>0</v>
      </c>
    </row>
    <row r="106" spans="1:26" s="27" customFormat="1" outlineLevel="1" collapsed="1" x14ac:dyDescent="0.25">
      <c r="A106" s="26"/>
      <c r="B106" s="13" t="str">
        <f>CONCATENATE("     ","Advertising/Promo                                 ")</f>
        <v xml:space="preserve">     Advertising/Promo                                 </v>
      </c>
      <c r="C106" s="13"/>
      <c r="D106" s="1">
        <f>SUM(OSRRefD22_2x_0)</f>
        <v>10.75</v>
      </c>
      <c r="E106" s="1"/>
      <c r="F106" s="5">
        <f t="shared" ref="F106:F112" si="30">IF(D$12=0,0,D106/D$12)</f>
        <v>9.2023268960987958E-5</v>
      </c>
      <c r="G106" s="1"/>
      <c r="H106" s="1">
        <f>SUM(OSRRefH22_2x_0)</f>
        <v>120</v>
      </c>
      <c r="I106" s="1"/>
      <c r="J106" s="5">
        <f t="shared" ref="J106:J112" si="31">IF(H$12=0,0,H106/H$12)</f>
        <v>1.0752206442363693E-3</v>
      </c>
      <c r="K106" s="1"/>
      <c r="L106" s="1">
        <f t="shared" ref="L106:L112" si="32">+D106-H106</f>
        <v>-109.25</v>
      </c>
      <c r="M106" s="1"/>
      <c r="N106" s="5">
        <f t="shared" ref="N106:N112" si="33">IF(H106=0,0,L106/H106)</f>
        <v>-0.91041666666666665</v>
      </c>
      <c r="O106" s="13"/>
      <c r="P106" s="1">
        <f>SUM(OSRRefP22_2x_0)</f>
        <v>2145.38</v>
      </c>
      <c r="Q106" s="1"/>
      <c r="R106" s="5">
        <f t="shared" ref="R106:R112" si="34">IF(P$12=0,0,P106/P$12)</f>
        <v>2.783665943686149E-3</v>
      </c>
      <c r="S106" s="1"/>
      <c r="T106" s="1">
        <f>SUM(OSRRefT22_2x_0)</f>
        <v>960</v>
      </c>
      <c r="U106" s="1"/>
      <c r="V106" s="5">
        <f t="shared" ref="V106:V112" si="35">IF(T$12=0,0,T106/T$12)</f>
        <v>1.1867103277174739E-3</v>
      </c>
      <c r="W106" s="1"/>
      <c r="X106" s="1">
        <f t="shared" ref="X106:X112" si="36">+P106-T106</f>
        <v>1185.3800000000001</v>
      </c>
      <c r="Y106" s="1"/>
      <c r="Z106" s="5">
        <f t="shared" ref="Z106:Z112" si="37">IF(T106=0,0,X106/T106)</f>
        <v>1.2347708333333334</v>
      </c>
    </row>
    <row r="107" spans="1:26" s="24" customFormat="1" hidden="1" outlineLevel="2" x14ac:dyDescent="0.25">
      <c r="A107" s="25"/>
      <c r="B107" s="11" t="str">
        <f>CONCATENATE("          ", "6362", " - ", "ADVERTISING EXPENSE")</f>
        <v xml:space="preserve">          6362 - ADVERTISING EXPENSE</v>
      </c>
      <c r="C107" s="11"/>
      <c r="D107" s="6">
        <v>10.75</v>
      </c>
      <c r="E107" s="2"/>
      <c r="F107" s="7">
        <f t="shared" si="30"/>
        <v>9.2023268960987958E-5</v>
      </c>
      <c r="G107" s="2"/>
      <c r="H107" s="6">
        <v>120</v>
      </c>
      <c r="I107" s="2"/>
      <c r="J107" s="7">
        <f t="shared" si="31"/>
        <v>1.0752206442363693E-3</v>
      </c>
      <c r="K107" s="2"/>
      <c r="L107" s="6">
        <f t="shared" si="32"/>
        <v>-109.25</v>
      </c>
      <c r="M107" s="2"/>
      <c r="N107" s="7">
        <f t="shared" si="33"/>
        <v>-0.91041666666666665</v>
      </c>
      <c r="O107" s="11"/>
      <c r="P107" s="6">
        <v>2145.38</v>
      </c>
      <c r="Q107" s="2"/>
      <c r="R107" s="7">
        <f t="shared" si="34"/>
        <v>2.783665943686149E-3</v>
      </c>
      <c r="S107" s="2"/>
      <c r="T107" s="6">
        <v>960</v>
      </c>
      <c r="U107" s="2"/>
      <c r="V107" s="7">
        <f t="shared" si="35"/>
        <v>1.1867103277174739E-3</v>
      </c>
      <c r="W107" s="2"/>
      <c r="X107" s="6">
        <f t="shared" si="36"/>
        <v>1185.3800000000001</v>
      </c>
      <c r="Y107" s="2"/>
      <c r="Z107" s="7">
        <f t="shared" si="37"/>
        <v>1.2347708333333334</v>
      </c>
    </row>
    <row r="108" spans="1:26" s="27" customFormat="1" outlineLevel="1" collapsed="1" x14ac:dyDescent="0.25">
      <c r="A108" s="26"/>
      <c r="B108" s="13" t="str">
        <f>CONCATENATE("     ","Bad Debts/Over/Short                              ")</f>
        <v xml:space="preserve">     Bad Debts/Over/Short                              </v>
      </c>
      <c r="C108" s="13"/>
      <c r="D108" s="1">
        <f>SUM(OSRRefD22_3x_0)</f>
        <v>13.01</v>
      </c>
      <c r="E108" s="1"/>
      <c r="F108" s="5">
        <f t="shared" si="30"/>
        <v>1.1136955620301891E-4</v>
      </c>
      <c r="G108" s="1"/>
      <c r="H108" s="1">
        <f>SUM(OSRRefH22_3x_0)</f>
        <v>0</v>
      </c>
      <c r="I108" s="1"/>
      <c r="J108" s="5">
        <f t="shared" si="31"/>
        <v>0</v>
      </c>
      <c r="K108" s="1"/>
      <c r="L108" s="1">
        <f t="shared" si="32"/>
        <v>13.01</v>
      </c>
      <c r="M108" s="1"/>
      <c r="N108" s="5">
        <f t="shared" si="33"/>
        <v>0</v>
      </c>
      <c r="O108" s="13"/>
      <c r="P108" s="1">
        <f>SUM(OSRRefP22_3x_0)</f>
        <v>-55.49</v>
      </c>
      <c r="Q108" s="1"/>
      <c r="R108" s="5">
        <f t="shared" si="34"/>
        <v>-7.1999190453506793E-5</v>
      </c>
      <c r="S108" s="1"/>
      <c r="T108" s="1">
        <f>SUM(OSRRefT22_3x_0)</f>
        <v>0</v>
      </c>
      <c r="U108" s="1"/>
      <c r="V108" s="5">
        <f t="shared" si="35"/>
        <v>0</v>
      </c>
      <c r="W108" s="1"/>
      <c r="X108" s="1">
        <f t="shared" si="36"/>
        <v>-55.49</v>
      </c>
      <c r="Y108" s="1"/>
      <c r="Z108" s="5">
        <f t="shared" si="37"/>
        <v>0</v>
      </c>
    </row>
    <row r="109" spans="1:26" s="24" customFormat="1" hidden="1" outlineLevel="2" x14ac:dyDescent="0.25">
      <c r="A109" s="25"/>
      <c r="B109" s="11" t="str">
        <f>CONCATENATE("          ", "6272", " - ", "CASH (OVER/SHORT)")</f>
        <v xml:space="preserve">          6272 - CASH (OVER/SHORT)</v>
      </c>
      <c r="C109" s="11"/>
      <c r="D109" s="6">
        <v>13.01</v>
      </c>
      <c r="E109" s="2"/>
      <c r="F109" s="7">
        <f t="shared" si="30"/>
        <v>1.1136955620301891E-4</v>
      </c>
      <c r="G109" s="2"/>
      <c r="H109" s="6"/>
      <c r="I109" s="2"/>
      <c r="J109" s="7">
        <f t="shared" si="31"/>
        <v>0</v>
      </c>
      <c r="K109" s="2"/>
      <c r="L109" s="6">
        <f t="shared" si="32"/>
        <v>13.01</v>
      </c>
      <c r="M109" s="2"/>
      <c r="N109" s="7">
        <f t="shared" si="33"/>
        <v>0</v>
      </c>
      <c r="O109" s="11"/>
      <c r="P109" s="6">
        <v>-55.49</v>
      </c>
      <c r="Q109" s="2"/>
      <c r="R109" s="7">
        <f t="shared" si="34"/>
        <v>-7.1999190453506793E-5</v>
      </c>
      <c r="S109" s="2"/>
      <c r="T109" s="6"/>
      <c r="U109" s="2"/>
      <c r="V109" s="7">
        <f t="shared" si="35"/>
        <v>0</v>
      </c>
      <c r="W109" s="2"/>
      <c r="X109" s="6">
        <f t="shared" si="36"/>
        <v>-55.49</v>
      </c>
      <c r="Y109" s="2"/>
      <c r="Z109" s="7">
        <f t="shared" si="37"/>
        <v>0</v>
      </c>
    </row>
    <row r="110" spans="1:26" s="27" customFormat="1" outlineLevel="1" collapsed="1" x14ac:dyDescent="0.25">
      <c r="A110" s="26"/>
      <c r="B110" s="13" t="str">
        <f>CONCATENATE("     ","Discounts and Markdowns                           ")</f>
        <v xml:space="preserve">     Discounts and Markdowns                           </v>
      </c>
      <c r="C110" s="13"/>
      <c r="D110" s="1">
        <f>SUM(OSRRefD22_4x_0)</f>
        <v>2265.0099999999998</v>
      </c>
      <c r="E110" s="1"/>
      <c r="F110" s="5">
        <f t="shared" si="30"/>
        <v>1.9389174365518819E-2</v>
      </c>
      <c r="G110" s="1"/>
      <c r="H110" s="1">
        <f>SUM(OSRRefH22_4x_0)</f>
        <v>2500</v>
      </c>
      <c r="I110" s="1"/>
      <c r="J110" s="5">
        <f t="shared" si="31"/>
        <v>2.2400430088257695E-2</v>
      </c>
      <c r="K110" s="1"/>
      <c r="L110" s="1">
        <f t="shared" si="32"/>
        <v>-234.99000000000024</v>
      </c>
      <c r="M110" s="1"/>
      <c r="N110" s="5">
        <f t="shared" si="33"/>
        <v>-9.3996000000000093E-2</v>
      </c>
      <c r="O110" s="13"/>
      <c r="P110" s="1">
        <f>SUM(OSRRefP22_4x_0)</f>
        <v>17099.710000000003</v>
      </c>
      <c r="Q110" s="1"/>
      <c r="R110" s="5">
        <f t="shared" si="34"/>
        <v>2.2187155829694265E-2</v>
      </c>
      <c r="S110" s="1"/>
      <c r="T110" s="1">
        <f>SUM(OSRRefT22_4x_0)</f>
        <v>20000</v>
      </c>
      <c r="U110" s="1"/>
      <c r="V110" s="5">
        <f t="shared" si="35"/>
        <v>2.4723131827447373E-2</v>
      </c>
      <c r="W110" s="1"/>
      <c r="X110" s="1">
        <f t="shared" si="36"/>
        <v>-2900.2899999999972</v>
      </c>
      <c r="Y110" s="1"/>
      <c r="Z110" s="5">
        <f t="shared" si="37"/>
        <v>-0.14501449999999985</v>
      </c>
    </row>
    <row r="111" spans="1:26" s="24" customFormat="1" hidden="1" outlineLevel="2" x14ac:dyDescent="0.25">
      <c r="A111" s="25"/>
      <c r="B111" s="11" t="str">
        <f>CONCATENATE("          ", "6382", " - ", "DISCOUNTS/MARK DOWNS")</f>
        <v xml:space="preserve">          6382 - DISCOUNTS/MARK DOWNS</v>
      </c>
      <c r="C111" s="11"/>
      <c r="D111" s="6">
        <v>2231.1799999999998</v>
      </c>
      <c r="E111" s="2"/>
      <c r="F111" s="7">
        <f t="shared" si="30"/>
        <v>1.9099579278174614E-2</v>
      </c>
      <c r="G111" s="2"/>
      <c r="H111" s="6">
        <v>2500</v>
      </c>
      <c r="I111" s="2"/>
      <c r="J111" s="7">
        <f t="shared" si="31"/>
        <v>2.2400430088257695E-2</v>
      </c>
      <c r="K111" s="2"/>
      <c r="L111" s="6">
        <f t="shared" si="32"/>
        <v>-268.82000000000016</v>
      </c>
      <c r="M111" s="2"/>
      <c r="N111" s="7">
        <f t="shared" si="33"/>
        <v>-0.10752800000000007</v>
      </c>
      <c r="O111" s="11"/>
      <c r="P111" s="6">
        <v>17099.710000000003</v>
      </c>
      <c r="Q111" s="2"/>
      <c r="R111" s="7">
        <f t="shared" si="34"/>
        <v>2.2187155829694265E-2</v>
      </c>
      <c r="S111" s="2"/>
      <c r="T111" s="6">
        <v>20000</v>
      </c>
      <c r="U111" s="2"/>
      <c r="V111" s="7">
        <f t="shared" si="35"/>
        <v>2.4723131827447373E-2</v>
      </c>
      <c r="W111" s="2"/>
      <c r="X111" s="6">
        <f t="shared" si="36"/>
        <v>-2900.2899999999972</v>
      </c>
      <c r="Y111" s="2"/>
      <c r="Z111" s="7">
        <f t="shared" si="37"/>
        <v>-0.14501449999999985</v>
      </c>
    </row>
    <row r="112" spans="1:26" s="24" customFormat="1" hidden="1" outlineLevel="2" x14ac:dyDescent="0.25">
      <c r="A112" s="25"/>
      <c r="B112" s="11" t="str">
        <f>CONCATENATE("          ", "9175", " - ", "EARNED DISCOUNTS")</f>
        <v xml:space="preserve">          9175 - EARNED DISCOUNTS</v>
      </c>
      <c r="C112" s="11"/>
      <c r="D112" s="6">
        <v>33.83</v>
      </c>
      <c r="E112" s="2"/>
      <c r="F112" s="7">
        <f t="shared" si="30"/>
        <v>2.8959508734420676E-4</v>
      </c>
      <c r="G112" s="2"/>
      <c r="H112" s="6"/>
      <c r="I112" s="2"/>
      <c r="J112" s="7">
        <f t="shared" si="31"/>
        <v>0</v>
      </c>
      <c r="K112" s="2"/>
      <c r="L112" s="6">
        <f t="shared" si="32"/>
        <v>33.83</v>
      </c>
      <c r="M112" s="2"/>
      <c r="N112" s="7">
        <f t="shared" si="33"/>
        <v>0</v>
      </c>
      <c r="O112" s="11"/>
      <c r="P112" s="6">
        <v>0</v>
      </c>
      <c r="Q112" s="2"/>
      <c r="R112" s="7">
        <f t="shared" si="34"/>
        <v>0</v>
      </c>
      <c r="S112" s="2"/>
      <c r="T112" s="6"/>
      <c r="U112" s="2"/>
      <c r="V112" s="7">
        <f t="shared" si="35"/>
        <v>0</v>
      </c>
      <c r="W112" s="2"/>
      <c r="X112" s="6">
        <f t="shared" si="36"/>
        <v>0</v>
      </c>
      <c r="Y112" s="2"/>
      <c r="Z112" s="7">
        <f t="shared" si="37"/>
        <v>0</v>
      </c>
    </row>
    <row r="113" spans="1:26" s="27" customFormat="1" outlineLevel="1" collapsed="1" x14ac:dyDescent="0.25">
      <c r="A113" s="26"/>
      <c r="B113" s="13" t="str">
        <f>CONCATENATE("     ","Employees' Appreciation                           ")</f>
        <v xml:space="preserve">     Employees' Appreciation                           </v>
      </c>
      <c r="C113" s="13"/>
      <c r="D113" s="1">
        <f>SUM(OSRRefD22_5x_0)</f>
        <v>0</v>
      </c>
      <c r="E113" s="1"/>
      <c r="F113" s="5">
        <f t="shared" ref="F113:F123" si="38">IF(D$12=0,0,D113/D$12)</f>
        <v>0</v>
      </c>
      <c r="G113" s="1"/>
      <c r="H113" s="1">
        <f>SUM(OSRRefH22_5x_0)</f>
        <v>50</v>
      </c>
      <c r="I113" s="1"/>
      <c r="J113" s="5">
        <f t="shared" ref="J113:J123" si="39">IF(H$12=0,0,H113/H$12)</f>
        <v>4.4800860176515389E-4</v>
      </c>
      <c r="K113" s="1"/>
      <c r="L113" s="1">
        <f t="shared" ref="L113:L123" si="40">+D113-H113</f>
        <v>-50</v>
      </c>
      <c r="M113" s="1"/>
      <c r="N113" s="5">
        <f t="shared" ref="N113:N123" si="41">IF(H113=0,0,L113/H113)</f>
        <v>-1</v>
      </c>
      <c r="O113" s="13"/>
      <c r="P113" s="1">
        <f>SUM(OSRRefP22_5x_0)</f>
        <v>0</v>
      </c>
      <c r="Q113" s="1"/>
      <c r="R113" s="5">
        <f t="shared" ref="R113:R123" si="42">IF(P$12=0,0,P113/P$12)</f>
        <v>0</v>
      </c>
      <c r="S113" s="1"/>
      <c r="T113" s="1">
        <f>SUM(OSRRefT22_5x_0)</f>
        <v>400</v>
      </c>
      <c r="U113" s="1"/>
      <c r="V113" s="5">
        <f t="shared" ref="V113:V123" si="43">IF(T$12=0,0,T113/T$12)</f>
        <v>4.9446263654894743E-4</v>
      </c>
      <c r="W113" s="1"/>
      <c r="X113" s="1">
        <f t="shared" ref="X113:X123" si="44">+P113-T113</f>
        <v>-400</v>
      </c>
      <c r="Y113" s="1"/>
      <c r="Z113" s="5">
        <f t="shared" ref="Z113:Z123" si="45">IF(T113=0,0,X113/T113)</f>
        <v>-1</v>
      </c>
    </row>
    <row r="114" spans="1:26" s="24" customFormat="1" hidden="1" outlineLevel="2" x14ac:dyDescent="0.25">
      <c r="A114" s="25"/>
      <c r="B114" s="11" t="str">
        <f>CONCATENATE("          ", "6277", " - ", "EMPLOYEE APPRECIATION")</f>
        <v xml:space="preserve">          6277 - EMPLOYEE APPRECIATION</v>
      </c>
      <c r="C114" s="11"/>
      <c r="D114" s="6"/>
      <c r="E114" s="2"/>
      <c r="F114" s="7">
        <f t="shared" si="38"/>
        <v>0</v>
      </c>
      <c r="G114" s="2"/>
      <c r="H114" s="6">
        <v>50</v>
      </c>
      <c r="I114" s="2"/>
      <c r="J114" s="7">
        <f t="shared" si="39"/>
        <v>4.4800860176515389E-4</v>
      </c>
      <c r="K114" s="2"/>
      <c r="L114" s="6">
        <f t="shared" si="40"/>
        <v>-50</v>
      </c>
      <c r="M114" s="2"/>
      <c r="N114" s="7">
        <f t="shared" si="41"/>
        <v>-1</v>
      </c>
      <c r="O114" s="11"/>
      <c r="P114" s="6"/>
      <c r="Q114" s="2"/>
      <c r="R114" s="7">
        <f t="shared" si="42"/>
        <v>0</v>
      </c>
      <c r="S114" s="2"/>
      <c r="T114" s="6">
        <v>400</v>
      </c>
      <c r="U114" s="2"/>
      <c r="V114" s="7">
        <f t="shared" si="43"/>
        <v>4.9446263654894743E-4</v>
      </c>
      <c r="W114" s="2"/>
      <c r="X114" s="6">
        <f t="shared" si="44"/>
        <v>-400</v>
      </c>
      <c r="Y114" s="2"/>
      <c r="Z114" s="7">
        <f t="shared" si="45"/>
        <v>-1</v>
      </c>
    </row>
    <row r="115" spans="1:26" s="27" customFormat="1" outlineLevel="1" collapsed="1" x14ac:dyDescent="0.25">
      <c r="A115" s="26"/>
      <c r="B115" s="13" t="str">
        <f>CONCATENATE("     ","Freight out/Postage                               ")</f>
        <v xml:space="preserve">     Freight out/Postage                               </v>
      </c>
      <c r="C115" s="13"/>
      <c r="D115" s="1">
        <f>SUM(OSRRefD22_6x_0)</f>
        <v>0</v>
      </c>
      <c r="E115" s="1"/>
      <c r="F115" s="5">
        <f t="shared" si="38"/>
        <v>0</v>
      </c>
      <c r="G115" s="1"/>
      <c r="H115" s="1">
        <f>SUM(OSRRefH22_6x_0)</f>
        <v>0</v>
      </c>
      <c r="I115" s="1"/>
      <c r="J115" s="5">
        <f t="shared" si="39"/>
        <v>0</v>
      </c>
      <c r="K115" s="1"/>
      <c r="L115" s="1">
        <f t="shared" si="40"/>
        <v>0</v>
      </c>
      <c r="M115" s="1"/>
      <c r="N115" s="5">
        <f t="shared" si="41"/>
        <v>0</v>
      </c>
      <c r="O115" s="13"/>
      <c r="P115" s="1">
        <f>SUM(OSRRefP22_6x_0)</f>
        <v>15.81</v>
      </c>
      <c r="Q115" s="1"/>
      <c r="R115" s="5">
        <f t="shared" si="42"/>
        <v>2.0513735827535454E-5</v>
      </c>
      <c r="S115" s="1"/>
      <c r="T115" s="1">
        <f>SUM(OSRRefT22_6x_0)</f>
        <v>0</v>
      </c>
      <c r="U115" s="1"/>
      <c r="V115" s="5">
        <f t="shared" si="43"/>
        <v>0</v>
      </c>
      <c r="W115" s="1"/>
      <c r="X115" s="1">
        <f t="shared" si="44"/>
        <v>15.81</v>
      </c>
      <c r="Y115" s="1"/>
      <c r="Z115" s="5">
        <f t="shared" si="45"/>
        <v>0</v>
      </c>
    </row>
    <row r="116" spans="1:26" s="24" customFormat="1" hidden="1" outlineLevel="2" x14ac:dyDescent="0.25">
      <c r="A116" s="25"/>
      <c r="B116" s="11" t="str">
        <f>CONCATENATE("          ", "6305", " - ", "FREIGHT OUT")</f>
        <v xml:space="preserve">          6305 - FREIGHT OUT</v>
      </c>
      <c r="C116" s="11"/>
      <c r="D116" s="6"/>
      <c r="E116" s="2"/>
      <c r="F116" s="7">
        <f t="shared" si="38"/>
        <v>0</v>
      </c>
      <c r="G116" s="2"/>
      <c r="H116" s="6"/>
      <c r="I116" s="2"/>
      <c r="J116" s="7">
        <f t="shared" si="39"/>
        <v>0</v>
      </c>
      <c r="K116" s="2"/>
      <c r="L116" s="6">
        <f t="shared" si="40"/>
        <v>0</v>
      </c>
      <c r="M116" s="2"/>
      <c r="N116" s="7">
        <f t="shared" si="41"/>
        <v>0</v>
      </c>
      <c r="O116" s="11"/>
      <c r="P116" s="6">
        <v>15.81</v>
      </c>
      <c r="Q116" s="2"/>
      <c r="R116" s="7">
        <f t="shared" si="42"/>
        <v>2.0513735827535454E-5</v>
      </c>
      <c r="S116" s="2"/>
      <c r="T116" s="6"/>
      <c r="U116" s="2"/>
      <c r="V116" s="7">
        <f t="shared" si="43"/>
        <v>0</v>
      </c>
      <c r="W116" s="2"/>
      <c r="X116" s="6">
        <f t="shared" si="44"/>
        <v>15.81</v>
      </c>
      <c r="Y116" s="2"/>
      <c r="Z116" s="7">
        <f t="shared" si="45"/>
        <v>0</v>
      </c>
    </row>
    <row r="117" spans="1:26" s="27" customFormat="1" outlineLevel="1" collapsed="1" x14ac:dyDescent="0.25">
      <c r="A117" s="26"/>
      <c r="B117" s="13" t="str">
        <f>CONCATENATE("     ","General                                           ")</f>
        <v xml:space="preserve">     General                                           </v>
      </c>
      <c r="C117" s="13"/>
      <c r="D117" s="1">
        <f>SUM(OSRRefD22_7x_0)</f>
        <v>0</v>
      </c>
      <c r="E117" s="1"/>
      <c r="F117" s="5">
        <f t="shared" si="38"/>
        <v>0</v>
      </c>
      <c r="G117" s="1"/>
      <c r="H117" s="1">
        <f>SUM(OSRRefH22_7x_0)</f>
        <v>80</v>
      </c>
      <c r="I117" s="1"/>
      <c r="J117" s="5">
        <f t="shared" si="39"/>
        <v>7.1681376282424622E-4</v>
      </c>
      <c r="K117" s="1"/>
      <c r="L117" s="1">
        <f t="shared" si="40"/>
        <v>-80</v>
      </c>
      <c r="M117" s="1"/>
      <c r="N117" s="5">
        <f t="shared" si="41"/>
        <v>-1</v>
      </c>
      <c r="O117" s="13"/>
      <c r="P117" s="1">
        <f>SUM(OSRRefP22_7x_0)</f>
        <v>954.05</v>
      </c>
      <c r="Q117" s="1"/>
      <c r="R117" s="5">
        <f t="shared" si="42"/>
        <v>1.2378956145642124E-3</v>
      </c>
      <c r="S117" s="1"/>
      <c r="T117" s="1">
        <f>SUM(OSRRefT22_7x_0)</f>
        <v>640</v>
      </c>
      <c r="U117" s="1"/>
      <c r="V117" s="5">
        <f t="shared" si="43"/>
        <v>7.9114021847831591E-4</v>
      </c>
      <c r="W117" s="1"/>
      <c r="X117" s="1">
        <f t="shared" si="44"/>
        <v>314.04999999999995</v>
      </c>
      <c r="Y117" s="1"/>
      <c r="Z117" s="5">
        <f t="shared" si="45"/>
        <v>0.49070312499999991</v>
      </c>
    </row>
    <row r="118" spans="1:26" s="24" customFormat="1" hidden="1" outlineLevel="2" x14ac:dyDescent="0.25">
      <c r="A118" s="25"/>
      <c r="B118" s="11" t="str">
        <f>CONCATENATE("          ", "6279", " - ", "GENERAL EXPENSE")</f>
        <v xml:space="preserve">          6279 - GENERAL EXPENSE</v>
      </c>
      <c r="C118" s="11"/>
      <c r="D118" s="6"/>
      <c r="E118" s="2"/>
      <c r="F118" s="7">
        <f t="shared" si="38"/>
        <v>0</v>
      </c>
      <c r="G118" s="2"/>
      <c r="H118" s="6">
        <v>80</v>
      </c>
      <c r="I118" s="2"/>
      <c r="J118" s="7">
        <f t="shared" si="39"/>
        <v>7.1681376282424622E-4</v>
      </c>
      <c r="K118" s="2"/>
      <c r="L118" s="6">
        <f t="shared" si="40"/>
        <v>-80</v>
      </c>
      <c r="M118" s="2"/>
      <c r="N118" s="7">
        <f t="shared" si="41"/>
        <v>-1</v>
      </c>
      <c r="O118" s="11"/>
      <c r="P118" s="6">
        <v>954.05</v>
      </c>
      <c r="Q118" s="2"/>
      <c r="R118" s="7">
        <f t="shared" si="42"/>
        <v>1.2378956145642124E-3</v>
      </c>
      <c r="S118" s="2"/>
      <c r="T118" s="6">
        <v>640</v>
      </c>
      <c r="U118" s="2"/>
      <c r="V118" s="7">
        <f t="shared" si="43"/>
        <v>7.9114021847831591E-4</v>
      </c>
      <c r="W118" s="2"/>
      <c r="X118" s="6">
        <f t="shared" si="44"/>
        <v>314.04999999999995</v>
      </c>
      <c r="Y118" s="2"/>
      <c r="Z118" s="7">
        <f t="shared" si="45"/>
        <v>0.49070312499999991</v>
      </c>
    </row>
    <row r="119" spans="1:26" s="27" customFormat="1" outlineLevel="1" collapsed="1" x14ac:dyDescent="0.25">
      <c r="A119" s="26"/>
      <c r="B119" s="13" t="str">
        <f>CONCATENATE("     ","Professional Services                             ")</f>
        <v xml:space="preserve">     Professional Services                             </v>
      </c>
      <c r="C119" s="13"/>
      <c r="D119" s="1">
        <f>SUM(OSRRefD22_8x_0)</f>
        <v>0</v>
      </c>
      <c r="E119" s="1"/>
      <c r="F119" s="5">
        <f t="shared" si="38"/>
        <v>0</v>
      </c>
      <c r="G119" s="1"/>
      <c r="H119" s="1">
        <f>SUM(OSRRefH22_8x_0)</f>
        <v>115</v>
      </c>
      <c r="I119" s="1"/>
      <c r="J119" s="5">
        <f t="shared" si="39"/>
        <v>1.030419784059854E-3</v>
      </c>
      <c r="K119" s="1"/>
      <c r="L119" s="1">
        <f t="shared" si="40"/>
        <v>-115</v>
      </c>
      <c r="M119" s="1"/>
      <c r="N119" s="5">
        <f t="shared" si="41"/>
        <v>-1</v>
      </c>
      <c r="O119" s="13"/>
      <c r="P119" s="1">
        <f>SUM(OSRRefP22_8x_0)</f>
        <v>791.15</v>
      </c>
      <c r="Q119" s="1"/>
      <c r="R119" s="5">
        <f t="shared" si="42"/>
        <v>1.0265301771002324E-3</v>
      </c>
      <c r="S119" s="1"/>
      <c r="T119" s="1">
        <f>SUM(OSRRefT22_8x_0)</f>
        <v>920</v>
      </c>
      <c r="U119" s="1"/>
      <c r="V119" s="5">
        <f t="shared" si="43"/>
        <v>1.1372640640625793E-3</v>
      </c>
      <c r="W119" s="1"/>
      <c r="X119" s="1">
        <f t="shared" si="44"/>
        <v>-128.85000000000002</v>
      </c>
      <c r="Y119" s="1"/>
      <c r="Z119" s="5">
        <f t="shared" si="45"/>
        <v>-0.14005434782608697</v>
      </c>
    </row>
    <row r="120" spans="1:26" s="24" customFormat="1" hidden="1" outlineLevel="2" x14ac:dyDescent="0.25">
      <c r="A120" s="25"/>
      <c r="B120" s="11" t="str">
        <f>CONCATENATE("          ", "6336", " - ", "PROFESSIONAL SERVICES")</f>
        <v xml:space="preserve">          6336 - PROFESSIONAL SERVICES</v>
      </c>
      <c r="C120" s="11"/>
      <c r="D120" s="6"/>
      <c r="E120" s="2"/>
      <c r="F120" s="7">
        <f t="shared" si="38"/>
        <v>0</v>
      </c>
      <c r="G120" s="2"/>
      <c r="H120" s="6">
        <v>115</v>
      </c>
      <c r="I120" s="2"/>
      <c r="J120" s="7">
        <f t="shared" si="39"/>
        <v>1.030419784059854E-3</v>
      </c>
      <c r="K120" s="2"/>
      <c r="L120" s="6">
        <f t="shared" si="40"/>
        <v>-115</v>
      </c>
      <c r="M120" s="2"/>
      <c r="N120" s="7">
        <f t="shared" si="41"/>
        <v>-1</v>
      </c>
      <c r="O120" s="11"/>
      <c r="P120" s="6">
        <v>791.15</v>
      </c>
      <c r="Q120" s="2"/>
      <c r="R120" s="7">
        <f t="shared" si="42"/>
        <v>1.0265301771002324E-3</v>
      </c>
      <c r="S120" s="2"/>
      <c r="T120" s="6">
        <v>920</v>
      </c>
      <c r="U120" s="2"/>
      <c r="V120" s="7">
        <f t="shared" si="43"/>
        <v>1.1372640640625793E-3</v>
      </c>
      <c r="W120" s="2"/>
      <c r="X120" s="6">
        <f t="shared" si="44"/>
        <v>-128.85000000000002</v>
      </c>
      <c r="Y120" s="2"/>
      <c r="Z120" s="7">
        <f t="shared" si="45"/>
        <v>-0.14005434782608697</v>
      </c>
    </row>
    <row r="121" spans="1:26" s="27" customFormat="1" outlineLevel="1" collapsed="1" x14ac:dyDescent="0.25">
      <c r="A121" s="26"/>
      <c r="B121" s="13" t="str">
        <f>CONCATENATE("     ","Repair and Maintenance                            ")</f>
        <v xml:space="preserve">     Repair and Maintenance                            </v>
      </c>
      <c r="C121" s="13"/>
      <c r="D121" s="1">
        <f>SUM(OSRRefD22_9x_0)</f>
        <v>0</v>
      </c>
      <c r="E121" s="1"/>
      <c r="F121" s="5">
        <f t="shared" si="38"/>
        <v>0</v>
      </c>
      <c r="G121" s="1"/>
      <c r="H121" s="1">
        <f>SUM(OSRRefH22_9x_0)</f>
        <v>125</v>
      </c>
      <c r="I121" s="1"/>
      <c r="J121" s="5">
        <f t="shared" si="39"/>
        <v>1.1200215044128846E-3</v>
      </c>
      <c r="K121" s="1"/>
      <c r="L121" s="1">
        <f t="shared" si="40"/>
        <v>-125</v>
      </c>
      <c r="M121" s="1"/>
      <c r="N121" s="5">
        <f t="shared" si="41"/>
        <v>-1</v>
      </c>
      <c r="O121" s="13"/>
      <c r="P121" s="1">
        <f>SUM(OSRRefP22_9x_0)</f>
        <v>129.53</v>
      </c>
      <c r="Q121" s="1"/>
      <c r="R121" s="5">
        <f t="shared" si="42"/>
        <v>1.6806731193805613E-4</v>
      </c>
      <c r="S121" s="1"/>
      <c r="T121" s="1">
        <f>SUM(OSRRefT22_9x_0)</f>
        <v>1000</v>
      </c>
      <c r="U121" s="1"/>
      <c r="V121" s="5">
        <f t="shared" si="43"/>
        <v>1.2361565913723686E-3</v>
      </c>
      <c r="W121" s="1"/>
      <c r="X121" s="1">
        <f t="shared" si="44"/>
        <v>-870.47</v>
      </c>
      <c r="Y121" s="1"/>
      <c r="Z121" s="5">
        <f t="shared" si="45"/>
        <v>-0.87047000000000008</v>
      </c>
    </row>
    <row r="122" spans="1:26" s="24" customFormat="1" hidden="1" outlineLevel="2" x14ac:dyDescent="0.25">
      <c r="A122" s="25"/>
      <c r="B122" s="11" t="str">
        <f>CONCATENATE("          ", "6373", " - ", "MAINTENANCE CONTRACTS")</f>
        <v xml:space="preserve">          6373 - MAINTENANCE CONTRACTS</v>
      </c>
      <c r="C122" s="11"/>
      <c r="D122" s="6"/>
      <c r="E122" s="2"/>
      <c r="F122" s="7">
        <f t="shared" si="38"/>
        <v>0</v>
      </c>
      <c r="G122" s="2"/>
      <c r="H122" s="6"/>
      <c r="I122" s="2"/>
      <c r="J122" s="7">
        <f t="shared" si="39"/>
        <v>0</v>
      </c>
      <c r="K122" s="2"/>
      <c r="L122" s="6">
        <f t="shared" si="40"/>
        <v>0</v>
      </c>
      <c r="M122" s="2"/>
      <c r="N122" s="7">
        <f t="shared" si="41"/>
        <v>0</v>
      </c>
      <c r="O122" s="11"/>
      <c r="P122" s="6">
        <v>119.73</v>
      </c>
      <c r="Q122" s="2"/>
      <c r="R122" s="7">
        <f t="shared" si="42"/>
        <v>1.5535165026127893E-4</v>
      </c>
      <c r="S122" s="2"/>
      <c r="T122" s="6"/>
      <c r="U122" s="2"/>
      <c r="V122" s="7">
        <f t="shared" si="43"/>
        <v>0</v>
      </c>
      <c r="W122" s="2"/>
      <c r="X122" s="6">
        <f t="shared" si="44"/>
        <v>119.73</v>
      </c>
      <c r="Y122" s="2"/>
      <c r="Z122" s="7">
        <f t="shared" si="45"/>
        <v>0</v>
      </c>
    </row>
    <row r="123" spans="1:26" s="24" customFormat="1" hidden="1" outlineLevel="2" x14ac:dyDescent="0.25">
      <c r="A123" s="25"/>
      <c r="B123" s="11" t="str">
        <f>CONCATENATE("          ", "6375", " - ", "OUTSIDE REPAIRS &amp; MAINTENANCE")</f>
        <v xml:space="preserve">          6375 - OUTSIDE REPAIRS &amp; MAINTENANCE</v>
      </c>
      <c r="C123" s="11"/>
      <c r="D123" s="6"/>
      <c r="E123" s="2"/>
      <c r="F123" s="7">
        <f t="shared" si="38"/>
        <v>0</v>
      </c>
      <c r="G123" s="2"/>
      <c r="H123" s="6">
        <v>125</v>
      </c>
      <c r="I123" s="2"/>
      <c r="J123" s="7">
        <f t="shared" si="39"/>
        <v>1.1200215044128846E-3</v>
      </c>
      <c r="K123" s="2"/>
      <c r="L123" s="6">
        <f t="shared" si="40"/>
        <v>-125</v>
      </c>
      <c r="M123" s="2"/>
      <c r="N123" s="7">
        <f t="shared" si="41"/>
        <v>-1</v>
      </c>
      <c r="O123" s="11"/>
      <c r="P123" s="6">
        <v>9.8000000000000007</v>
      </c>
      <c r="Q123" s="2"/>
      <c r="R123" s="7">
        <f t="shared" si="42"/>
        <v>1.2715661676777196E-5</v>
      </c>
      <c r="S123" s="2"/>
      <c r="T123" s="6">
        <v>1000</v>
      </c>
      <c r="U123" s="2"/>
      <c r="V123" s="7">
        <f t="shared" si="43"/>
        <v>1.2361565913723686E-3</v>
      </c>
      <c r="W123" s="2"/>
      <c r="X123" s="6">
        <f t="shared" si="44"/>
        <v>-990.2</v>
      </c>
      <c r="Y123" s="2"/>
      <c r="Z123" s="7">
        <f t="shared" si="45"/>
        <v>-0.99020000000000008</v>
      </c>
    </row>
    <row r="124" spans="1:26" s="27" customFormat="1" outlineLevel="1" collapsed="1" x14ac:dyDescent="0.25">
      <c r="A124" s="26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SUM(OSRRefD22_10x_0)</f>
        <v>249.75</v>
      </c>
      <c r="E124" s="1"/>
      <c r="F124" s="5">
        <f t="shared" ref="F124:F126" si="46">IF(D$12=0,0,D124/D$12)</f>
        <v>2.1379359463262085E-3</v>
      </c>
      <c r="G124" s="1"/>
      <c r="H124" s="1">
        <f>SUM(OSRRefH22_10x_0)</f>
        <v>100</v>
      </c>
      <c r="I124" s="1"/>
      <c r="J124" s="5">
        <f t="shared" ref="J124:J126" si="47">IF(H$12=0,0,H124/H$12)</f>
        <v>8.9601720353030777E-4</v>
      </c>
      <c r="K124" s="1"/>
      <c r="L124" s="1">
        <f t="shared" ref="L124:L126" si="48">+D124-H124</f>
        <v>149.75</v>
      </c>
      <c r="M124" s="1"/>
      <c r="N124" s="5">
        <f t="shared" ref="N124:N126" si="49">IF(H124=0,0,L124/H124)</f>
        <v>1.4975000000000001</v>
      </c>
      <c r="O124" s="13"/>
      <c r="P124" s="1">
        <f>SUM(OSRRefP22_10x_0)</f>
        <v>1818.61</v>
      </c>
      <c r="Q124" s="1"/>
      <c r="R124" s="5">
        <f t="shared" ref="R124:R126" si="50">IF(P$12=0,0,P124/P$12)</f>
        <v>2.3596764777554869E-3</v>
      </c>
      <c r="S124" s="1"/>
      <c r="T124" s="1">
        <f>SUM(OSRRefT22_10x_0)</f>
        <v>800</v>
      </c>
      <c r="U124" s="1"/>
      <c r="V124" s="5">
        <f t="shared" ref="V124:V126" si="51">IF(T$12=0,0,T124/T$12)</f>
        <v>9.8892527309789487E-4</v>
      </c>
      <c r="W124" s="1"/>
      <c r="X124" s="1">
        <f t="shared" ref="X124:X126" si="52">+P124-T124</f>
        <v>1018.6099999999999</v>
      </c>
      <c r="Y124" s="1"/>
      <c r="Z124" s="5">
        <f t="shared" ref="Z124:Z126" si="53">IF(T124=0,0,X124/T124)</f>
        <v>1.2732625</v>
      </c>
    </row>
    <row r="125" spans="1:26" s="24" customFormat="1" hidden="1" outlineLevel="2" x14ac:dyDescent="0.25">
      <c r="A125" s="25"/>
      <c r="B125" s="11" t="str">
        <f>CONCATENATE("          ", "6282", " - ", "JANITORIAL/EXTERMINATOR EXPENS")</f>
        <v xml:space="preserve">          6282 - JANITORIAL/EXTERMINATOR EXPENS</v>
      </c>
      <c r="C125" s="11"/>
      <c r="D125" s="6">
        <v>44</v>
      </c>
      <c r="E125" s="2"/>
      <c r="F125" s="7">
        <f t="shared" si="46"/>
        <v>3.7665337993334603E-4</v>
      </c>
      <c r="G125" s="2"/>
      <c r="H125" s="6">
        <v>50</v>
      </c>
      <c r="I125" s="2"/>
      <c r="J125" s="7">
        <f t="shared" si="47"/>
        <v>4.4800860176515389E-4</v>
      </c>
      <c r="K125" s="2"/>
      <c r="L125" s="6">
        <f t="shared" si="48"/>
        <v>-6</v>
      </c>
      <c r="M125" s="2"/>
      <c r="N125" s="7">
        <f t="shared" si="49"/>
        <v>-0.12</v>
      </c>
      <c r="O125" s="11"/>
      <c r="P125" s="6">
        <v>373.02</v>
      </c>
      <c r="Q125" s="2"/>
      <c r="R125" s="7">
        <f t="shared" si="50"/>
        <v>4.8399960394606415E-4</v>
      </c>
      <c r="S125" s="2"/>
      <c r="T125" s="6">
        <v>400</v>
      </c>
      <c r="U125" s="2"/>
      <c r="V125" s="7">
        <f t="shared" si="51"/>
        <v>4.9446263654894743E-4</v>
      </c>
      <c r="W125" s="2"/>
      <c r="X125" s="6">
        <f t="shared" si="52"/>
        <v>-26.980000000000018</v>
      </c>
      <c r="Y125" s="2"/>
      <c r="Z125" s="7">
        <f t="shared" si="53"/>
        <v>-6.7450000000000052E-2</v>
      </c>
    </row>
    <row r="126" spans="1:26" s="24" customFormat="1" hidden="1" outlineLevel="2" x14ac:dyDescent="0.25">
      <c r="A126" s="25"/>
      <c r="B126" s="11" t="str">
        <f>CONCATENATE("          ", "6285", " - ", "JANITORIAL SERVICES")</f>
        <v xml:space="preserve">          6285 - JANITORIAL SERVICES</v>
      </c>
      <c r="C126" s="11"/>
      <c r="D126" s="6">
        <v>205.75</v>
      </c>
      <c r="E126" s="2"/>
      <c r="F126" s="7">
        <f t="shared" si="46"/>
        <v>1.7612825663928626E-3</v>
      </c>
      <c r="G126" s="2"/>
      <c r="H126" s="6">
        <v>50</v>
      </c>
      <c r="I126" s="2"/>
      <c r="J126" s="7">
        <f t="shared" si="47"/>
        <v>4.4800860176515389E-4</v>
      </c>
      <c r="K126" s="2"/>
      <c r="L126" s="6">
        <f t="shared" si="48"/>
        <v>155.75</v>
      </c>
      <c r="M126" s="2"/>
      <c r="N126" s="7">
        <f t="shared" si="49"/>
        <v>3.1150000000000002</v>
      </c>
      <c r="O126" s="11"/>
      <c r="P126" s="6">
        <v>1445.59</v>
      </c>
      <c r="Q126" s="2"/>
      <c r="R126" s="7">
        <f t="shared" si="50"/>
        <v>1.8756768738094228E-3</v>
      </c>
      <c r="S126" s="2"/>
      <c r="T126" s="6">
        <v>400</v>
      </c>
      <c r="U126" s="2"/>
      <c r="V126" s="7">
        <f t="shared" si="51"/>
        <v>4.9446263654894743E-4</v>
      </c>
      <c r="W126" s="2"/>
      <c r="X126" s="6">
        <f t="shared" si="52"/>
        <v>1045.5899999999999</v>
      </c>
      <c r="Y126" s="2"/>
      <c r="Z126" s="7">
        <f t="shared" si="53"/>
        <v>2.6139749999999999</v>
      </c>
    </row>
    <row r="127" spans="1:26" s="27" customFormat="1" outlineLevel="1" collapsed="1" x14ac:dyDescent="0.25">
      <c r="A127" s="26"/>
      <c r="B127" s="13" t="str">
        <f>CONCATENATE("     ","Subscriptions &amp; Dues                              ")</f>
        <v xml:space="preserve">     Subscriptions &amp; Dues                              </v>
      </c>
      <c r="C127" s="13"/>
      <c r="D127" s="1">
        <f>SUM(OSRRefD22_11x_0)</f>
        <v>0</v>
      </c>
      <c r="E127" s="1"/>
      <c r="F127" s="5">
        <f t="shared" ref="F127:F132" si="54">IF(D$12=0,0,D127/D$12)</f>
        <v>0</v>
      </c>
      <c r="G127" s="1"/>
      <c r="H127" s="1">
        <f>SUM(OSRRefH22_11x_0)</f>
        <v>0</v>
      </c>
      <c r="I127" s="1"/>
      <c r="J127" s="5">
        <f t="shared" ref="J127:J132" si="55">IF(H$12=0,0,H127/H$12)</f>
        <v>0</v>
      </c>
      <c r="K127" s="1"/>
      <c r="L127" s="1">
        <f t="shared" ref="L127:L132" si="56">+D127-H127</f>
        <v>0</v>
      </c>
      <c r="M127" s="1"/>
      <c r="N127" s="5">
        <f t="shared" ref="N127:N132" si="57">IF(H127=0,0,L127/H127)</f>
        <v>0</v>
      </c>
      <c r="O127" s="13"/>
      <c r="P127" s="1">
        <f>SUM(OSRRefP22_11x_0)</f>
        <v>120</v>
      </c>
      <c r="Q127" s="1"/>
      <c r="R127" s="5">
        <f t="shared" ref="R127:R132" si="58">IF(P$12=0,0,P127/P$12)</f>
        <v>1.5570197971563911E-4</v>
      </c>
      <c r="S127" s="1"/>
      <c r="T127" s="1">
        <f>SUM(OSRRefT22_11x_0)</f>
        <v>0</v>
      </c>
      <c r="U127" s="1"/>
      <c r="V127" s="5">
        <f t="shared" ref="V127:V132" si="59">IF(T$12=0,0,T127/T$12)</f>
        <v>0</v>
      </c>
      <c r="W127" s="1"/>
      <c r="X127" s="1">
        <f t="shared" ref="X127:X132" si="60">+P127-T127</f>
        <v>120</v>
      </c>
      <c r="Y127" s="1"/>
      <c r="Z127" s="5">
        <f t="shared" ref="Z127:Z132" si="61">IF(T127=0,0,X127/T127)</f>
        <v>0</v>
      </c>
    </row>
    <row r="128" spans="1:26" s="24" customFormat="1" hidden="1" outlineLevel="2" x14ac:dyDescent="0.25">
      <c r="A128" s="25"/>
      <c r="B128" s="11" t="str">
        <f>CONCATENATE("          ", "6258", " - ", "MEMBERSHIP DUES")</f>
        <v xml:space="preserve">          6258 - MEMBERSHIP DUES</v>
      </c>
      <c r="C128" s="11"/>
      <c r="D128" s="6"/>
      <c r="E128" s="2"/>
      <c r="F128" s="7">
        <f t="shared" si="54"/>
        <v>0</v>
      </c>
      <c r="G128" s="2"/>
      <c r="H128" s="6"/>
      <c r="I128" s="2"/>
      <c r="J128" s="7">
        <f t="shared" si="55"/>
        <v>0</v>
      </c>
      <c r="K128" s="2"/>
      <c r="L128" s="6">
        <f t="shared" si="56"/>
        <v>0</v>
      </c>
      <c r="M128" s="2"/>
      <c r="N128" s="7">
        <f t="shared" si="57"/>
        <v>0</v>
      </c>
      <c r="O128" s="11"/>
      <c r="P128" s="6">
        <v>120</v>
      </c>
      <c r="Q128" s="2"/>
      <c r="R128" s="7">
        <f t="shared" si="58"/>
        <v>1.5570197971563911E-4</v>
      </c>
      <c r="S128" s="2"/>
      <c r="T128" s="6"/>
      <c r="U128" s="2"/>
      <c r="V128" s="7">
        <f t="shared" si="59"/>
        <v>0</v>
      </c>
      <c r="W128" s="2"/>
      <c r="X128" s="6">
        <f t="shared" si="60"/>
        <v>120</v>
      </c>
      <c r="Y128" s="2"/>
      <c r="Z128" s="7">
        <f t="shared" si="61"/>
        <v>0</v>
      </c>
    </row>
    <row r="129" spans="1:26" s="27" customFormat="1" outlineLevel="1" collapsed="1" x14ac:dyDescent="0.25">
      <c r="A129" s="26"/>
      <c r="B129" s="13" t="str">
        <f>CONCATENATE("     ","Supplies                                          ")</f>
        <v xml:space="preserve">     Supplies                                          </v>
      </c>
      <c r="C129" s="13"/>
      <c r="D129" s="1">
        <f>SUM(OSRRefD22_12x_0)</f>
        <v>25.84</v>
      </c>
      <c r="E129" s="1"/>
      <c r="F129" s="5">
        <f t="shared" si="54"/>
        <v>2.2119825766994685E-4</v>
      </c>
      <c r="G129" s="1"/>
      <c r="H129" s="1">
        <f>SUM(OSRRefH22_12x_0)</f>
        <v>225</v>
      </c>
      <c r="I129" s="1"/>
      <c r="J129" s="5">
        <f t="shared" si="55"/>
        <v>2.0160387079431923E-3</v>
      </c>
      <c r="K129" s="1"/>
      <c r="L129" s="1">
        <f t="shared" si="56"/>
        <v>-199.16</v>
      </c>
      <c r="M129" s="1"/>
      <c r="N129" s="5">
        <f t="shared" si="57"/>
        <v>-0.88515555555555558</v>
      </c>
      <c r="O129" s="13"/>
      <c r="P129" s="1">
        <f>SUM(OSRRefP22_12x_0)</f>
        <v>1534.3999999999999</v>
      </c>
      <c r="Q129" s="1"/>
      <c r="R129" s="5">
        <f t="shared" si="58"/>
        <v>1.9909093139639719E-3</v>
      </c>
      <c r="S129" s="1"/>
      <c r="T129" s="1">
        <f>SUM(OSRRefT22_12x_0)</f>
        <v>1800</v>
      </c>
      <c r="U129" s="1"/>
      <c r="V129" s="5">
        <f t="shared" si="59"/>
        <v>2.2250818644702634E-3</v>
      </c>
      <c r="W129" s="1"/>
      <c r="X129" s="1">
        <f t="shared" si="60"/>
        <v>-265.60000000000014</v>
      </c>
      <c r="Y129" s="1"/>
      <c r="Z129" s="5">
        <f t="shared" si="61"/>
        <v>-0.14755555555555563</v>
      </c>
    </row>
    <row r="130" spans="1:26" s="24" customFormat="1" hidden="1" outlineLevel="2" x14ac:dyDescent="0.25">
      <c r="A130" s="25"/>
      <c r="B130" s="11" t="str">
        <f>CONCATENATE("          ", "6241", " - ", "OFFICE EXPENSE")</f>
        <v xml:space="preserve">          6241 - OFFICE EXPENSE</v>
      </c>
      <c r="C130" s="11"/>
      <c r="D130" s="6">
        <v>25.84</v>
      </c>
      <c r="E130" s="2"/>
      <c r="F130" s="7">
        <f t="shared" si="54"/>
        <v>2.2119825766994685E-4</v>
      </c>
      <c r="G130" s="2"/>
      <c r="H130" s="6">
        <v>225</v>
      </c>
      <c r="I130" s="2"/>
      <c r="J130" s="7">
        <f t="shared" si="55"/>
        <v>2.0160387079431923E-3</v>
      </c>
      <c r="K130" s="2"/>
      <c r="L130" s="6">
        <f t="shared" si="56"/>
        <v>-199.16</v>
      </c>
      <c r="M130" s="2"/>
      <c r="N130" s="7">
        <f t="shared" si="57"/>
        <v>-0.88515555555555558</v>
      </c>
      <c r="O130" s="11"/>
      <c r="P130" s="6">
        <v>1513.05</v>
      </c>
      <c r="Q130" s="2"/>
      <c r="R130" s="7">
        <f t="shared" si="58"/>
        <v>1.9632073367395649E-3</v>
      </c>
      <c r="S130" s="2"/>
      <c r="T130" s="6">
        <v>1800</v>
      </c>
      <c r="U130" s="2"/>
      <c r="V130" s="7">
        <f t="shared" si="59"/>
        <v>2.2250818644702634E-3</v>
      </c>
      <c r="W130" s="2"/>
      <c r="X130" s="6">
        <f t="shared" si="60"/>
        <v>-286.95000000000005</v>
      </c>
      <c r="Y130" s="2"/>
      <c r="Z130" s="7">
        <f t="shared" si="61"/>
        <v>-0.15941666666666668</v>
      </c>
    </row>
    <row r="131" spans="1:26" s="24" customFormat="1" hidden="1" outlineLevel="2" x14ac:dyDescent="0.25">
      <c r="A131" s="25"/>
      <c r="B131" s="11" t="str">
        <f>CONCATENATE("          ", "6245", " - ", "PRINTING")</f>
        <v xml:space="preserve">          6245 - PRINTING</v>
      </c>
      <c r="C131" s="11"/>
      <c r="D131" s="6"/>
      <c r="E131" s="2"/>
      <c r="F131" s="7">
        <f t="shared" si="54"/>
        <v>0</v>
      </c>
      <c r="G131" s="2"/>
      <c r="H131" s="6"/>
      <c r="I131" s="2"/>
      <c r="J131" s="7">
        <f t="shared" si="55"/>
        <v>0</v>
      </c>
      <c r="K131" s="2"/>
      <c r="L131" s="6">
        <f t="shared" si="56"/>
        <v>0</v>
      </c>
      <c r="M131" s="2"/>
      <c r="N131" s="7">
        <f t="shared" si="57"/>
        <v>0</v>
      </c>
      <c r="O131" s="11"/>
      <c r="P131" s="6">
        <v>22.05</v>
      </c>
      <c r="Q131" s="2"/>
      <c r="R131" s="7">
        <f t="shared" si="58"/>
        <v>2.861023877274869E-5</v>
      </c>
      <c r="S131" s="2"/>
      <c r="T131" s="6"/>
      <c r="U131" s="2"/>
      <c r="V131" s="7">
        <f t="shared" si="59"/>
        <v>0</v>
      </c>
      <c r="W131" s="2"/>
      <c r="X131" s="6">
        <f t="shared" si="60"/>
        <v>22.05</v>
      </c>
      <c r="Y131" s="2"/>
      <c r="Z131" s="7">
        <f t="shared" si="61"/>
        <v>0</v>
      </c>
    </row>
    <row r="132" spans="1:26" s="24" customFormat="1" hidden="1" outlineLevel="2" x14ac:dyDescent="0.25">
      <c r="A132" s="25"/>
      <c r="B132" s="11" t="str">
        <f>CONCATENATE("          ", "6247", " - ", "STORE SUPPLIES")</f>
        <v xml:space="preserve">          6247 - STORE SUPPLIES</v>
      </c>
      <c r="C132" s="11"/>
      <c r="D132" s="6"/>
      <c r="E132" s="2"/>
      <c r="F132" s="7">
        <f t="shared" si="54"/>
        <v>0</v>
      </c>
      <c r="G132" s="2"/>
      <c r="H132" s="6"/>
      <c r="I132" s="2"/>
      <c r="J132" s="7">
        <f t="shared" si="55"/>
        <v>0</v>
      </c>
      <c r="K132" s="2"/>
      <c r="L132" s="6">
        <f t="shared" si="56"/>
        <v>0</v>
      </c>
      <c r="M132" s="2"/>
      <c r="N132" s="7">
        <f t="shared" si="57"/>
        <v>0</v>
      </c>
      <c r="O132" s="11"/>
      <c r="P132" s="6">
        <v>-0.7</v>
      </c>
      <c r="Q132" s="2"/>
      <c r="R132" s="7">
        <f t="shared" si="58"/>
        <v>-9.0826154834122808E-7</v>
      </c>
      <c r="S132" s="2"/>
      <c r="T132" s="6"/>
      <c r="U132" s="2"/>
      <c r="V132" s="7">
        <f t="shared" si="59"/>
        <v>0</v>
      </c>
      <c r="W132" s="2"/>
      <c r="X132" s="6">
        <f t="shared" si="60"/>
        <v>-0.7</v>
      </c>
      <c r="Y132" s="2"/>
      <c r="Z132" s="7">
        <f t="shared" si="61"/>
        <v>0</v>
      </c>
    </row>
    <row r="133" spans="1:26" s="27" customFormat="1" outlineLevel="1" collapsed="1" x14ac:dyDescent="0.25">
      <c r="A133" s="26"/>
      <c r="B133" s="13" t="str">
        <f>CONCATENATE("     ","Telephone/Data Lines                              ")</f>
        <v xml:space="preserve">     Telephone/Data Lines                              </v>
      </c>
      <c r="C133" s="13"/>
      <c r="D133" s="1">
        <f>SUM(OSRRefD22_13x_0)</f>
        <v>104.65</v>
      </c>
      <c r="E133" s="1"/>
      <c r="F133" s="5">
        <f t="shared" ref="F133:F138" si="62">IF(D$12=0,0,D133/D$12)</f>
        <v>8.9583582295510607E-4</v>
      </c>
      <c r="G133" s="1"/>
      <c r="H133" s="1">
        <f>SUM(OSRRefH22_13x_0)</f>
        <v>75</v>
      </c>
      <c r="I133" s="1"/>
      <c r="J133" s="5">
        <f t="shared" ref="J133:J138" si="63">IF(H$12=0,0,H133/H$12)</f>
        <v>6.720129026477308E-4</v>
      </c>
      <c r="K133" s="1"/>
      <c r="L133" s="1">
        <f t="shared" ref="L133:L138" si="64">+D133-H133</f>
        <v>29.650000000000006</v>
      </c>
      <c r="M133" s="1"/>
      <c r="N133" s="5">
        <f t="shared" ref="N133:N138" si="65">IF(H133=0,0,L133/H133)</f>
        <v>0.39533333333333343</v>
      </c>
      <c r="O133" s="13"/>
      <c r="P133" s="1">
        <f>SUM(OSRRefP22_13x_0)</f>
        <v>784.22</v>
      </c>
      <c r="Q133" s="1"/>
      <c r="R133" s="5">
        <f t="shared" ref="R133:R138" si="66">IF(P$12=0,0,P133/P$12)</f>
        <v>1.0175383877716543E-3</v>
      </c>
      <c r="S133" s="1"/>
      <c r="T133" s="1">
        <f>SUM(OSRRefT22_13x_0)</f>
        <v>600</v>
      </c>
      <c r="U133" s="1"/>
      <c r="V133" s="5">
        <f t="shared" ref="V133:V138" si="67">IF(T$12=0,0,T133/T$12)</f>
        <v>7.4169395482342126E-4</v>
      </c>
      <c r="W133" s="1"/>
      <c r="X133" s="1">
        <f t="shared" ref="X133:X138" si="68">+P133-T133</f>
        <v>184.22000000000003</v>
      </c>
      <c r="Y133" s="1"/>
      <c r="Z133" s="5">
        <f t="shared" ref="Z133:Z138" si="69">IF(T133=0,0,X133/T133)</f>
        <v>0.30703333333333338</v>
      </c>
    </row>
    <row r="134" spans="1:26" s="24" customFormat="1" hidden="1" outlineLevel="2" x14ac:dyDescent="0.25">
      <c r="A134" s="25"/>
      <c r="B134" s="11" t="str">
        <f>CONCATENATE("          ", "6309", " - ", "TELEPHONE")</f>
        <v xml:space="preserve">          6309 - TELEPHONE</v>
      </c>
      <c r="C134" s="11"/>
      <c r="D134" s="6">
        <v>104.65</v>
      </c>
      <c r="E134" s="2"/>
      <c r="F134" s="7">
        <f t="shared" si="62"/>
        <v>8.9583582295510607E-4</v>
      </c>
      <c r="G134" s="2"/>
      <c r="H134" s="6">
        <v>75</v>
      </c>
      <c r="I134" s="2"/>
      <c r="J134" s="7">
        <f t="shared" si="63"/>
        <v>6.720129026477308E-4</v>
      </c>
      <c r="K134" s="2"/>
      <c r="L134" s="6">
        <f t="shared" si="64"/>
        <v>29.650000000000006</v>
      </c>
      <c r="M134" s="2"/>
      <c r="N134" s="7">
        <f t="shared" si="65"/>
        <v>0.39533333333333343</v>
      </c>
      <c r="O134" s="11"/>
      <c r="P134" s="6">
        <v>784.22</v>
      </c>
      <c r="Q134" s="2"/>
      <c r="R134" s="7">
        <f t="shared" si="66"/>
        <v>1.0175383877716543E-3</v>
      </c>
      <c r="S134" s="2"/>
      <c r="T134" s="6">
        <v>600</v>
      </c>
      <c r="U134" s="2"/>
      <c r="V134" s="7">
        <f t="shared" si="67"/>
        <v>7.4169395482342126E-4</v>
      </c>
      <c r="W134" s="2"/>
      <c r="X134" s="6">
        <f t="shared" si="68"/>
        <v>184.22000000000003</v>
      </c>
      <c r="Y134" s="2"/>
      <c r="Z134" s="7">
        <f t="shared" si="69"/>
        <v>0.30703333333333338</v>
      </c>
    </row>
    <row r="135" spans="1:26" s="27" customFormat="1" outlineLevel="1" collapsed="1" x14ac:dyDescent="0.25">
      <c r="A135" s="26"/>
      <c r="B135" s="13" t="str">
        <f>CONCATENATE("     ","Training                                          ")</f>
        <v xml:space="preserve">     Training                                          </v>
      </c>
      <c r="C135" s="13"/>
      <c r="D135" s="1">
        <f>SUM(OSRRefD22_14x_0)</f>
        <v>234.8</v>
      </c>
      <c r="E135" s="1"/>
      <c r="F135" s="5">
        <f t="shared" si="62"/>
        <v>2.009959400189765E-3</v>
      </c>
      <c r="G135" s="1"/>
      <c r="H135" s="1">
        <f>SUM(OSRRefH22_14x_0)</f>
        <v>175</v>
      </c>
      <c r="I135" s="1"/>
      <c r="J135" s="5">
        <f t="shared" si="63"/>
        <v>1.5680301061780386E-3</v>
      </c>
      <c r="K135" s="1"/>
      <c r="L135" s="1">
        <f t="shared" si="64"/>
        <v>59.800000000000011</v>
      </c>
      <c r="M135" s="1"/>
      <c r="N135" s="5">
        <f t="shared" si="65"/>
        <v>0.3417142857142858</v>
      </c>
      <c r="O135" s="13"/>
      <c r="P135" s="1">
        <f>SUM(OSRRefP22_14x_0)</f>
        <v>314.8</v>
      </c>
      <c r="Q135" s="1"/>
      <c r="R135" s="5">
        <f t="shared" si="66"/>
        <v>4.0845819345402661E-4</v>
      </c>
      <c r="S135" s="1"/>
      <c r="T135" s="1">
        <f>SUM(OSRRefT22_14x_0)</f>
        <v>1400</v>
      </c>
      <c r="U135" s="1"/>
      <c r="V135" s="5">
        <f t="shared" si="67"/>
        <v>1.7306192279213162E-3</v>
      </c>
      <c r="W135" s="1"/>
      <c r="X135" s="1">
        <f t="shared" si="68"/>
        <v>-1085.2</v>
      </c>
      <c r="Y135" s="1"/>
      <c r="Z135" s="5">
        <f t="shared" si="69"/>
        <v>-0.77514285714285713</v>
      </c>
    </row>
    <row r="136" spans="1:26" s="24" customFormat="1" hidden="1" outlineLevel="2" x14ac:dyDescent="0.25">
      <c r="A136" s="25"/>
      <c r="B136" s="11" t="str">
        <f>CONCATENATE("          ", "6376", " - ", "TRAINING")</f>
        <v xml:space="preserve">          6376 - TRAINING</v>
      </c>
      <c r="C136" s="11"/>
      <c r="D136" s="6">
        <v>234.8</v>
      </c>
      <c r="E136" s="2"/>
      <c r="F136" s="7">
        <f t="shared" si="62"/>
        <v>2.009959400189765E-3</v>
      </c>
      <c r="G136" s="2"/>
      <c r="H136" s="6">
        <v>175</v>
      </c>
      <c r="I136" s="2"/>
      <c r="J136" s="7">
        <f t="shared" si="63"/>
        <v>1.5680301061780386E-3</v>
      </c>
      <c r="K136" s="2"/>
      <c r="L136" s="6">
        <f t="shared" si="64"/>
        <v>59.800000000000011</v>
      </c>
      <c r="M136" s="2"/>
      <c r="N136" s="7">
        <f t="shared" si="65"/>
        <v>0.3417142857142858</v>
      </c>
      <c r="O136" s="11"/>
      <c r="P136" s="6">
        <v>314.8</v>
      </c>
      <c r="Q136" s="2"/>
      <c r="R136" s="7">
        <f t="shared" si="66"/>
        <v>4.0845819345402661E-4</v>
      </c>
      <c r="S136" s="2"/>
      <c r="T136" s="6">
        <v>1400</v>
      </c>
      <c r="U136" s="2"/>
      <c r="V136" s="7">
        <f t="shared" si="67"/>
        <v>1.7306192279213162E-3</v>
      </c>
      <c r="W136" s="2"/>
      <c r="X136" s="6">
        <f t="shared" si="68"/>
        <v>-1085.2</v>
      </c>
      <c r="Y136" s="2"/>
      <c r="Z136" s="7">
        <f t="shared" si="69"/>
        <v>-0.77514285714285713</v>
      </c>
    </row>
    <row r="137" spans="1:26" s="27" customFormat="1" outlineLevel="1" collapsed="1" x14ac:dyDescent="0.25">
      <c r="A137" s="26"/>
      <c r="B137" s="13" t="str">
        <f>CONCATENATE("     ","Travel                                            ")</f>
        <v xml:space="preserve">     Travel                                            </v>
      </c>
      <c r="C137" s="13"/>
      <c r="D137" s="1">
        <f>SUM(OSRRefD22_15x_0)</f>
        <v>0</v>
      </c>
      <c r="E137" s="1"/>
      <c r="F137" s="5">
        <f t="shared" si="62"/>
        <v>0</v>
      </c>
      <c r="G137" s="1"/>
      <c r="H137" s="1">
        <f>SUM(OSRRefH22_15x_0)</f>
        <v>0</v>
      </c>
      <c r="I137" s="1"/>
      <c r="J137" s="5">
        <f t="shared" si="63"/>
        <v>0</v>
      </c>
      <c r="K137" s="1"/>
      <c r="L137" s="1">
        <f t="shared" si="64"/>
        <v>0</v>
      </c>
      <c r="M137" s="1"/>
      <c r="N137" s="5">
        <f t="shared" si="65"/>
        <v>0</v>
      </c>
      <c r="O137" s="13"/>
      <c r="P137" s="1">
        <f>SUM(OSRRefP22_15x_0)</f>
        <v>-323.01</v>
      </c>
      <c r="Q137" s="1"/>
      <c r="R137" s="5">
        <f t="shared" si="66"/>
        <v>-4.1911080389957158E-4</v>
      </c>
      <c r="S137" s="1"/>
      <c r="T137" s="1">
        <f>SUM(OSRRefT22_15x_0)</f>
        <v>0</v>
      </c>
      <c r="U137" s="1"/>
      <c r="V137" s="5">
        <f t="shared" si="67"/>
        <v>0</v>
      </c>
      <c r="W137" s="1"/>
      <c r="X137" s="1">
        <f t="shared" si="68"/>
        <v>-323.01</v>
      </c>
      <c r="Y137" s="1"/>
      <c r="Z137" s="5">
        <f t="shared" si="69"/>
        <v>0</v>
      </c>
    </row>
    <row r="138" spans="1:26" s="24" customFormat="1" hidden="1" outlineLevel="2" x14ac:dyDescent="0.25">
      <c r="A138" s="25"/>
      <c r="B138" s="11" t="str">
        <f>CONCATENATE("          ", "6292", " - ", "TRAVEL/CONFERENCE")</f>
        <v xml:space="preserve">          6292 - TRAVEL/CONFERENCE</v>
      </c>
      <c r="C138" s="11"/>
      <c r="D138" s="6"/>
      <c r="E138" s="2"/>
      <c r="F138" s="7">
        <f t="shared" si="62"/>
        <v>0</v>
      </c>
      <c r="G138" s="2"/>
      <c r="H138" s="6"/>
      <c r="I138" s="2"/>
      <c r="J138" s="7">
        <f t="shared" si="63"/>
        <v>0</v>
      </c>
      <c r="K138" s="2"/>
      <c r="L138" s="6">
        <f t="shared" si="64"/>
        <v>0</v>
      </c>
      <c r="M138" s="2"/>
      <c r="N138" s="7">
        <f t="shared" si="65"/>
        <v>0</v>
      </c>
      <c r="O138" s="11"/>
      <c r="P138" s="6">
        <v>-323.01</v>
      </c>
      <c r="Q138" s="2"/>
      <c r="R138" s="7">
        <f t="shared" si="66"/>
        <v>-4.1911080389957158E-4</v>
      </c>
      <c r="S138" s="2"/>
      <c r="T138" s="6"/>
      <c r="U138" s="2"/>
      <c r="V138" s="7">
        <f t="shared" si="67"/>
        <v>0</v>
      </c>
      <c r="W138" s="2"/>
      <c r="X138" s="6">
        <f t="shared" si="68"/>
        <v>-323.01</v>
      </c>
      <c r="Y138" s="2"/>
      <c r="Z138" s="7">
        <f t="shared" si="69"/>
        <v>0</v>
      </c>
    </row>
    <row r="139" spans="1:26" s="53" customFormat="1" x14ac:dyDescent="0.25">
      <c r="A139" s="36"/>
      <c r="B139" s="36"/>
      <c r="C139" s="36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6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collapsed="1" x14ac:dyDescent="0.25">
      <c r="A140" s="10"/>
      <c r="B140" s="29" t="s">
        <v>0</v>
      </c>
      <c r="C140" s="10"/>
      <c r="D140" s="4">
        <f>SUM(OSRRefD25x_0)</f>
        <v>0</v>
      </c>
      <c r="E140" s="4"/>
      <c r="F140" s="12">
        <f t="shared" ref="F140:F141" si="70">IF(D$12=0,0,D140/D$12)</f>
        <v>0</v>
      </c>
      <c r="G140" s="4"/>
      <c r="H140" s="4">
        <f>SUM(OSRRefH25x_0)</f>
        <v>0</v>
      </c>
      <c r="I140" s="4"/>
      <c r="J140" s="12">
        <f t="shared" ref="J140:J141" si="71">IF(H$12=0,0,H140/H$12)</f>
        <v>0</v>
      </c>
      <c r="K140" s="4"/>
      <c r="L140" s="4">
        <f t="shared" ref="L140:L141" si="72">+D140-H140</f>
        <v>0</v>
      </c>
      <c r="M140" s="4"/>
      <c r="N140" s="12">
        <f t="shared" ref="N140:N141" si="73">IF(H140=0,0,L140/H140)</f>
        <v>0</v>
      </c>
      <c r="O140" s="10"/>
      <c r="P140" s="4">
        <f>SUM(OSRRefP25x_0)</f>
        <v>68.760000000000005</v>
      </c>
      <c r="Q140" s="4"/>
      <c r="R140" s="12">
        <f t="shared" ref="R140:R141" si="74">IF(P$12=0,0,P140/P$12)</f>
        <v>8.9217234377061226E-5</v>
      </c>
      <c r="S140" s="4"/>
      <c r="T140" s="4">
        <f>SUM(OSRRefT25x_0)</f>
        <v>0</v>
      </c>
      <c r="U140" s="4"/>
      <c r="V140" s="12">
        <f t="shared" ref="V140:V141" si="75">IF(T$12=0,0,T140/T$12)</f>
        <v>0</v>
      </c>
      <c r="W140" s="4"/>
      <c r="X140" s="4">
        <f t="shared" ref="X140:X141" si="76">+P140-T140</f>
        <v>68.760000000000005</v>
      </c>
      <c r="Y140" s="4"/>
      <c r="Z140" s="12">
        <f t="shared" ref="Z140:Z141" si="77">IF(T140=0,0,X140/T140)</f>
        <v>0</v>
      </c>
    </row>
    <row r="141" spans="1:26" s="24" customFormat="1" hidden="1" outlineLevel="1" x14ac:dyDescent="0.25">
      <c r="A141" s="44"/>
      <c r="B141" s="11" t="str">
        <f>CONCATENATE("          ", "9150", " - ", "MISC. INCOME")</f>
        <v xml:space="preserve">          9150 - MISC. INCOME</v>
      </c>
      <c r="C141" s="11"/>
      <c r="D141" s="2">
        <f>0</f>
        <v>0</v>
      </c>
      <c r="E141" s="2"/>
      <c r="F141" s="19">
        <f t="shared" si="70"/>
        <v>0</v>
      </c>
      <c r="G141" s="2"/>
      <c r="H141" s="2"/>
      <c r="I141" s="2"/>
      <c r="J141" s="19">
        <f t="shared" si="71"/>
        <v>0</v>
      </c>
      <c r="K141" s="2"/>
      <c r="L141" s="2">
        <f t="shared" si="72"/>
        <v>0</v>
      </c>
      <c r="M141" s="2"/>
      <c r="N141" s="19">
        <f t="shared" si="73"/>
        <v>0</v>
      </c>
      <c r="O141" s="11"/>
      <c r="P141" s="2">
        <f>--68.76</f>
        <v>68.760000000000005</v>
      </c>
      <c r="Q141" s="2"/>
      <c r="R141" s="19">
        <f t="shared" si="74"/>
        <v>8.9217234377061226E-5</v>
      </c>
      <c r="S141" s="2"/>
      <c r="T141" s="2"/>
      <c r="U141" s="2"/>
      <c r="V141" s="19">
        <f t="shared" si="75"/>
        <v>0</v>
      </c>
      <c r="W141" s="2"/>
      <c r="X141" s="2">
        <f t="shared" si="76"/>
        <v>68.760000000000005</v>
      </c>
      <c r="Y141" s="2"/>
      <c r="Z141" s="19">
        <f t="shared" si="77"/>
        <v>0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10"/>
      <c r="B143" s="28" t="s">
        <v>3</v>
      </c>
      <c r="C143" s="28"/>
      <c r="D143" s="21">
        <f>+D82-D84+D140</f>
        <v>32843.109999999986</v>
      </c>
      <c r="E143" s="14"/>
      <c r="F143" s="22">
        <f>IF(D$12=0,0,D143/D$12)</f>
        <v>0.28114700884142435</v>
      </c>
      <c r="G143" s="14"/>
      <c r="H143" s="21">
        <f>+H82-H84+H140</f>
        <v>35118.404172023387</v>
      </c>
      <c r="I143" s="14"/>
      <c r="J143" s="22">
        <f>IF(H$12=0,0,H143/H$12)</f>
        <v>0.31466694298663489</v>
      </c>
      <c r="K143" s="15"/>
      <c r="L143" s="21">
        <f>+D143-H143</f>
        <v>-2275.2941720234012</v>
      </c>
      <c r="M143" s="15"/>
      <c r="N143" s="22">
        <f>IF(H143=0,0,L143/H143)</f>
        <v>-6.4789224501151571E-2</v>
      </c>
      <c r="O143" s="29"/>
      <c r="P143" s="21">
        <f>+P82-P84+P140</f>
        <v>203091.20000000027</v>
      </c>
      <c r="Q143" s="14"/>
      <c r="R143" s="22">
        <f>IF(P$12=0,0,P143/P$12)</f>
        <v>0.26351418252354042</v>
      </c>
      <c r="S143" s="14"/>
      <c r="T143" s="21">
        <f>+T82-T84+T140</f>
        <v>248756.49431104664</v>
      </c>
      <c r="U143" s="14"/>
      <c r="V143" s="22">
        <f>IF(T$12=0,0,T143/T$12)</f>
        <v>0.30750198008928342</v>
      </c>
      <c r="W143" s="15"/>
      <c r="X143" s="21">
        <f>+P143-T143</f>
        <v>-45665.294311046368</v>
      </c>
      <c r="Y143" s="15"/>
      <c r="Z143" s="22">
        <f>IF(T143=0,0,X143/T143)</f>
        <v>-0.18357427988973909</v>
      </c>
    </row>
    <row r="144" spans="1:26" x14ac:dyDescent="0.25">
      <c r="A144" s="9"/>
      <c r="B144" s="10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52"/>
      <c r="B145" s="10" t="s">
        <v>14</v>
      </c>
      <c r="C145" s="10"/>
      <c r="D145" s="4">
        <v>10358.959999999999</v>
      </c>
      <c r="E145" s="4"/>
      <c r="F145" s="12">
        <f>IF(D$12=0,0,D145/D$12)</f>
        <v>8.8675847649871228E-2</v>
      </c>
      <c r="G145" s="4"/>
      <c r="H145" s="4">
        <v>11417</v>
      </c>
      <c r="I145" s="4"/>
      <c r="J145" s="12">
        <f>IF(H$12=0,0,H145/H$12)</f>
        <v>0.10229828412705524</v>
      </c>
      <c r="K145" s="4"/>
      <c r="L145" s="4">
        <f>+D145-H145</f>
        <v>-1058.0400000000009</v>
      </c>
      <c r="M145" s="4"/>
      <c r="N145" s="12">
        <f>IF(H145=0,0,L145/H145)</f>
        <v>-9.2672330734869135E-2</v>
      </c>
      <c r="O145" s="10"/>
      <c r="P145" s="4">
        <v>78549.89</v>
      </c>
      <c r="Q145" s="4"/>
      <c r="R145" s="12">
        <f>IF(P$12=0,0,P145/P$12)</f>
        <v>0.10191977816204736</v>
      </c>
      <c r="S145" s="4"/>
      <c r="T145" s="4">
        <v>97276</v>
      </c>
      <c r="U145" s="4"/>
      <c r="V145" s="12">
        <f>IF(T$12=0,0,T145/T$12)</f>
        <v>0.12024836858233853</v>
      </c>
      <c r="W145" s="4"/>
      <c r="X145" s="4">
        <f>+P145-T145</f>
        <v>-18726.11</v>
      </c>
      <c r="Y145" s="4"/>
      <c r="Z145" s="12">
        <f>IF(T145=0,0,X145/T145)</f>
        <v>-0.19250493441342162</v>
      </c>
    </row>
    <row r="146" spans="1:26" x14ac:dyDescent="0.25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8" t="s">
        <v>4</v>
      </c>
      <c r="C147" s="28"/>
      <c r="D147" s="31">
        <f>+D143-D145</f>
        <v>22484.149999999987</v>
      </c>
      <c r="E147" s="14"/>
      <c r="F147" s="32">
        <f>IF(D$12=0,0,D147/D$12)</f>
        <v>0.19247116119155314</v>
      </c>
      <c r="G147" s="14"/>
      <c r="H147" s="31">
        <f>+H143-H145</f>
        <v>23701.404172023387</v>
      </c>
      <c r="I147" s="14"/>
      <c r="J147" s="32">
        <f>IF(H$12=0,0,H147/H$12)</f>
        <v>0.21236865885957965</v>
      </c>
      <c r="K147" s="15"/>
      <c r="L147" s="31">
        <f>D147-H147</f>
        <v>-1217.2541720234003</v>
      </c>
      <c r="M147" s="15"/>
      <c r="N147" s="32">
        <f>IF(H147=0,0,L147/H147)</f>
        <v>-5.1357892688072053E-2</v>
      </c>
      <c r="O147" s="29"/>
      <c r="P147" s="31">
        <f>+P143-P145</f>
        <v>124541.31000000027</v>
      </c>
      <c r="Q147" s="14"/>
      <c r="R147" s="32">
        <f>IF(P$12=0,0,P147/P$12)</f>
        <v>0.16159440436149305</v>
      </c>
      <c r="S147" s="14"/>
      <c r="T147" s="31">
        <f>+T143-T145</f>
        <v>151480.49431104664</v>
      </c>
      <c r="U147" s="14"/>
      <c r="V147" s="32">
        <f>IF(T$12=0,0,T147/T$12)</f>
        <v>0.18725361150694489</v>
      </c>
      <c r="W147" s="15"/>
      <c r="X147" s="31">
        <f>P147-T147</f>
        <v>-26939.184311046367</v>
      </c>
      <c r="Y147" s="15"/>
      <c r="Z147" s="32">
        <f>IF(T147=0,0,X147/T147)</f>
        <v>-0.17783929497701567</v>
      </c>
    </row>
    <row r="148" spans="1:26" ht="15.75" thickTop="1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ht="15.75" thickBot="1" x14ac:dyDescent="0.3">
      <c r="A150" s="10"/>
      <c r="B150" s="28" t="s">
        <v>5</v>
      </c>
      <c r="C150" s="28"/>
      <c r="D150" s="33">
        <f>SUM(D147:D149)</f>
        <v>22484.149999999987</v>
      </c>
      <c r="E150" s="14"/>
      <c r="F150" s="30">
        <f>IF(D$12=0,0,D150/D$12)</f>
        <v>0.19247116119155314</v>
      </c>
      <c r="G150" s="14"/>
      <c r="H150" s="33">
        <f>SUM(H147:H149)</f>
        <v>23701.404172023387</v>
      </c>
      <c r="I150" s="14"/>
      <c r="J150" s="30">
        <f>IF(H$12=0,0,H150/H$12)</f>
        <v>0.21236865885957965</v>
      </c>
      <c r="K150" s="15"/>
      <c r="L150" s="33">
        <f>+D150-H150</f>
        <v>-1217.2541720234003</v>
      </c>
      <c r="M150" s="15"/>
      <c r="N150" s="30">
        <f>IF(H150=0,0,L150/H150)</f>
        <v>-5.1357892688072053E-2</v>
      </c>
      <c r="O150" s="29"/>
      <c r="P150" s="33">
        <f>SUM(P147:P149)</f>
        <v>124541.31000000027</v>
      </c>
      <c r="Q150" s="14"/>
      <c r="R150" s="30">
        <f>IF(P$12=0,0,P150/P$12)</f>
        <v>0.16159440436149305</v>
      </c>
      <c r="S150" s="14"/>
      <c r="T150" s="33">
        <f>SUM(T147:T149)</f>
        <v>151480.49431104664</v>
      </c>
      <c r="U150" s="14"/>
      <c r="V150" s="30">
        <f>IF(T$12=0,0,T150/T$12)</f>
        <v>0.18725361150694489</v>
      </c>
      <c r="W150" s="15"/>
      <c r="X150" s="33">
        <f>+P150-T150</f>
        <v>-26939.184311046367</v>
      </c>
      <c r="Y150" s="15"/>
      <c r="Z150" s="30">
        <f>IF(T150=0,0,X150/T150)</f>
        <v>-0.17783929497701567</v>
      </c>
    </row>
    <row r="151" spans="1:26" ht="15.75" thickTop="1" x14ac:dyDescent="0.25">
      <c r="A151" s="9"/>
      <c r="C151" s="9"/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25">
      <c r="A152" s="9"/>
      <c r="B152" s="59">
        <v>43908.494095833332</v>
      </c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  <row r="153" spans="1:26" x14ac:dyDescent="0.25">
      <c r="A153" s="9"/>
      <c r="B153" s="63" t="s">
        <v>314</v>
      </c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  <row r="154" spans="1:26" x14ac:dyDescent="0.25">
      <c r="A154" s="9"/>
      <c r="B154" s="57"/>
      <c r="D154" s="17"/>
      <c r="E154" s="17"/>
      <c r="G154" s="17"/>
      <c r="H154" s="17"/>
      <c r="I154" s="17"/>
      <c r="J154" s="43"/>
      <c r="K154" s="17"/>
      <c r="L154" s="17"/>
      <c r="M154" s="17"/>
      <c r="P154" s="17"/>
      <c r="Q154" s="17"/>
      <c r="R154" s="43"/>
      <c r="S154" s="17"/>
      <c r="T154" s="17"/>
      <c r="U154" s="17"/>
      <c r="V154" s="43"/>
      <c r="W154" s="17"/>
      <c r="X154" s="17"/>
    </row>
    <row r="155" spans="1:26" x14ac:dyDescent="0.25">
      <c r="D155" s="17"/>
      <c r="E155" s="17"/>
      <c r="G155" s="17"/>
      <c r="H155" s="17"/>
      <c r="I155" s="17"/>
      <c r="J155" s="43"/>
      <c r="K155" s="17"/>
      <c r="L155" s="17"/>
      <c r="M155" s="17"/>
      <c r="P155" s="17"/>
      <c r="Q155" s="17"/>
      <c r="R155" s="43"/>
      <c r="S155" s="17"/>
      <c r="T155" s="17"/>
      <c r="U155" s="17"/>
      <c r="V155" s="43"/>
      <c r="W155" s="17"/>
      <c r="X155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63310.880000000012</v>
      </c>
      <c r="E12" s="4"/>
      <c r="F12" s="12"/>
      <c r="G12" s="4"/>
      <c r="H12" s="4">
        <f>SUM(OSRRefH13x_0)</f>
        <v>60095</v>
      </c>
      <c r="I12" s="4"/>
      <c r="J12" s="12"/>
      <c r="K12" s="4"/>
      <c r="L12" s="4">
        <f t="shared" ref="L12:L50" si="0">+D12-H12</f>
        <v>3215.8800000000119</v>
      </c>
      <c r="M12" s="4"/>
      <c r="N12" s="12">
        <f t="shared" ref="N12:N50" si="1">IF(H12=0,0,L12/H12)</f>
        <v>5.3513270654796774E-2</v>
      </c>
      <c r="O12" s="10"/>
      <c r="P12" s="4">
        <f>SUM(OSRRefP13x_0)</f>
        <v>384303.8</v>
      </c>
      <c r="Q12" s="4"/>
      <c r="R12" s="12"/>
      <c r="S12" s="4"/>
      <c r="T12" s="4">
        <f>SUM(OSRRefT13x_0)</f>
        <v>396530</v>
      </c>
      <c r="U12" s="4"/>
      <c r="V12" s="12"/>
      <c r="W12" s="4"/>
      <c r="X12" s="4">
        <f t="shared" ref="X12:X50" si="2">+P12-T12</f>
        <v>-12226.200000000012</v>
      </c>
      <c r="Y12" s="4"/>
      <c r="Z12" s="12">
        <f t="shared" ref="Z12:Z50" si="3">IF(T12=0,0,X12/T12)</f>
        <v>-3.0832976067384589E-2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43680</v>
      </c>
      <c r="I13" s="2"/>
      <c r="J13" s="19"/>
      <c r="K13" s="2"/>
      <c r="L13" s="2">
        <f t="shared" si="0"/>
        <v>-43680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304491</v>
      </c>
      <c r="U13" s="2"/>
      <c r="V13" s="19"/>
      <c r="W13" s="2"/>
      <c r="X13" s="2">
        <f t="shared" si="2"/>
        <v>-304491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--16.47</f>
        <v>16.47</v>
      </c>
      <c r="E14" s="2"/>
      <c r="F14" s="19"/>
      <c r="G14" s="2"/>
      <c r="H14" s="2"/>
      <c r="I14" s="2"/>
      <c r="J14" s="19"/>
      <c r="K14" s="2"/>
      <c r="L14" s="2">
        <f t="shared" si="0"/>
        <v>16.47</v>
      </c>
      <c r="M14" s="2"/>
      <c r="N14" s="19">
        <f t="shared" si="1"/>
        <v>0</v>
      </c>
      <c r="O14" s="11"/>
      <c r="P14" s="2">
        <f>--60.39</f>
        <v>60.39</v>
      </c>
      <c r="Q14" s="2"/>
      <c r="R14" s="19"/>
      <c r="S14" s="2"/>
      <c r="T14" s="2"/>
      <c r="U14" s="2"/>
      <c r="V14" s="19"/>
      <c r="W14" s="2"/>
      <c r="X14" s="2">
        <f t="shared" si="2"/>
        <v>60.39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--358.97</f>
        <v>358.97</v>
      </c>
      <c r="E15" s="2"/>
      <c r="F15" s="19"/>
      <c r="G15" s="2"/>
      <c r="H15" s="2"/>
      <c r="I15" s="2"/>
      <c r="J15" s="19"/>
      <c r="K15" s="2"/>
      <c r="L15" s="2">
        <f t="shared" si="0"/>
        <v>358.97</v>
      </c>
      <c r="M15" s="2"/>
      <c r="N15" s="19">
        <f t="shared" si="1"/>
        <v>0</v>
      </c>
      <c r="O15" s="11"/>
      <c r="P15" s="2">
        <f>--2039.68</f>
        <v>2039.68</v>
      </c>
      <c r="Q15" s="2"/>
      <c r="R15" s="19"/>
      <c r="S15" s="2"/>
      <c r="T15" s="2"/>
      <c r="U15" s="2"/>
      <c r="V15" s="19"/>
      <c r="W15" s="2"/>
      <c r="X15" s="2">
        <f t="shared" si="2"/>
        <v>2039.68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--1250.27</f>
        <v>1250.27</v>
      </c>
      <c r="E16" s="2"/>
      <c r="F16" s="19"/>
      <c r="G16" s="2"/>
      <c r="H16" s="2"/>
      <c r="I16" s="2"/>
      <c r="J16" s="19"/>
      <c r="K16" s="2"/>
      <c r="L16" s="2">
        <f t="shared" si="0"/>
        <v>1250.27</v>
      </c>
      <c r="M16" s="2"/>
      <c r="N16" s="19">
        <f t="shared" si="1"/>
        <v>0</v>
      </c>
      <c r="O16" s="11"/>
      <c r="P16" s="2">
        <f>--6276.4</f>
        <v>6276.4</v>
      </c>
      <c r="Q16" s="2"/>
      <c r="R16" s="19"/>
      <c r="S16" s="2"/>
      <c r="T16" s="2"/>
      <c r="U16" s="2"/>
      <c r="V16" s="19"/>
      <c r="W16" s="2"/>
      <c r="X16" s="2">
        <f t="shared" si="2"/>
        <v>6276.4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--827.51</f>
        <v>827.51</v>
      </c>
      <c r="E17" s="2"/>
      <c r="F17" s="19"/>
      <c r="G17" s="2"/>
      <c r="H17" s="2"/>
      <c r="I17" s="2"/>
      <c r="J17" s="19"/>
      <c r="K17" s="2"/>
      <c r="L17" s="2">
        <f t="shared" si="0"/>
        <v>827.51</v>
      </c>
      <c r="M17" s="2"/>
      <c r="N17" s="19">
        <f t="shared" si="1"/>
        <v>0</v>
      </c>
      <c r="O17" s="11"/>
      <c r="P17" s="2">
        <f>--8995.37</f>
        <v>8995.3700000000008</v>
      </c>
      <c r="Q17" s="2"/>
      <c r="R17" s="19"/>
      <c r="S17" s="2"/>
      <c r="T17" s="2"/>
      <c r="U17" s="2"/>
      <c r="V17" s="19"/>
      <c r="W17" s="2"/>
      <c r="X17" s="2">
        <f t="shared" si="2"/>
        <v>8995.3700000000008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--40732.09</f>
        <v>40732.089999999997</v>
      </c>
      <c r="E18" s="2"/>
      <c r="F18" s="19"/>
      <c r="G18" s="2"/>
      <c r="H18" s="2"/>
      <c r="I18" s="2"/>
      <c r="J18" s="19"/>
      <c r="K18" s="2"/>
      <c r="L18" s="2">
        <f t="shared" si="0"/>
        <v>40732.089999999997</v>
      </c>
      <c r="M18" s="2"/>
      <c r="N18" s="19">
        <f t="shared" si="1"/>
        <v>0</v>
      </c>
      <c r="O18" s="11"/>
      <c r="P18" s="2">
        <f>--263704.41</f>
        <v>263704.40999999997</v>
      </c>
      <c r="Q18" s="2"/>
      <c r="R18" s="19"/>
      <c r="S18" s="2"/>
      <c r="T18" s="2"/>
      <c r="U18" s="2"/>
      <c r="V18" s="19"/>
      <c r="W18" s="2"/>
      <c r="X18" s="2">
        <f t="shared" si="2"/>
        <v>263704.40999999997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--92.07</f>
        <v>92.07</v>
      </c>
      <c r="E19" s="2"/>
      <c r="F19" s="19"/>
      <c r="G19" s="2"/>
      <c r="H19" s="2"/>
      <c r="I19" s="2"/>
      <c r="J19" s="19"/>
      <c r="K19" s="2"/>
      <c r="L19" s="2">
        <f t="shared" si="0"/>
        <v>92.07</v>
      </c>
      <c r="M19" s="2"/>
      <c r="N19" s="19">
        <f t="shared" si="1"/>
        <v>0</v>
      </c>
      <c r="O19" s="11"/>
      <c r="P19" s="2">
        <f>--442.04</f>
        <v>442.04</v>
      </c>
      <c r="Q19" s="2"/>
      <c r="R19" s="19"/>
      <c r="S19" s="2"/>
      <c r="T19" s="2"/>
      <c r="U19" s="2"/>
      <c r="V19" s="19"/>
      <c r="W19" s="2"/>
      <c r="X19" s="2">
        <f t="shared" si="2"/>
        <v>442.04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--555.66</f>
        <v>555.66</v>
      </c>
      <c r="E20" s="2"/>
      <c r="F20" s="19"/>
      <c r="G20" s="2"/>
      <c r="H20" s="2"/>
      <c r="I20" s="2"/>
      <c r="J20" s="19"/>
      <c r="K20" s="2"/>
      <c r="L20" s="2">
        <f t="shared" si="0"/>
        <v>555.66</v>
      </c>
      <c r="M20" s="2"/>
      <c r="N20" s="19">
        <f t="shared" si="1"/>
        <v>0</v>
      </c>
      <c r="O20" s="11"/>
      <c r="P20" s="2">
        <f>--1664.25</f>
        <v>1664.25</v>
      </c>
      <c r="Q20" s="2"/>
      <c r="R20" s="19"/>
      <c r="S20" s="2"/>
      <c r="T20" s="2"/>
      <c r="U20" s="2"/>
      <c r="V20" s="19"/>
      <c r="W20" s="2"/>
      <c r="X20" s="2">
        <f t="shared" si="2"/>
        <v>1664.25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--33.83</f>
        <v>33.83</v>
      </c>
      <c r="E21" s="2"/>
      <c r="F21" s="19"/>
      <c r="G21" s="2"/>
      <c r="H21" s="2"/>
      <c r="I21" s="2"/>
      <c r="J21" s="19"/>
      <c r="K21" s="2"/>
      <c r="L21" s="2">
        <f t="shared" si="0"/>
        <v>33.83</v>
      </c>
      <c r="M21" s="2"/>
      <c r="N21" s="19">
        <f t="shared" si="1"/>
        <v>0</v>
      </c>
      <c r="O21" s="11"/>
      <c r="P21" s="2">
        <f>--179.98</f>
        <v>179.98</v>
      </c>
      <c r="Q21" s="2"/>
      <c r="R21" s="19"/>
      <c r="S21" s="2"/>
      <c r="T21" s="2"/>
      <c r="U21" s="2"/>
      <c r="V21" s="19"/>
      <c r="W21" s="2"/>
      <c r="X21" s="2">
        <f t="shared" si="2"/>
        <v>179.98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--1452.19</f>
        <v>1452.19</v>
      </c>
      <c r="E22" s="2"/>
      <c r="F22" s="19"/>
      <c r="G22" s="2"/>
      <c r="H22" s="2"/>
      <c r="I22" s="2"/>
      <c r="J22" s="19"/>
      <c r="K22" s="2"/>
      <c r="L22" s="2">
        <f t="shared" si="0"/>
        <v>1452.19</v>
      </c>
      <c r="M22" s="2"/>
      <c r="N22" s="19">
        <f t="shared" si="1"/>
        <v>0</v>
      </c>
      <c r="O22" s="11"/>
      <c r="P22" s="2">
        <f>--7203.43</f>
        <v>7203.43</v>
      </c>
      <c r="Q22" s="2"/>
      <c r="R22" s="19"/>
      <c r="S22" s="2"/>
      <c r="T22" s="2"/>
      <c r="U22" s="2"/>
      <c r="V22" s="19"/>
      <c r="W22" s="2"/>
      <c r="X22" s="2">
        <f t="shared" si="2"/>
        <v>7203.43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--442.03</f>
        <v>442.03</v>
      </c>
      <c r="E23" s="2"/>
      <c r="F23" s="19"/>
      <c r="G23" s="2"/>
      <c r="H23" s="2"/>
      <c r="I23" s="2"/>
      <c r="J23" s="19"/>
      <c r="K23" s="2"/>
      <c r="L23" s="2">
        <f t="shared" si="0"/>
        <v>442.03</v>
      </c>
      <c r="M23" s="2"/>
      <c r="N23" s="19">
        <f t="shared" si="1"/>
        <v>0</v>
      </c>
      <c r="O23" s="11"/>
      <c r="P23" s="2">
        <f>--1864.32</f>
        <v>1864.32</v>
      </c>
      <c r="Q23" s="2"/>
      <c r="R23" s="19"/>
      <c r="S23" s="2"/>
      <c r="T23" s="2"/>
      <c r="U23" s="2"/>
      <c r="V23" s="19"/>
      <c r="W23" s="2"/>
      <c r="X23" s="2">
        <f t="shared" si="2"/>
        <v>1864.32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--74.61</f>
        <v>74.61</v>
      </c>
      <c r="E24" s="2"/>
      <c r="F24" s="19"/>
      <c r="G24" s="2"/>
      <c r="H24" s="2"/>
      <c r="I24" s="2"/>
      <c r="J24" s="19"/>
      <c r="K24" s="2"/>
      <c r="L24" s="2">
        <f t="shared" si="0"/>
        <v>74.61</v>
      </c>
      <c r="M24" s="2"/>
      <c r="N24" s="19">
        <f t="shared" si="1"/>
        <v>0</v>
      </c>
      <c r="O24" s="11"/>
      <c r="P24" s="2">
        <f>--488.71</f>
        <v>488.71</v>
      </c>
      <c r="Q24" s="2"/>
      <c r="R24" s="19"/>
      <c r="S24" s="2"/>
      <c r="T24" s="2"/>
      <c r="U24" s="2"/>
      <c r="V24" s="19"/>
      <c r="W24" s="2"/>
      <c r="X24" s="2">
        <f t="shared" si="2"/>
        <v>488.71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"4041", " - ", "TAXABLE SALES-LOGO GIFTS")</f>
        <v xml:space="preserve">          4041 - TAXABLE SALES-LOGO GIFTS</v>
      </c>
      <c r="C25" s="11"/>
      <c r="D25" s="2">
        <f>--363.67</f>
        <v>363.67</v>
      </c>
      <c r="E25" s="2"/>
      <c r="F25" s="19"/>
      <c r="G25" s="2"/>
      <c r="H25" s="2"/>
      <c r="I25" s="2"/>
      <c r="J25" s="19"/>
      <c r="K25" s="2"/>
      <c r="L25" s="2">
        <f t="shared" si="0"/>
        <v>363.67</v>
      </c>
      <c r="M25" s="2"/>
      <c r="N25" s="19">
        <f t="shared" si="1"/>
        <v>0</v>
      </c>
      <c r="O25" s="11"/>
      <c r="P25" s="2">
        <f>--363.67</f>
        <v>363.67</v>
      </c>
      <c r="Q25" s="2"/>
      <c r="R25" s="19"/>
      <c r="S25" s="2"/>
      <c r="T25" s="2"/>
      <c r="U25" s="2"/>
      <c r="V25" s="19"/>
      <c r="W25" s="2"/>
      <c r="X25" s="2">
        <f t="shared" si="2"/>
        <v>363.67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--394.76</f>
        <v>394.76</v>
      </c>
      <c r="E26" s="2"/>
      <c r="F26" s="19"/>
      <c r="G26" s="2"/>
      <c r="H26" s="2"/>
      <c r="I26" s="2"/>
      <c r="J26" s="19"/>
      <c r="K26" s="2"/>
      <c r="L26" s="2">
        <f t="shared" si="0"/>
        <v>394.76</v>
      </c>
      <c r="M26" s="2"/>
      <c r="N26" s="19">
        <f t="shared" si="1"/>
        <v>0</v>
      </c>
      <c r="O26" s="11"/>
      <c r="P26" s="2">
        <f>--427.71</f>
        <v>427.71</v>
      </c>
      <c r="Q26" s="2"/>
      <c r="R26" s="19"/>
      <c r="S26" s="2"/>
      <c r="T26" s="2"/>
      <c r="U26" s="2"/>
      <c r="V26" s="19"/>
      <c r="W26" s="2"/>
      <c r="X26" s="2">
        <f t="shared" si="2"/>
        <v>427.71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"4044", " - ", "TAXABLE SALES-ACCESSORIES")</f>
        <v xml:space="preserve">          4044 - TAXABLE SALES-ACCESSORIES</v>
      </c>
      <c r="C27" s="11"/>
      <c r="D27" s="2">
        <f>--159.55</f>
        <v>159.55000000000001</v>
      </c>
      <c r="E27" s="2"/>
      <c r="F27" s="19"/>
      <c r="G27" s="2"/>
      <c r="H27" s="2"/>
      <c r="I27" s="2"/>
      <c r="J27" s="19"/>
      <c r="K27" s="2"/>
      <c r="L27" s="2">
        <f t="shared" si="0"/>
        <v>159.55000000000001</v>
      </c>
      <c r="M27" s="2"/>
      <c r="N27" s="19">
        <f t="shared" si="1"/>
        <v>0</v>
      </c>
      <c r="O27" s="11"/>
      <c r="P27" s="2">
        <f>--159.55</f>
        <v>159.55000000000001</v>
      </c>
      <c r="Q27" s="2"/>
      <c r="R27" s="19"/>
      <c r="S27" s="2"/>
      <c r="T27" s="2"/>
      <c r="U27" s="2"/>
      <c r="V27" s="19"/>
      <c r="W27" s="2"/>
      <c r="X27" s="2">
        <f t="shared" si="2"/>
        <v>159.55000000000001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"4081", " - ", "TAXABLE SALES-ELECTRONICS")</f>
        <v xml:space="preserve">          4081 - TAXABLE SALES-ELECTRONICS</v>
      </c>
      <c r="C28" s="11"/>
      <c r="D28" s="2">
        <f>--308.7</f>
        <v>308.7</v>
      </c>
      <c r="E28" s="2"/>
      <c r="F28" s="19"/>
      <c r="G28" s="2"/>
      <c r="H28" s="2"/>
      <c r="I28" s="2"/>
      <c r="J28" s="19"/>
      <c r="K28" s="2"/>
      <c r="L28" s="2">
        <f t="shared" si="0"/>
        <v>308.7</v>
      </c>
      <c r="M28" s="2"/>
      <c r="N28" s="19">
        <f t="shared" si="1"/>
        <v>0</v>
      </c>
      <c r="O28" s="11"/>
      <c r="P28" s="2">
        <f>--3109.98</f>
        <v>3109.98</v>
      </c>
      <c r="Q28" s="2"/>
      <c r="R28" s="19"/>
      <c r="S28" s="2"/>
      <c r="T28" s="2"/>
      <c r="U28" s="2"/>
      <c r="V28" s="19"/>
      <c r="W28" s="2"/>
      <c r="X28" s="2">
        <f t="shared" si="2"/>
        <v>3109.98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"4082", " - ", "TAXABLE SALES-COMPUTER HARDWAR")</f>
        <v xml:space="preserve">          4082 - TAXABLE SALES-COMPUTER HARDWAR</v>
      </c>
      <c r="C29" s="11"/>
      <c r="D29" s="2">
        <f>--76.98</f>
        <v>76.98</v>
      </c>
      <c r="E29" s="2"/>
      <c r="F29" s="19"/>
      <c r="G29" s="2"/>
      <c r="H29" s="2"/>
      <c r="I29" s="2"/>
      <c r="J29" s="19"/>
      <c r="K29" s="2"/>
      <c r="L29" s="2">
        <f t="shared" si="0"/>
        <v>76.98</v>
      </c>
      <c r="M29" s="2"/>
      <c r="N29" s="19">
        <f t="shared" si="1"/>
        <v>0</v>
      </c>
      <c r="O29" s="11"/>
      <c r="P29" s="2">
        <f>--295.98</f>
        <v>295.98</v>
      </c>
      <c r="Q29" s="2"/>
      <c r="R29" s="19"/>
      <c r="S29" s="2"/>
      <c r="T29" s="2"/>
      <c r="U29" s="2"/>
      <c r="V29" s="19"/>
      <c r="W29" s="2"/>
      <c r="X29" s="2">
        <f t="shared" si="2"/>
        <v>295.98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"4083", " - ", "TAXABLE SALES-COMPUTER EQUIPME")</f>
        <v xml:space="preserve">          4083 - TAXABLE SALES-COMPUTER EQUIPME</v>
      </c>
      <c r="C30" s="11"/>
      <c r="D30" s="2">
        <f>--34.97</f>
        <v>34.97</v>
      </c>
      <c r="E30" s="2"/>
      <c r="F30" s="19"/>
      <c r="G30" s="2"/>
      <c r="H30" s="2"/>
      <c r="I30" s="2"/>
      <c r="J30" s="19"/>
      <c r="K30" s="2"/>
      <c r="L30" s="2">
        <f t="shared" si="0"/>
        <v>34.97</v>
      </c>
      <c r="M30" s="2"/>
      <c r="N30" s="19">
        <f t="shared" si="1"/>
        <v>0</v>
      </c>
      <c r="O30" s="11"/>
      <c r="P30" s="2">
        <f>--884.36</f>
        <v>884.36</v>
      </c>
      <c r="Q30" s="2"/>
      <c r="R30" s="19"/>
      <c r="S30" s="2"/>
      <c r="T30" s="2"/>
      <c r="U30" s="2"/>
      <c r="V30" s="19"/>
      <c r="W30" s="2"/>
      <c r="X30" s="2">
        <f t="shared" si="2"/>
        <v>884.36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"4086", " - ", "TAXABLE SALES-COMPUTER SUPPLIE")</f>
        <v xml:space="preserve">          4086 - TAXABLE SALES-COMPUTER SUPPLIE</v>
      </c>
      <c r="C31" s="11"/>
      <c r="D31" s="2">
        <f>--28.98</f>
        <v>28.98</v>
      </c>
      <c r="E31" s="2"/>
      <c r="F31" s="19"/>
      <c r="G31" s="2"/>
      <c r="H31" s="2"/>
      <c r="I31" s="2"/>
      <c r="J31" s="19"/>
      <c r="K31" s="2"/>
      <c r="L31" s="2">
        <f t="shared" si="0"/>
        <v>28.98</v>
      </c>
      <c r="M31" s="2"/>
      <c r="N31" s="19">
        <f t="shared" si="1"/>
        <v>0</v>
      </c>
      <c r="O31" s="11"/>
      <c r="P31" s="2">
        <f>--804.74</f>
        <v>804.74</v>
      </c>
      <c r="Q31" s="2"/>
      <c r="R31" s="19"/>
      <c r="S31" s="2"/>
      <c r="T31" s="2"/>
      <c r="U31" s="2"/>
      <c r="V31" s="19"/>
      <c r="W31" s="2"/>
      <c r="X31" s="2">
        <f t="shared" si="2"/>
        <v>804.74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"4100", " - ", "NON-TAXABLE SALES")</f>
        <v xml:space="preserve">          4100 - NON-TAXABLE SALES</v>
      </c>
      <c r="C32" s="11"/>
      <c r="D32" s="2">
        <f>0</f>
        <v>0</v>
      </c>
      <c r="E32" s="2"/>
      <c r="F32" s="19"/>
      <c r="G32" s="2"/>
      <c r="H32" s="2">
        <v>16415</v>
      </c>
      <c r="I32" s="2"/>
      <c r="J32" s="19"/>
      <c r="K32" s="2"/>
      <c r="L32" s="2">
        <f t="shared" si="0"/>
        <v>-16415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v>92039</v>
      </c>
      <c r="U32" s="2"/>
      <c r="V32" s="19"/>
      <c r="W32" s="2"/>
      <c r="X32" s="2">
        <f t="shared" si="2"/>
        <v>-92039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>--2.49</f>
        <v>2.4900000000000002</v>
      </c>
      <c r="E33" s="2"/>
      <c r="F33" s="19"/>
      <c r="G33" s="2"/>
      <c r="H33" s="2"/>
      <c r="I33" s="2"/>
      <c r="J33" s="19"/>
      <c r="K33" s="2"/>
      <c r="L33" s="2">
        <f t="shared" si="0"/>
        <v>2.4900000000000002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/>
      <c r="U33" s="2"/>
      <c r="V33" s="19"/>
      <c r="W33" s="2"/>
      <c r="X33" s="2">
        <f t="shared" si="2"/>
        <v>2.4900000000000002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>--2.29</f>
        <v>2.29</v>
      </c>
      <c r="E34" s="2"/>
      <c r="F34" s="19"/>
      <c r="G34" s="2"/>
      <c r="H34" s="2"/>
      <c r="I34" s="2"/>
      <c r="J34" s="19"/>
      <c r="K34" s="2"/>
      <c r="L34" s="2">
        <f t="shared" si="0"/>
        <v>2.29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/>
      <c r="U34" s="2"/>
      <c r="V34" s="19"/>
      <c r="W34" s="2"/>
      <c r="X34" s="2">
        <f t="shared" si="2"/>
        <v>16.45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>--65.72</f>
        <v>65.72</v>
      </c>
      <c r="E35" s="2"/>
      <c r="F35" s="19"/>
      <c r="G35" s="2"/>
      <c r="H35" s="2"/>
      <c r="I35" s="2"/>
      <c r="J35" s="19"/>
      <c r="K35" s="2"/>
      <c r="L35" s="2">
        <f t="shared" si="0"/>
        <v>65.72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/>
      <c r="U35" s="2"/>
      <c r="V35" s="19"/>
      <c r="W35" s="2"/>
      <c r="X35" s="2">
        <f t="shared" si="2"/>
        <v>242.09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>--10037.02</f>
        <v>10037.02</v>
      </c>
      <c r="E36" s="2"/>
      <c r="F36" s="19"/>
      <c r="G36" s="2"/>
      <c r="H36" s="2"/>
      <c r="I36" s="2"/>
      <c r="J36" s="19"/>
      <c r="K36" s="2"/>
      <c r="L36" s="2">
        <f t="shared" si="0"/>
        <v>10037.02</v>
      </c>
      <c r="M36" s="2"/>
      <c r="N36" s="19">
        <f t="shared" si="1"/>
        <v>0</v>
      </c>
      <c r="O36" s="11"/>
      <c r="P36" s="2">
        <f>--51962.69</f>
        <v>51962.69</v>
      </c>
      <c r="Q36" s="2"/>
      <c r="R36" s="19"/>
      <c r="S36" s="2"/>
      <c r="T36" s="2"/>
      <c r="U36" s="2"/>
      <c r="V36" s="19"/>
      <c r="W36" s="2"/>
      <c r="X36" s="2">
        <f t="shared" si="2"/>
        <v>51962.69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>--2501.74</f>
        <v>2501.7399999999998</v>
      </c>
      <c r="E37" s="2"/>
      <c r="F37" s="19"/>
      <c r="G37" s="2"/>
      <c r="H37" s="2"/>
      <c r="I37" s="2"/>
      <c r="J37" s="19"/>
      <c r="K37" s="2"/>
      <c r="L37" s="2">
        <f t="shared" si="0"/>
        <v>2501.7399999999998</v>
      </c>
      <c r="M37" s="2"/>
      <c r="N37" s="19">
        <f t="shared" si="1"/>
        <v>0</v>
      </c>
      <c r="O37" s="11"/>
      <c r="P37" s="2">
        <f>--15049.17</f>
        <v>15049.17</v>
      </c>
      <c r="Q37" s="2"/>
      <c r="R37" s="19"/>
      <c r="S37" s="2"/>
      <c r="T37" s="2"/>
      <c r="U37" s="2"/>
      <c r="V37" s="19"/>
      <c r="W37" s="2"/>
      <c r="X37" s="2">
        <f t="shared" si="2"/>
        <v>15049.17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>--2856.88</f>
        <v>2856.88</v>
      </c>
      <c r="E38" s="2"/>
      <c r="F38" s="19"/>
      <c r="G38" s="2"/>
      <c r="H38" s="2"/>
      <c r="I38" s="2"/>
      <c r="J38" s="19"/>
      <c r="K38" s="2"/>
      <c r="L38" s="2">
        <f t="shared" si="0"/>
        <v>2856.88</v>
      </c>
      <c r="M38" s="2"/>
      <c r="N38" s="19">
        <f t="shared" si="1"/>
        <v>0</v>
      </c>
      <c r="O38" s="11"/>
      <c r="P38" s="2">
        <f>--14703.24</f>
        <v>14703.24</v>
      </c>
      <c r="Q38" s="2"/>
      <c r="R38" s="19"/>
      <c r="S38" s="2"/>
      <c r="T38" s="2"/>
      <c r="U38" s="2"/>
      <c r="V38" s="19"/>
      <c r="W38" s="2"/>
      <c r="X38" s="2">
        <f t="shared" si="2"/>
        <v>14703.24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>--1.89</f>
        <v>1.89</v>
      </c>
      <c r="E39" s="2"/>
      <c r="F39" s="19"/>
      <c r="G39" s="2"/>
      <c r="H39" s="2"/>
      <c r="I39" s="2"/>
      <c r="J39" s="19"/>
      <c r="K39" s="2"/>
      <c r="L39" s="2">
        <f t="shared" si="0"/>
        <v>1.89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/>
      <c r="U39" s="2"/>
      <c r="V39" s="19"/>
      <c r="W39" s="2"/>
      <c r="X39" s="2">
        <f t="shared" si="2"/>
        <v>1.89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>--21.54</f>
        <v>21.54</v>
      </c>
      <c r="E40" s="2"/>
      <c r="F40" s="19"/>
      <c r="G40" s="2"/>
      <c r="H40" s="2"/>
      <c r="I40" s="2"/>
      <c r="J40" s="19"/>
      <c r="K40" s="2"/>
      <c r="L40" s="2">
        <f t="shared" si="0"/>
        <v>21.54</v>
      </c>
      <c r="M40" s="2"/>
      <c r="N40" s="19">
        <f t="shared" si="1"/>
        <v>0</v>
      </c>
      <c r="O40" s="11"/>
      <c r="P40" s="2">
        <f>--111.24</f>
        <v>111.24</v>
      </c>
      <c r="Q40" s="2"/>
      <c r="R40" s="19"/>
      <c r="S40" s="2"/>
      <c r="T40" s="2"/>
      <c r="U40" s="2"/>
      <c r="V40" s="19"/>
      <c r="W40" s="2"/>
      <c r="X40" s="2">
        <f t="shared" si="2"/>
        <v>111.24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>--1327.6</f>
        <v>1327.6</v>
      </c>
      <c r="E41" s="2"/>
      <c r="F41" s="19"/>
      <c r="G41" s="2"/>
      <c r="H41" s="2"/>
      <c r="I41" s="2"/>
      <c r="J41" s="19"/>
      <c r="K41" s="2"/>
      <c r="L41" s="2">
        <f t="shared" si="0"/>
        <v>1327.6</v>
      </c>
      <c r="M41" s="2"/>
      <c r="N41" s="19">
        <f t="shared" si="1"/>
        <v>0</v>
      </c>
      <c r="O41" s="11"/>
      <c r="P41" s="2">
        <f>--7773.06</f>
        <v>7773.06</v>
      </c>
      <c r="Q41" s="2"/>
      <c r="R41" s="19"/>
      <c r="S41" s="2"/>
      <c r="T41" s="2"/>
      <c r="U41" s="2"/>
      <c r="V41" s="19"/>
      <c r="W41" s="2"/>
      <c r="X41" s="2">
        <f t="shared" si="2"/>
        <v>7773.06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-30.97</f>
        <v>-30.97</v>
      </c>
      <c r="Q42" s="2"/>
      <c r="R42" s="19"/>
      <c r="S42" s="2"/>
      <c r="T42" s="2"/>
      <c r="U42" s="2"/>
      <c r="V42" s="19"/>
      <c r="W42" s="2"/>
      <c r="X42" s="2">
        <f t="shared" si="2"/>
        <v>-30.97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>-33.74</f>
        <v>-33.74</v>
      </c>
      <c r="E43" s="2"/>
      <c r="F43" s="19"/>
      <c r="G43" s="2"/>
      <c r="H43" s="2"/>
      <c r="I43" s="2"/>
      <c r="J43" s="19"/>
      <c r="K43" s="2"/>
      <c r="L43" s="2">
        <f t="shared" si="0"/>
        <v>-33.74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/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-8.76</f>
        <v>-8.76</v>
      </c>
      <c r="Q44" s="2"/>
      <c r="R44" s="19"/>
      <c r="S44" s="2"/>
      <c r="T44" s="2"/>
      <c r="U44" s="2"/>
      <c r="V44" s="19"/>
      <c r="W44" s="2"/>
      <c r="X44" s="2">
        <f t="shared" si="2"/>
        <v>-8.76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/>
      <c r="U45" s="2"/>
      <c r="V45" s="19"/>
      <c r="W45" s="2"/>
      <c r="X45" s="2">
        <f t="shared" si="2"/>
        <v>-42.06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-665.49</f>
        <v>-665.49</v>
      </c>
      <c r="E46" s="2"/>
      <c r="F46" s="19"/>
      <c r="G46" s="2"/>
      <c r="H46" s="2"/>
      <c r="I46" s="2"/>
      <c r="J46" s="19"/>
      <c r="K46" s="2"/>
      <c r="L46" s="2">
        <f t="shared" si="0"/>
        <v>-665.49</v>
      </c>
      <c r="M46" s="2"/>
      <c r="N46" s="19">
        <f t="shared" si="1"/>
        <v>0</v>
      </c>
      <c r="O46" s="11"/>
      <c r="P46" s="2">
        <f>-4339.94</f>
        <v>-4339.9399999999996</v>
      </c>
      <c r="Q46" s="2"/>
      <c r="R46" s="19"/>
      <c r="S46" s="2"/>
      <c r="T46" s="2"/>
      <c r="U46" s="2"/>
      <c r="V46" s="19"/>
      <c r="W46" s="2"/>
      <c r="X46" s="2">
        <f t="shared" si="2"/>
        <v>-4339.9399999999996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ref="D47:D48" si="5"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-1.29</f>
        <v>-1.29</v>
      </c>
      <c r="Q47" s="2"/>
      <c r="R47" s="19"/>
      <c r="S47" s="2"/>
      <c r="T47" s="2"/>
      <c r="U47" s="2"/>
      <c r="V47" s="19"/>
      <c r="W47" s="2"/>
      <c r="X47" s="2">
        <f t="shared" si="2"/>
        <v>-1.29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 t="shared" si="5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-54.97</f>
        <v>-54.97</v>
      </c>
      <c r="Q48" s="2"/>
      <c r="R48" s="19"/>
      <c r="S48" s="2"/>
      <c r="T48" s="2"/>
      <c r="U48" s="2"/>
      <c r="V48" s="19"/>
      <c r="W48" s="2"/>
      <c r="X48" s="2">
        <f t="shared" si="2"/>
        <v>-54.97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"4331", " - ", "SALES RETURN NON TAXABLE-FOOD")</f>
        <v xml:space="preserve">          4331 - SALES RETURN NON TAXABLE-FOOD</v>
      </c>
      <c r="C49" s="11"/>
      <c r="D49" s="2">
        <f>-7.58</f>
        <v>-7.58</v>
      </c>
      <c r="E49" s="2"/>
      <c r="F49" s="19"/>
      <c r="G49" s="2"/>
      <c r="H49" s="2"/>
      <c r="I49" s="2"/>
      <c r="J49" s="19"/>
      <c r="K49" s="2"/>
      <c r="L49" s="2">
        <f t="shared" si="0"/>
        <v>-7.58</v>
      </c>
      <c r="M49" s="2"/>
      <c r="N49" s="19">
        <f t="shared" si="1"/>
        <v>0</v>
      </c>
      <c r="O49" s="11"/>
      <c r="P49" s="2">
        <f>-7.58</f>
        <v>-7.58</v>
      </c>
      <c r="Q49" s="2"/>
      <c r="R49" s="19"/>
      <c r="S49" s="2"/>
      <c r="T49" s="2"/>
      <c r="U49" s="2"/>
      <c r="V49" s="19"/>
      <c r="W49" s="2"/>
      <c r="X49" s="2">
        <f t="shared" si="2"/>
        <v>-7.58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"4332", " - ", "SALES RETURN NON TAXABLE-JUICE")</f>
        <v xml:space="preserve">          4332 - SALES RETURN NON TAXABLE-JUICE</v>
      </c>
      <c r="C50" s="11"/>
      <c r="D50" s="2">
        <f>-2.79</f>
        <v>-2.79</v>
      </c>
      <c r="E50" s="2"/>
      <c r="F50" s="19"/>
      <c r="G50" s="2"/>
      <c r="H50" s="2"/>
      <c r="I50" s="2"/>
      <c r="J50" s="19"/>
      <c r="K50" s="2"/>
      <c r="L50" s="2">
        <f t="shared" si="0"/>
        <v>-2.79</v>
      </c>
      <c r="M50" s="2"/>
      <c r="N50" s="19">
        <f t="shared" si="1"/>
        <v>0</v>
      </c>
      <c r="O50" s="11"/>
      <c r="P50" s="2">
        <f>-2.79</f>
        <v>-2.79</v>
      </c>
      <c r="Q50" s="2"/>
      <c r="R50" s="19"/>
      <c r="S50" s="2"/>
      <c r="T50" s="2"/>
      <c r="U50" s="2"/>
      <c r="V50" s="19"/>
      <c r="W50" s="2"/>
      <c r="X50" s="2">
        <f t="shared" si="2"/>
        <v>-2.79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8</v>
      </c>
      <c r="C52" s="10"/>
      <c r="D52" s="4">
        <f>SUM(OSRRefD16x_0)</f>
        <v>33243.93</v>
      </c>
      <c r="E52" s="4"/>
      <c r="F52" s="12">
        <f t="shared" ref="F52:F73" si="6">IF(D$12=0,0,D52/D$12)</f>
        <v>0.52509031623000646</v>
      </c>
      <c r="G52" s="4"/>
      <c r="H52" s="4">
        <f>SUM(OSRRefH16x_0)</f>
        <v>26482</v>
      </c>
      <c r="I52" s="4"/>
      <c r="J52" s="12">
        <f t="shared" ref="J52:J73" si="7">IF(H$12=0,0,H52/H$12)</f>
        <v>0.4406689408436642</v>
      </c>
      <c r="K52" s="4"/>
      <c r="L52" s="4">
        <f t="shared" ref="L52:L73" si="8">+D52-H52</f>
        <v>6761.93</v>
      </c>
      <c r="M52" s="4"/>
      <c r="N52" s="12">
        <f t="shared" ref="N52:N73" si="9">IF(H52=0,0,L52/H52)</f>
        <v>0.25534060871535386</v>
      </c>
      <c r="O52" s="10"/>
      <c r="P52" s="4">
        <f>SUM(OSRRefP16x_0)</f>
        <v>202025.24</v>
      </c>
      <c r="Q52" s="4"/>
      <c r="R52" s="12">
        <f t="shared" ref="R52:R73" si="10">IF(P$12=0,0,P52/P$12)</f>
        <v>0.52569149719570818</v>
      </c>
      <c r="S52" s="4"/>
      <c r="T52" s="4">
        <f>SUM(OSRRefT16x_0)</f>
        <v>173143</v>
      </c>
      <c r="U52" s="4"/>
      <c r="V52" s="12">
        <f t="shared" ref="V52:V73" si="11">IF(T$12=0,0,T52/T$12)</f>
        <v>0.43664539883489267</v>
      </c>
      <c r="W52" s="4"/>
      <c r="X52" s="4">
        <f t="shared" ref="X52:X73" si="12">+P52-T52</f>
        <v>28882.239999999991</v>
      </c>
      <c r="Y52" s="4"/>
      <c r="Z52" s="12">
        <f t="shared" ref="Z52:Z73" si="13">IF(T52=0,0,X52/T52)</f>
        <v>0.16681147952848219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6"/>
        <v>0</v>
      </c>
      <c r="G53" s="2"/>
      <c r="H53" s="2">
        <v>26482</v>
      </c>
      <c r="I53" s="2"/>
      <c r="J53" s="19">
        <f t="shared" si="7"/>
        <v>0.4406689408436642</v>
      </c>
      <c r="K53" s="2"/>
      <c r="L53" s="2">
        <f t="shared" si="8"/>
        <v>-26482</v>
      </c>
      <c r="M53" s="2"/>
      <c r="N53" s="19">
        <f t="shared" si="9"/>
        <v>-1</v>
      </c>
      <c r="O53" s="11"/>
      <c r="P53" s="2"/>
      <c r="Q53" s="2"/>
      <c r="R53" s="19">
        <f t="shared" si="10"/>
        <v>0</v>
      </c>
      <c r="S53" s="2"/>
      <c r="T53" s="2">
        <v>173143</v>
      </c>
      <c r="U53" s="2"/>
      <c r="V53" s="19">
        <f t="shared" si="11"/>
        <v>0.43664539883489267</v>
      </c>
      <c r="W53" s="2"/>
      <c r="X53" s="2">
        <f t="shared" si="12"/>
        <v>-173143</v>
      </c>
      <c r="Y53" s="2"/>
      <c r="Z53" s="19">
        <f t="shared" si="13"/>
        <v>-1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14.46</v>
      </c>
      <c r="Q54" s="2"/>
      <c r="R54" s="19">
        <f t="shared" si="10"/>
        <v>3.7626481965569954E-5</v>
      </c>
      <c r="S54" s="2"/>
      <c r="T54" s="2"/>
      <c r="U54" s="2"/>
      <c r="V54" s="19">
        <f t="shared" si="11"/>
        <v>0</v>
      </c>
      <c r="W54" s="2"/>
      <c r="X54" s="2">
        <f t="shared" si="12"/>
        <v>14.46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>
        <v>182.82</v>
      </c>
      <c r="E55" s="2"/>
      <c r="F55" s="19">
        <f t="shared" si="6"/>
        <v>2.8876553287523403E-3</v>
      </c>
      <c r="G55" s="2"/>
      <c r="H55" s="2"/>
      <c r="I55" s="2"/>
      <c r="J55" s="19">
        <f t="shared" si="7"/>
        <v>0</v>
      </c>
      <c r="K55" s="2"/>
      <c r="L55" s="2">
        <f t="shared" si="8"/>
        <v>182.82</v>
      </c>
      <c r="M55" s="2"/>
      <c r="N55" s="19">
        <f t="shared" si="9"/>
        <v>0</v>
      </c>
      <c r="O55" s="11"/>
      <c r="P55" s="2">
        <v>688.18</v>
      </c>
      <c r="Q55" s="2"/>
      <c r="R55" s="19">
        <f t="shared" si="10"/>
        <v>1.7907186970308386E-3</v>
      </c>
      <c r="S55" s="2"/>
      <c r="T55" s="2"/>
      <c r="U55" s="2"/>
      <c r="V55" s="19">
        <f t="shared" si="11"/>
        <v>0</v>
      </c>
      <c r="W55" s="2"/>
      <c r="X55" s="2">
        <f t="shared" si="12"/>
        <v>688.18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427.41</v>
      </c>
      <c r="E56" s="2"/>
      <c r="F56" s="19">
        <f t="shared" si="6"/>
        <v>6.7509723447217911E-3</v>
      </c>
      <c r="G56" s="2"/>
      <c r="H56" s="2"/>
      <c r="I56" s="2"/>
      <c r="J56" s="19">
        <f t="shared" si="7"/>
        <v>0</v>
      </c>
      <c r="K56" s="2"/>
      <c r="L56" s="2">
        <f t="shared" si="8"/>
        <v>427.41</v>
      </c>
      <c r="M56" s="2"/>
      <c r="N56" s="19">
        <f t="shared" si="9"/>
        <v>0</v>
      </c>
      <c r="O56" s="11"/>
      <c r="P56" s="2">
        <v>4258.2</v>
      </c>
      <c r="Q56" s="2"/>
      <c r="R56" s="19">
        <f t="shared" si="10"/>
        <v>1.1080296369695018E-2</v>
      </c>
      <c r="S56" s="2"/>
      <c r="T56" s="2"/>
      <c r="U56" s="2"/>
      <c r="V56" s="19">
        <f t="shared" si="11"/>
        <v>0</v>
      </c>
      <c r="W56" s="2"/>
      <c r="X56" s="2">
        <f t="shared" si="12"/>
        <v>4258.2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795.95</v>
      </c>
      <c r="E57" s="2"/>
      <c r="F57" s="19">
        <f t="shared" si="6"/>
        <v>1.257208871524136E-2</v>
      </c>
      <c r="G57" s="2"/>
      <c r="H57" s="2"/>
      <c r="I57" s="2"/>
      <c r="J57" s="19">
        <f t="shared" si="7"/>
        <v>0</v>
      </c>
      <c r="K57" s="2"/>
      <c r="L57" s="2">
        <f t="shared" si="8"/>
        <v>795.95</v>
      </c>
      <c r="M57" s="2"/>
      <c r="N57" s="19">
        <f t="shared" si="9"/>
        <v>0</v>
      </c>
      <c r="O57" s="11"/>
      <c r="P57" s="2">
        <v>3847.27</v>
      </c>
      <c r="Q57" s="2"/>
      <c r="R57" s="19">
        <f t="shared" si="10"/>
        <v>1.0011012121139577E-2</v>
      </c>
      <c r="S57" s="2"/>
      <c r="T57" s="2"/>
      <c r="U57" s="2"/>
      <c r="V57" s="19">
        <f t="shared" si="11"/>
        <v>0</v>
      </c>
      <c r="W57" s="2"/>
      <c r="X57" s="2">
        <f t="shared" si="12"/>
        <v>3847.27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10711.49</v>
      </c>
      <c r="E58" s="2"/>
      <c r="F58" s="19">
        <f t="shared" si="6"/>
        <v>0.16918877134546223</v>
      </c>
      <c r="G58" s="2"/>
      <c r="H58" s="2"/>
      <c r="I58" s="2"/>
      <c r="J58" s="19">
        <f t="shared" si="7"/>
        <v>0</v>
      </c>
      <c r="K58" s="2"/>
      <c r="L58" s="2">
        <f t="shared" si="8"/>
        <v>10711.49</v>
      </c>
      <c r="M58" s="2"/>
      <c r="N58" s="19">
        <f t="shared" si="9"/>
        <v>0</v>
      </c>
      <c r="O58" s="11"/>
      <c r="P58" s="2">
        <v>140841.54999999999</v>
      </c>
      <c r="Q58" s="2"/>
      <c r="R58" s="19">
        <f t="shared" si="10"/>
        <v>0.36648492676887401</v>
      </c>
      <c r="S58" s="2"/>
      <c r="T58" s="2"/>
      <c r="U58" s="2"/>
      <c r="V58" s="19">
        <f t="shared" si="11"/>
        <v>0</v>
      </c>
      <c r="W58" s="2"/>
      <c r="X58" s="2">
        <f t="shared" si="12"/>
        <v>140841.54999999999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5129.0200000000004</v>
      </c>
      <c r="E59" s="2"/>
      <c r="F59" s="19">
        <f t="shared" si="6"/>
        <v>8.1013247644006831E-2</v>
      </c>
      <c r="G59" s="2"/>
      <c r="H59" s="2"/>
      <c r="I59" s="2"/>
      <c r="J59" s="19">
        <f t="shared" si="7"/>
        <v>0</v>
      </c>
      <c r="K59" s="2"/>
      <c r="L59" s="2">
        <f t="shared" si="8"/>
        <v>5129.0200000000004</v>
      </c>
      <c r="M59" s="2"/>
      <c r="N59" s="19">
        <f t="shared" si="9"/>
        <v>0</v>
      </c>
      <c r="O59" s="11"/>
      <c r="P59" s="2">
        <v>29636.32</v>
      </c>
      <c r="Q59" s="2"/>
      <c r="R59" s="19">
        <f t="shared" si="10"/>
        <v>7.7116905947846467E-2</v>
      </c>
      <c r="S59" s="2"/>
      <c r="T59" s="2"/>
      <c r="U59" s="2"/>
      <c r="V59" s="19">
        <f t="shared" si="11"/>
        <v>0</v>
      </c>
      <c r="W59" s="2"/>
      <c r="X59" s="2">
        <f t="shared" si="12"/>
        <v>29636.32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1720.97</v>
      </c>
      <c r="E60" s="2"/>
      <c r="F60" s="19">
        <f t="shared" si="6"/>
        <v>2.7182847561114293E-2</v>
      </c>
      <c r="G60" s="2"/>
      <c r="H60" s="2"/>
      <c r="I60" s="2"/>
      <c r="J60" s="19">
        <f t="shared" si="7"/>
        <v>0</v>
      </c>
      <c r="K60" s="2"/>
      <c r="L60" s="2">
        <f t="shared" si="8"/>
        <v>1720.97</v>
      </c>
      <c r="M60" s="2"/>
      <c r="N60" s="19">
        <f t="shared" si="9"/>
        <v>0</v>
      </c>
      <c r="O60" s="11"/>
      <c r="P60" s="2">
        <v>7113.48</v>
      </c>
      <c r="Q60" s="2"/>
      <c r="R60" s="19">
        <f t="shared" si="10"/>
        <v>1.8510043356323825E-2</v>
      </c>
      <c r="S60" s="2"/>
      <c r="T60" s="2"/>
      <c r="U60" s="2"/>
      <c r="V60" s="19">
        <f t="shared" si="11"/>
        <v>0</v>
      </c>
      <c r="W60" s="2"/>
      <c r="X60" s="2">
        <f t="shared" si="12"/>
        <v>7113.48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1592.94</v>
      </c>
      <c r="E61" s="2"/>
      <c r="F61" s="19">
        <f t="shared" si="6"/>
        <v>2.5160604306874265E-2</v>
      </c>
      <c r="G61" s="2"/>
      <c r="H61" s="2"/>
      <c r="I61" s="2"/>
      <c r="J61" s="19">
        <f t="shared" si="7"/>
        <v>0</v>
      </c>
      <c r="K61" s="2"/>
      <c r="L61" s="2">
        <f t="shared" si="8"/>
        <v>1592.94</v>
      </c>
      <c r="M61" s="2"/>
      <c r="N61" s="19">
        <f t="shared" si="9"/>
        <v>0</v>
      </c>
      <c r="O61" s="11"/>
      <c r="P61" s="2">
        <v>8185.34</v>
      </c>
      <c r="Q61" s="2"/>
      <c r="R61" s="19">
        <f t="shared" si="10"/>
        <v>2.1299138858371945E-2</v>
      </c>
      <c r="S61" s="2"/>
      <c r="T61" s="2"/>
      <c r="U61" s="2"/>
      <c r="V61" s="19">
        <f t="shared" si="11"/>
        <v>0</v>
      </c>
      <c r="W61" s="2"/>
      <c r="X61" s="2">
        <f t="shared" si="12"/>
        <v>8185.34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>
        <v>1637.93</v>
      </c>
      <c r="E62" s="2"/>
      <c r="F62" s="19">
        <f t="shared" si="6"/>
        <v>2.5871224661543162E-2</v>
      </c>
      <c r="G62" s="2"/>
      <c r="H62" s="2"/>
      <c r="I62" s="2"/>
      <c r="J62" s="19">
        <f t="shared" si="7"/>
        <v>0</v>
      </c>
      <c r="K62" s="2"/>
      <c r="L62" s="2">
        <f t="shared" si="8"/>
        <v>1637.93</v>
      </c>
      <c r="M62" s="2"/>
      <c r="N62" s="19">
        <f t="shared" si="9"/>
        <v>0</v>
      </c>
      <c r="O62" s="11"/>
      <c r="P62" s="2">
        <v>3762.09</v>
      </c>
      <c r="Q62" s="2"/>
      <c r="R62" s="19">
        <f t="shared" si="10"/>
        <v>9.7893645600173624E-3</v>
      </c>
      <c r="S62" s="2"/>
      <c r="T62" s="2"/>
      <c r="U62" s="2"/>
      <c r="V62" s="19">
        <f t="shared" si="11"/>
        <v>0</v>
      </c>
      <c r="W62" s="2"/>
      <c r="X62" s="2">
        <f t="shared" si="12"/>
        <v>3762.09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198.47</v>
      </c>
      <c r="E63" s="2"/>
      <c r="F63" s="19">
        <f t="shared" si="6"/>
        <v>3.1348482282982002E-3</v>
      </c>
      <c r="G63" s="2"/>
      <c r="H63" s="2"/>
      <c r="I63" s="2"/>
      <c r="J63" s="19">
        <f t="shared" si="7"/>
        <v>0</v>
      </c>
      <c r="K63" s="2"/>
      <c r="L63" s="2">
        <f t="shared" si="8"/>
        <v>198.47</v>
      </c>
      <c r="M63" s="2"/>
      <c r="N63" s="19">
        <f t="shared" si="9"/>
        <v>0</v>
      </c>
      <c r="O63" s="11"/>
      <c r="P63" s="2">
        <v>1019.42</v>
      </c>
      <c r="Q63" s="2"/>
      <c r="R63" s="19">
        <f t="shared" si="10"/>
        <v>2.6526409574924837E-3</v>
      </c>
      <c r="S63" s="2"/>
      <c r="T63" s="2"/>
      <c r="U63" s="2"/>
      <c r="V63" s="19">
        <f t="shared" si="11"/>
        <v>0</v>
      </c>
      <c r="W63" s="2"/>
      <c r="X63" s="2">
        <f t="shared" si="12"/>
        <v>1019.42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>
        <v>1540.46</v>
      </c>
      <c r="E64" s="2"/>
      <c r="F64" s="19">
        <f t="shared" si="6"/>
        <v>2.433167885203933E-2</v>
      </c>
      <c r="G64" s="2"/>
      <c r="H64" s="2"/>
      <c r="I64" s="2"/>
      <c r="J64" s="19">
        <f t="shared" si="7"/>
        <v>0</v>
      </c>
      <c r="K64" s="2"/>
      <c r="L64" s="2">
        <f t="shared" si="8"/>
        <v>1540.46</v>
      </c>
      <c r="M64" s="2"/>
      <c r="N64" s="19">
        <f t="shared" si="9"/>
        <v>0</v>
      </c>
      <c r="O64" s="11"/>
      <c r="P64" s="2">
        <v>5269.97</v>
      </c>
      <c r="Q64" s="2"/>
      <c r="R64" s="19">
        <f t="shared" si="10"/>
        <v>1.3713031200836423E-2</v>
      </c>
      <c r="S64" s="2"/>
      <c r="T64" s="2"/>
      <c r="U64" s="2"/>
      <c r="V64" s="19">
        <f t="shared" si="11"/>
        <v>0</v>
      </c>
      <c r="W64" s="2"/>
      <c r="X64" s="2">
        <f t="shared" si="12"/>
        <v>5269.97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/>
      <c r="E65" s="2"/>
      <c r="F65" s="19">
        <f t="shared" si="6"/>
        <v>0</v>
      </c>
      <c r="G65" s="2"/>
      <c r="H65" s="2"/>
      <c r="I65" s="2"/>
      <c r="J65" s="19">
        <f t="shared" si="7"/>
        <v>0</v>
      </c>
      <c r="K65" s="2"/>
      <c r="L65" s="2">
        <f t="shared" si="8"/>
        <v>0</v>
      </c>
      <c r="M65" s="2"/>
      <c r="N65" s="19">
        <f t="shared" si="9"/>
        <v>0</v>
      </c>
      <c r="O65" s="11"/>
      <c r="P65" s="2">
        <v>1891.21</v>
      </c>
      <c r="Q65" s="2"/>
      <c r="R65" s="19">
        <f t="shared" si="10"/>
        <v>4.9211327080294293E-3</v>
      </c>
      <c r="S65" s="2"/>
      <c r="T65" s="2"/>
      <c r="U65" s="2"/>
      <c r="V65" s="19">
        <f t="shared" si="11"/>
        <v>0</v>
      </c>
      <c r="W65" s="2"/>
      <c r="X65" s="2">
        <f t="shared" si="12"/>
        <v>1891.21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6"/>
        <v>0</v>
      </c>
      <c r="G66" s="2"/>
      <c r="H66" s="2"/>
      <c r="I66" s="2"/>
      <c r="J66" s="19">
        <f t="shared" si="7"/>
        <v>0</v>
      </c>
      <c r="K66" s="2"/>
      <c r="L66" s="2">
        <f t="shared" si="8"/>
        <v>0</v>
      </c>
      <c r="M66" s="2"/>
      <c r="N66" s="19">
        <f t="shared" si="9"/>
        <v>0</v>
      </c>
      <c r="O66" s="11"/>
      <c r="P66" s="2">
        <v>349.6</v>
      </c>
      <c r="Q66" s="2"/>
      <c r="R66" s="19">
        <f t="shared" si="10"/>
        <v>9.0969696370423619E-4</v>
      </c>
      <c r="S66" s="2"/>
      <c r="T66" s="2"/>
      <c r="U66" s="2"/>
      <c r="V66" s="19">
        <f t="shared" si="11"/>
        <v>0</v>
      </c>
      <c r="W66" s="2"/>
      <c r="X66" s="2">
        <f t="shared" si="12"/>
        <v>349.6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>
        <v>-67.650000000000006</v>
      </c>
      <c r="E67" s="2"/>
      <c r="F67" s="19">
        <f t="shared" si="6"/>
        <v>-1.0685367191231585E-3</v>
      </c>
      <c r="G67" s="2"/>
      <c r="H67" s="2"/>
      <c r="I67" s="2"/>
      <c r="J67" s="19">
        <f t="shared" si="7"/>
        <v>0</v>
      </c>
      <c r="K67" s="2"/>
      <c r="L67" s="2">
        <f t="shared" si="8"/>
        <v>-67.650000000000006</v>
      </c>
      <c r="M67" s="2"/>
      <c r="N67" s="19">
        <f t="shared" si="9"/>
        <v>0</v>
      </c>
      <c r="O67" s="11"/>
      <c r="P67" s="2">
        <v>304.70999999999998</v>
      </c>
      <c r="Q67" s="2"/>
      <c r="R67" s="19">
        <f t="shared" si="10"/>
        <v>7.9288833469770526E-4</v>
      </c>
      <c r="S67" s="2"/>
      <c r="T67" s="2"/>
      <c r="U67" s="2"/>
      <c r="V67" s="19">
        <f t="shared" si="11"/>
        <v>0</v>
      </c>
      <c r="W67" s="2"/>
      <c r="X67" s="2">
        <f t="shared" si="12"/>
        <v>304.70999999999998</v>
      </c>
      <c r="Y67" s="2"/>
      <c r="Z67" s="19">
        <f t="shared" si="13"/>
        <v>0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>
        <v>9.98</v>
      </c>
      <c r="E68" s="2"/>
      <c r="F68" s="19">
        <f t="shared" si="6"/>
        <v>1.5763483306502766E-4</v>
      </c>
      <c r="G68" s="2"/>
      <c r="H68" s="2"/>
      <c r="I68" s="2"/>
      <c r="J68" s="19">
        <f t="shared" si="7"/>
        <v>0</v>
      </c>
      <c r="K68" s="2"/>
      <c r="L68" s="2">
        <f t="shared" si="8"/>
        <v>9.98</v>
      </c>
      <c r="M68" s="2"/>
      <c r="N68" s="19">
        <f t="shared" si="9"/>
        <v>0</v>
      </c>
      <c r="O68" s="11"/>
      <c r="P68" s="2">
        <v>426.22</v>
      </c>
      <c r="Q68" s="2"/>
      <c r="R68" s="19">
        <f t="shared" si="10"/>
        <v>1.1090704801774015E-3</v>
      </c>
      <c r="S68" s="2"/>
      <c r="T68" s="2"/>
      <c r="U68" s="2"/>
      <c r="V68" s="19">
        <f t="shared" si="11"/>
        <v>0</v>
      </c>
      <c r="W68" s="2"/>
      <c r="X68" s="2">
        <f t="shared" si="12"/>
        <v>426.22</v>
      </c>
      <c r="Y68" s="2"/>
      <c r="Z68" s="19">
        <f t="shared" si="13"/>
        <v>0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-24246</v>
      </c>
      <c r="E69" s="2"/>
      <c r="F69" s="19">
        <f t="shared" si="6"/>
        <v>-0.3829673509513688</v>
      </c>
      <c r="G69" s="2"/>
      <c r="H69" s="2"/>
      <c r="I69" s="2"/>
      <c r="J69" s="19">
        <f t="shared" si="7"/>
        <v>0</v>
      </c>
      <c r="K69" s="2"/>
      <c r="L69" s="2">
        <f t="shared" si="8"/>
        <v>-24246</v>
      </c>
      <c r="M69" s="2"/>
      <c r="N69" s="19">
        <f t="shared" si="9"/>
        <v>0</v>
      </c>
      <c r="O69" s="11"/>
      <c r="P69" s="2">
        <v>-209514</v>
      </c>
      <c r="Q69" s="2"/>
      <c r="R69" s="19">
        <f t="shared" si="10"/>
        <v>-0.54517805964968347</v>
      </c>
      <c r="S69" s="2"/>
      <c r="T69" s="2"/>
      <c r="U69" s="2"/>
      <c r="V69" s="19">
        <f t="shared" si="11"/>
        <v>0</v>
      </c>
      <c r="W69" s="2"/>
      <c r="X69" s="2">
        <f t="shared" si="12"/>
        <v>-209514</v>
      </c>
      <c r="Y69" s="2"/>
      <c r="Z69" s="19">
        <f t="shared" si="13"/>
        <v>0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33242</v>
      </c>
      <c r="E70" s="2"/>
      <c r="F70" s="19">
        <f t="shared" si="6"/>
        <v>0.52505983173824144</v>
      </c>
      <c r="G70" s="2"/>
      <c r="H70" s="2"/>
      <c r="I70" s="2"/>
      <c r="J70" s="19">
        <f t="shared" si="7"/>
        <v>0</v>
      </c>
      <c r="K70" s="2"/>
      <c r="L70" s="2">
        <f t="shared" si="8"/>
        <v>33242</v>
      </c>
      <c r="M70" s="2"/>
      <c r="N70" s="19">
        <f t="shared" si="9"/>
        <v>0</v>
      </c>
      <c r="O70" s="11"/>
      <c r="P70" s="2">
        <v>201947</v>
      </c>
      <c r="Q70" s="2"/>
      <c r="R70" s="19">
        <f t="shared" si="10"/>
        <v>0.52548790826424308</v>
      </c>
      <c r="S70" s="2"/>
      <c r="T70" s="2"/>
      <c r="U70" s="2"/>
      <c r="V70" s="19">
        <f t="shared" si="11"/>
        <v>0</v>
      </c>
      <c r="W70" s="2"/>
      <c r="X70" s="2">
        <f t="shared" si="12"/>
        <v>201947</v>
      </c>
      <c r="Y70" s="2"/>
      <c r="Z70" s="19">
        <f t="shared" si="13"/>
        <v>0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6"/>
        <v>0</v>
      </c>
      <c r="G71" s="2"/>
      <c r="H71" s="2"/>
      <c r="I71" s="2"/>
      <c r="J71" s="19">
        <f t="shared" si="7"/>
        <v>0</v>
      </c>
      <c r="K71" s="2"/>
      <c r="L71" s="2">
        <f t="shared" si="8"/>
        <v>0</v>
      </c>
      <c r="M71" s="2"/>
      <c r="N71" s="19">
        <f t="shared" si="9"/>
        <v>0</v>
      </c>
      <c r="O71" s="11"/>
      <c r="P71" s="2">
        <v>80</v>
      </c>
      <c r="Q71" s="2"/>
      <c r="R71" s="19">
        <f t="shared" si="10"/>
        <v>2.0816864157991672E-4</v>
      </c>
      <c r="S71" s="2"/>
      <c r="T71" s="2"/>
      <c r="U71" s="2"/>
      <c r="V71" s="19">
        <f t="shared" si="11"/>
        <v>0</v>
      </c>
      <c r="W71" s="2"/>
      <c r="X71" s="2">
        <f t="shared" si="12"/>
        <v>80</v>
      </c>
      <c r="Y71" s="2"/>
      <c r="Z71" s="19">
        <f t="shared" si="13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>
        <v>203.35</v>
      </c>
      <c r="E72" s="2"/>
      <c r="F72" s="19">
        <f t="shared" si="6"/>
        <v>3.2119281867508389E-3</v>
      </c>
      <c r="G72" s="2"/>
      <c r="H72" s="2"/>
      <c r="I72" s="2"/>
      <c r="J72" s="19">
        <f t="shared" si="7"/>
        <v>0</v>
      </c>
      <c r="K72" s="2"/>
      <c r="L72" s="2">
        <f t="shared" si="8"/>
        <v>203.35</v>
      </c>
      <c r="M72" s="2"/>
      <c r="N72" s="19">
        <f t="shared" si="9"/>
        <v>0</v>
      </c>
      <c r="O72" s="11"/>
      <c r="P72" s="2">
        <v>464.88</v>
      </c>
      <c r="Q72" s="2"/>
      <c r="R72" s="19">
        <f t="shared" si="10"/>
        <v>1.209667976220896E-3</v>
      </c>
      <c r="S72" s="2"/>
      <c r="T72" s="2"/>
      <c r="U72" s="2"/>
      <c r="V72" s="19">
        <f t="shared" si="11"/>
        <v>0</v>
      </c>
      <c r="W72" s="2"/>
      <c r="X72" s="2">
        <f t="shared" si="12"/>
        <v>464.88</v>
      </c>
      <c r="Y72" s="2"/>
      <c r="Z72" s="19">
        <f t="shared" si="13"/>
        <v>0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164.79</v>
      </c>
      <c r="E73" s="2"/>
      <c r="F73" s="19">
        <f t="shared" si="6"/>
        <v>2.6028701543873655E-3</v>
      </c>
      <c r="G73" s="2"/>
      <c r="H73" s="2"/>
      <c r="I73" s="2"/>
      <c r="J73" s="19">
        <f t="shared" si="7"/>
        <v>0</v>
      </c>
      <c r="K73" s="2"/>
      <c r="L73" s="2">
        <f t="shared" si="8"/>
        <v>164.79</v>
      </c>
      <c r="M73" s="2"/>
      <c r="N73" s="19">
        <f t="shared" si="9"/>
        <v>0</v>
      </c>
      <c r="O73" s="11"/>
      <c r="P73" s="2">
        <v>1439.34</v>
      </c>
      <c r="Q73" s="2"/>
      <c r="R73" s="19">
        <f t="shared" si="10"/>
        <v>3.7453181571454664E-3</v>
      </c>
      <c r="S73" s="2"/>
      <c r="T73" s="2"/>
      <c r="U73" s="2"/>
      <c r="V73" s="19">
        <f t="shared" si="11"/>
        <v>0</v>
      </c>
      <c r="W73" s="2"/>
      <c r="X73" s="2">
        <f t="shared" si="12"/>
        <v>1439.34</v>
      </c>
      <c r="Y73" s="2"/>
      <c r="Z73" s="19">
        <f t="shared" si="13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6</v>
      </c>
      <c r="C75" s="28"/>
      <c r="D75" s="21">
        <f>D12-D52</f>
        <v>30066.950000000012</v>
      </c>
      <c r="E75" s="14"/>
      <c r="F75" s="22">
        <f>IF(D$12=0,0,D75/D$12)</f>
        <v>0.47490968376999348</v>
      </c>
      <c r="G75" s="14"/>
      <c r="H75" s="21">
        <f>H12-H52</f>
        <v>33613</v>
      </c>
      <c r="I75" s="14"/>
      <c r="J75" s="22">
        <f>IF(H$12=0,0,H75/H$12)</f>
        <v>0.55933105915633585</v>
      </c>
      <c r="K75" s="15"/>
      <c r="L75" s="21">
        <f>+D75-H75</f>
        <v>-3546.0499999999884</v>
      </c>
      <c r="M75" s="15"/>
      <c r="N75" s="22">
        <f>IF(H75=0,0,L75/H75)</f>
        <v>-0.10549638532710524</v>
      </c>
      <c r="O75" s="29"/>
      <c r="P75" s="21">
        <f>P12-P52</f>
        <v>182278.56</v>
      </c>
      <c r="Q75" s="14"/>
      <c r="R75" s="22">
        <f>IF(P$12=0,0,P75/P$12)</f>
        <v>0.47430850280429182</v>
      </c>
      <c r="S75" s="14"/>
      <c r="T75" s="21">
        <f>T12-T52</f>
        <v>223387</v>
      </c>
      <c r="U75" s="14"/>
      <c r="V75" s="22">
        <f>IF(T$12=0,0,T75/T$12)</f>
        <v>0.56335460116510727</v>
      </c>
      <c r="W75" s="15"/>
      <c r="X75" s="21">
        <f>+P75-T75</f>
        <v>-41108.44</v>
      </c>
      <c r="Y75" s="15"/>
      <c r="Z75" s="22">
        <f>IF(T75=0,0,X75/T75)</f>
        <v>-0.18402342123758322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9</v>
      </c>
      <c r="C77" s="10"/>
      <c r="D77" s="20">
        <f>SUM(OSRRefD22x_0)</f>
        <v>12719.09</v>
      </c>
      <c r="E77" s="20"/>
      <c r="F77" s="34">
        <f t="shared" ref="F77:F87" si="14">IF(D$12=0,0,D77/D$12)</f>
        <v>0.20089896081052733</v>
      </c>
      <c r="G77" s="20"/>
      <c r="H77" s="20">
        <f>SUM(OSRRefH22x_0)</f>
        <v>13430.893484431999</v>
      </c>
      <c r="I77" s="20"/>
      <c r="J77" s="34">
        <f t="shared" ref="J77:J87" si="15">IF(H$12=0,0,H77/H$12)</f>
        <v>0.22349435867263498</v>
      </c>
      <c r="K77" s="4"/>
      <c r="L77" s="20">
        <f t="shared" ref="L77:L87" si="16">+D77-H77</f>
        <v>-711.8034844319991</v>
      </c>
      <c r="M77" s="4"/>
      <c r="N77" s="34">
        <f t="shared" ref="N77:N87" si="17">IF(H77=0,0,L77/H77)</f>
        <v>-5.2997478183939427E-2</v>
      </c>
      <c r="O77" s="10"/>
      <c r="P77" s="20">
        <f>SUM(OSRRefP22x_0)</f>
        <v>96636.299999999988</v>
      </c>
      <c r="Q77" s="20"/>
      <c r="R77" s="34">
        <f t="shared" ref="R77:R87" si="18">IF(P$12=0,0,P77/P$12)</f>
        <v>0.25145809122886631</v>
      </c>
      <c r="S77" s="20"/>
      <c r="T77" s="20">
        <f>SUM(OSRRefT22x_0)</f>
        <v>95526.065635438004</v>
      </c>
      <c r="U77" s="20"/>
      <c r="V77" s="34">
        <f t="shared" ref="V77:V87" si="19">IF(T$12=0,0,T77/T$12)</f>
        <v>0.24090501509454015</v>
      </c>
      <c r="W77" s="4"/>
      <c r="X77" s="20">
        <f t="shared" ref="X77:X87" si="20">+P77-T77</f>
        <v>1110.234364561984</v>
      </c>
      <c r="Y77" s="4"/>
      <c r="Z77" s="34">
        <f t="shared" ref="Z77:Z87" si="21">IF(T77=0,0,X77/T77)</f>
        <v>1.1622318549149083E-2</v>
      </c>
    </row>
    <row r="78" spans="1:26" s="27" customFormat="1" outlineLevel="1" collapsed="1" x14ac:dyDescent="0.25">
      <c r="A78" s="26"/>
      <c r="B78" s="13" t="str">
        <f>CONCATENATE("     ","*Benefits                                         ")</f>
        <v xml:space="preserve">     *Benefits                                         </v>
      </c>
      <c r="C78" s="13"/>
      <c r="D78" s="1">
        <f>SUM(OSRRefD22_0x_0)</f>
        <v>2114.1</v>
      </c>
      <c r="E78" s="1"/>
      <c r="F78" s="5">
        <f t="shared" si="14"/>
        <v>3.33923647878532E-2</v>
      </c>
      <c r="G78" s="1"/>
      <c r="H78" s="1">
        <f>SUM(OSRRefH22_0x_0)</f>
        <v>2024.6036764319997</v>
      </c>
      <c r="I78" s="1"/>
      <c r="J78" s="5">
        <f t="shared" si="15"/>
        <v>3.3690052024827354E-2</v>
      </c>
      <c r="K78" s="1"/>
      <c r="L78" s="1">
        <f t="shared" si="16"/>
        <v>89.496323568000207</v>
      </c>
      <c r="M78" s="1"/>
      <c r="N78" s="5">
        <f t="shared" si="17"/>
        <v>4.4204366815001249E-2</v>
      </c>
      <c r="O78" s="13"/>
      <c r="P78" s="1">
        <f>SUM(OSRRefP22_0x_0)</f>
        <v>15755.61</v>
      </c>
      <c r="Q78" s="1"/>
      <c r="R78" s="5">
        <f t="shared" si="18"/>
        <v>4.0997799137036897E-2</v>
      </c>
      <c r="S78" s="1"/>
      <c r="T78" s="1">
        <f>SUM(OSRRefT22_0x_0)</f>
        <v>14891.107413438003</v>
      </c>
      <c r="U78" s="1"/>
      <c r="V78" s="5">
        <f t="shared" si="19"/>
        <v>3.7553545541164614E-2</v>
      </c>
      <c r="W78" s="1"/>
      <c r="X78" s="1">
        <f t="shared" si="20"/>
        <v>864.5025865619973</v>
      </c>
      <c r="Y78" s="1"/>
      <c r="Z78" s="5">
        <f t="shared" si="21"/>
        <v>5.8054956059336096E-2</v>
      </c>
    </row>
    <row r="79" spans="1:26" s="24" customFormat="1" hidden="1" outlineLevel="2" x14ac:dyDescent="0.25">
      <c r="A79" s="25"/>
      <c r="B79" s="11" t="str">
        <f>CONCATENATE("          ", "6111", " - ", "F.I.C.A.")</f>
        <v xml:space="preserve">          6111 - F.I.C.A.</v>
      </c>
      <c r="C79" s="11"/>
      <c r="D79" s="6">
        <v>291.67</v>
      </c>
      <c r="E79" s="2"/>
      <c r="F79" s="7">
        <f t="shared" si="14"/>
        <v>4.6069490741559738E-3</v>
      </c>
      <c r="G79" s="2"/>
      <c r="H79" s="6">
        <v>724.45489819199997</v>
      </c>
      <c r="I79" s="2"/>
      <c r="J79" s="7">
        <f t="shared" si="15"/>
        <v>1.2055160965005408E-2</v>
      </c>
      <c r="K79" s="2"/>
      <c r="L79" s="6">
        <f t="shared" si="16"/>
        <v>-432.78489819199996</v>
      </c>
      <c r="M79" s="2"/>
      <c r="N79" s="7">
        <f t="shared" si="17"/>
        <v>-0.59739384642451598</v>
      </c>
      <c r="O79" s="11"/>
      <c r="P79" s="6">
        <v>2311.0500000000002</v>
      </c>
      <c r="Q79" s="2"/>
      <c r="R79" s="7">
        <f t="shared" si="18"/>
        <v>6.0136017390408324E-3</v>
      </c>
      <c r="S79" s="2"/>
      <c r="T79" s="6">
        <v>4822.3322832780004</v>
      </c>
      <c r="U79" s="2"/>
      <c r="V79" s="7">
        <f t="shared" si="19"/>
        <v>1.2161330248097244E-2</v>
      </c>
      <c r="W79" s="2"/>
      <c r="X79" s="6">
        <f t="shared" si="20"/>
        <v>-2511.2822832780002</v>
      </c>
      <c r="Y79" s="2"/>
      <c r="Z79" s="7">
        <f t="shared" si="21"/>
        <v>-0.52076093801876</v>
      </c>
    </row>
    <row r="80" spans="1:26" s="24" customFormat="1" hidden="1" outlineLevel="2" x14ac:dyDescent="0.25">
      <c r="A80" s="25"/>
      <c r="B80" s="11" t="str">
        <f>CONCATENATE("          ", "6112", " - ", "COMPENSATION INSURANCE")</f>
        <v xml:space="preserve">          6112 - COMPENSATION INSURANCE</v>
      </c>
      <c r="C80" s="11"/>
      <c r="D80" s="6">
        <v>193.23</v>
      </c>
      <c r="E80" s="2"/>
      <c r="F80" s="7">
        <f t="shared" si="14"/>
        <v>3.052082043402334E-3</v>
      </c>
      <c r="G80" s="2"/>
      <c r="H80" s="6">
        <v>179.8594416</v>
      </c>
      <c r="I80" s="2"/>
      <c r="J80" s="7">
        <f t="shared" si="15"/>
        <v>2.9929185722605872E-3</v>
      </c>
      <c r="K80" s="2"/>
      <c r="L80" s="6">
        <f t="shared" si="16"/>
        <v>13.370558399999993</v>
      </c>
      <c r="M80" s="2"/>
      <c r="N80" s="7">
        <f t="shared" si="17"/>
        <v>7.4338929783489299E-2</v>
      </c>
      <c r="O80" s="11"/>
      <c r="P80" s="6">
        <v>1104.6400000000001</v>
      </c>
      <c r="Q80" s="2"/>
      <c r="R80" s="7">
        <f t="shared" si="18"/>
        <v>2.8743926029354905E-3</v>
      </c>
      <c r="S80" s="2"/>
      <c r="T80" s="6">
        <v>1229.6384393999999</v>
      </c>
      <c r="U80" s="2"/>
      <c r="V80" s="7">
        <f t="shared" si="19"/>
        <v>3.1009972496406323E-3</v>
      </c>
      <c r="W80" s="2"/>
      <c r="X80" s="6">
        <f t="shared" si="20"/>
        <v>-124.99843939999982</v>
      </c>
      <c r="Y80" s="2"/>
      <c r="Z80" s="7">
        <f t="shared" si="21"/>
        <v>-0.10165462903143513</v>
      </c>
    </row>
    <row r="81" spans="1:26" s="24" customFormat="1" hidden="1" outlineLevel="2" x14ac:dyDescent="0.25">
      <c r="A81" s="25"/>
      <c r="B81" s="11" t="str">
        <f>CONCATENATE("          ", "6113", " - ", "GROUP INSURANCE")</f>
        <v xml:space="preserve">          6113 - GROUP INSURANCE</v>
      </c>
      <c r="C81" s="11"/>
      <c r="D81" s="6">
        <v>1024.02</v>
      </c>
      <c r="E81" s="2"/>
      <c r="F81" s="7">
        <f t="shared" si="14"/>
        <v>1.6174471117760481E-2</v>
      </c>
      <c r="G81" s="2"/>
      <c r="H81" s="6">
        <v>497.25</v>
      </c>
      <c r="I81" s="2"/>
      <c r="J81" s="7">
        <f t="shared" si="15"/>
        <v>8.2743988684582746E-3</v>
      </c>
      <c r="K81" s="2"/>
      <c r="L81" s="6">
        <f t="shared" si="16"/>
        <v>526.77</v>
      </c>
      <c r="M81" s="2"/>
      <c r="N81" s="7">
        <f t="shared" si="17"/>
        <v>1.059366515837104</v>
      </c>
      <c r="O81" s="11"/>
      <c r="P81" s="6">
        <v>7109.52</v>
      </c>
      <c r="Q81" s="2"/>
      <c r="R81" s="7">
        <f t="shared" si="18"/>
        <v>1.8499739008565622E-2</v>
      </c>
      <c r="S81" s="2"/>
      <c r="T81" s="6">
        <v>3978</v>
      </c>
      <c r="U81" s="2"/>
      <c r="V81" s="7">
        <f t="shared" si="19"/>
        <v>1.0032027841525232E-2</v>
      </c>
      <c r="W81" s="2"/>
      <c r="X81" s="6">
        <f t="shared" si="20"/>
        <v>3131.5200000000004</v>
      </c>
      <c r="Y81" s="2"/>
      <c r="Z81" s="7">
        <f t="shared" si="21"/>
        <v>0.78720965309200619</v>
      </c>
    </row>
    <row r="82" spans="1:26" s="24" customFormat="1" hidden="1" outlineLevel="2" x14ac:dyDescent="0.25">
      <c r="A82" s="25"/>
      <c r="B82" s="11" t="str">
        <f>CONCATENATE("          ", "6114", " - ", "STATE UNEMPLOYMENT INSURANCE")</f>
        <v xml:space="preserve">          6114 - STATE UNEMPLOYMENT INSURANCE</v>
      </c>
      <c r="C82" s="11"/>
      <c r="D82" s="6">
        <v>26.44</v>
      </c>
      <c r="E82" s="2"/>
      <c r="F82" s="7">
        <f t="shared" si="14"/>
        <v>4.1762174210814942E-4</v>
      </c>
      <c r="G82" s="2"/>
      <c r="H82" s="6">
        <v>24.61234464</v>
      </c>
      <c r="I82" s="2"/>
      <c r="J82" s="7">
        <f t="shared" si="15"/>
        <v>4.0955727830934352E-4</v>
      </c>
      <c r="K82" s="2"/>
      <c r="L82" s="6">
        <f t="shared" si="16"/>
        <v>1.8276553600000014</v>
      </c>
      <c r="M82" s="2"/>
      <c r="N82" s="7">
        <f t="shared" si="17"/>
        <v>7.4257669747956265E-2</v>
      </c>
      <c r="O82" s="11"/>
      <c r="P82" s="6">
        <v>173.56</v>
      </c>
      <c r="Q82" s="2"/>
      <c r="R82" s="7">
        <f t="shared" si="18"/>
        <v>4.5162186790762937E-4</v>
      </c>
      <c r="S82" s="2"/>
      <c r="T82" s="6">
        <v>168.26631276000001</v>
      </c>
      <c r="U82" s="2"/>
      <c r="V82" s="7">
        <f t="shared" si="19"/>
        <v>4.2434699205608656E-4</v>
      </c>
      <c r="W82" s="2"/>
      <c r="X82" s="6">
        <f t="shared" si="20"/>
        <v>5.293687239999997</v>
      </c>
      <c r="Y82" s="2"/>
      <c r="Z82" s="7">
        <f t="shared" si="21"/>
        <v>3.1460172586954098E-2</v>
      </c>
    </row>
    <row r="83" spans="1:26" s="24" customFormat="1" hidden="1" outlineLevel="2" x14ac:dyDescent="0.25">
      <c r="A83" s="25"/>
      <c r="B83" s="11" t="str">
        <f>CONCATENATE("          ", "6115", " - ", "P.E.R.S.")</f>
        <v xml:space="preserve">          6115 - P.E.R.S.</v>
      </c>
      <c r="C83" s="11"/>
      <c r="D83" s="6">
        <v>155.82</v>
      </c>
      <c r="E83" s="2"/>
      <c r="F83" s="7">
        <f t="shared" si="14"/>
        <v>2.4611883455102814E-3</v>
      </c>
      <c r="G83" s="2"/>
      <c r="H83" s="6">
        <v>255.1104</v>
      </c>
      <c r="I83" s="2"/>
      <c r="J83" s="7">
        <f t="shared" si="15"/>
        <v>4.2451185622763956E-3</v>
      </c>
      <c r="K83" s="2"/>
      <c r="L83" s="6">
        <f t="shared" si="16"/>
        <v>-99.290400000000005</v>
      </c>
      <c r="M83" s="2"/>
      <c r="N83" s="7">
        <f t="shared" si="17"/>
        <v>-0.38920561451042374</v>
      </c>
      <c r="O83" s="11"/>
      <c r="P83" s="6">
        <v>1632.67</v>
      </c>
      <c r="Q83" s="2"/>
      <c r="R83" s="7">
        <f t="shared" si="18"/>
        <v>4.2483837006035332E-3</v>
      </c>
      <c r="S83" s="2"/>
      <c r="T83" s="6">
        <v>2232.2159999999999</v>
      </c>
      <c r="U83" s="2"/>
      <c r="V83" s="7">
        <f t="shared" si="19"/>
        <v>5.6293748266209361E-3</v>
      </c>
      <c r="W83" s="2"/>
      <c r="X83" s="6">
        <f t="shared" si="20"/>
        <v>-599.54599999999982</v>
      </c>
      <c r="Y83" s="2"/>
      <c r="Z83" s="7">
        <f t="shared" si="21"/>
        <v>-0.26858780691474293</v>
      </c>
    </row>
    <row r="84" spans="1:26" s="24" customFormat="1" hidden="1" outlineLevel="2" x14ac:dyDescent="0.25">
      <c r="A84" s="25"/>
      <c r="B84" s="11" t="str">
        <f>CONCATENATE("          ", "6116", " - ", "EDUCATIONAL BENEFITS")</f>
        <v xml:space="preserve">          6116 - EDUCATIONAL BENEFITS</v>
      </c>
      <c r="C84" s="11"/>
      <c r="D84" s="6"/>
      <c r="E84" s="2"/>
      <c r="F84" s="7">
        <f t="shared" si="14"/>
        <v>0</v>
      </c>
      <c r="G84" s="2"/>
      <c r="H84" s="6">
        <v>0</v>
      </c>
      <c r="I84" s="2"/>
      <c r="J84" s="7">
        <f t="shared" si="15"/>
        <v>0</v>
      </c>
      <c r="K84" s="2"/>
      <c r="L84" s="6">
        <f t="shared" si="16"/>
        <v>0</v>
      </c>
      <c r="M84" s="2"/>
      <c r="N84" s="7">
        <f t="shared" si="17"/>
        <v>0</v>
      </c>
      <c r="O84" s="11"/>
      <c r="P84" s="6"/>
      <c r="Q84" s="2"/>
      <c r="R84" s="7">
        <f t="shared" si="18"/>
        <v>0</v>
      </c>
      <c r="S84" s="2"/>
      <c r="T84" s="6">
        <v>0</v>
      </c>
      <c r="U84" s="2"/>
      <c r="V84" s="7">
        <f t="shared" si="19"/>
        <v>0</v>
      </c>
      <c r="W84" s="2"/>
      <c r="X84" s="6">
        <f t="shared" si="20"/>
        <v>0</v>
      </c>
      <c r="Y84" s="2"/>
      <c r="Z84" s="7">
        <f t="shared" si="21"/>
        <v>0</v>
      </c>
    </row>
    <row r="85" spans="1:26" s="24" customFormat="1" hidden="1" outlineLevel="2" x14ac:dyDescent="0.25">
      <c r="A85" s="25"/>
      <c r="B85" s="11" t="str">
        <f>CONCATENATE("          ", "6118", " - ", "VACATION")</f>
        <v xml:space="preserve">          6118 - VACATION</v>
      </c>
      <c r="C85" s="11"/>
      <c r="D85" s="6">
        <v>145.84</v>
      </c>
      <c r="E85" s="2"/>
      <c r="F85" s="7">
        <f t="shared" si="14"/>
        <v>2.303553512445254E-3</v>
      </c>
      <c r="G85" s="2"/>
      <c r="H85" s="6">
        <v>88.992000000000004</v>
      </c>
      <c r="I85" s="2"/>
      <c r="J85" s="7">
        <f t="shared" si="15"/>
        <v>1.4808553124219985E-3</v>
      </c>
      <c r="K85" s="2"/>
      <c r="L85" s="6">
        <f t="shared" si="16"/>
        <v>56.847999999999999</v>
      </c>
      <c r="M85" s="2"/>
      <c r="N85" s="7">
        <f t="shared" si="17"/>
        <v>0.63879899316792521</v>
      </c>
      <c r="O85" s="11"/>
      <c r="P85" s="6">
        <v>1541</v>
      </c>
      <c r="Q85" s="2"/>
      <c r="R85" s="7">
        <f t="shared" si="18"/>
        <v>4.0098484584331464E-3</v>
      </c>
      <c r="S85" s="2"/>
      <c r="T85" s="6">
        <v>778.68</v>
      </c>
      <c r="U85" s="2"/>
      <c r="V85" s="7">
        <f t="shared" si="19"/>
        <v>1.9637354046352102E-3</v>
      </c>
      <c r="W85" s="2"/>
      <c r="X85" s="6">
        <f t="shared" si="20"/>
        <v>762.32</v>
      </c>
      <c r="Y85" s="2"/>
      <c r="Z85" s="7">
        <f t="shared" si="21"/>
        <v>0.97899008578620239</v>
      </c>
    </row>
    <row r="86" spans="1:26" s="24" customFormat="1" hidden="1" outlineLevel="2" x14ac:dyDescent="0.25">
      <c r="A86" s="25"/>
      <c r="B86" s="11" t="str">
        <f>CONCATENATE("          ", "6119", " - ", "SICK LEAVE")</f>
        <v xml:space="preserve">          6119 - SICK LEAVE</v>
      </c>
      <c r="C86" s="11"/>
      <c r="D86" s="6">
        <v>102.89</v>
      </c>
      <c r="E86" s="2"/>
      <c r="F86" s="7">
        <f t="shared" si="14"/>
        <v>1.6251551076213121E-3</v>
      </c>
      <c r="G86" s="2"/>
      <c r="H86" s="6">
        <v>254.324592</v>
      </c>
      <c r="I86" s="2"/>
      <c r="J86" s="7">
        <f t="shared" si="15"/>
        <v>4.232042466095349E-3</v>
      </c>
      <c r="K86" s="2"/>
      <c r="L86" s="6">
        <f t="shared" si="16"/>
        <v>-151.43459200000001</v>
      </c>
      <c r="M86" s="2"/>
      <c r="N86" s="7">
        <f t="shared" si="17"/>
        <v>-0.59543825789367633</v>
      </c>
      <c r="O86" s="11"/>
      <c r="P86" s="6">
        <v>581.91999999999996</v>
      </c>
      <c r="Q86" s="2"/>
      <c r="R86" s="7">
        <f t="shared" si="18"/>
        <v>1.5142186988523142E-3</v>
      </c>
      <c r="S86" s="2"/>
      <c r="T86" s="6">
        <v>1681.9743779999999</v>
      </c>
      <c r="U86" s="2"/>
      <c r="V86" s="7">
        <f t="shared" si="19"/>
        <v>4.2417329785892615E-3</v>
      </c>
      <c r="W86" s="2"/>
      <c r="X86" s="6">
        <f t="shared" si="20"/>
        <v>-1100.0543779999998</v>
      </c>
      <c r="Y86" s="2"/>
      <c r="Z86" s="7">
        <f t="shared" si="21"/>
        <v>-0.65402564533001462</v>
      </c>
    </row>
    <row r="87" spans="1:26" s="24" customFormat="1" hidden="1" outlineLevel="2" x14ac:dyDescent="0.25">
      <c r="A87" s="25"/>
      <c r="B87" s="11" t="str">
        <f>CONCATENATE("          ", "6156", " - ", "EMPLOYEE MEALS")</f>
        <v xml:space="preserve">          6156 - EMPLOYEE MEALS</v>
      </c>
      <c r="C87" s="11"/>
      <c r="D87" s="6">
        <v>174.19</v>
      </c>
      <c r="E87" s="2"/>
      <c r="F87" s="7">
        <f t="shared" si="14"/>
        <v>2.7513438448494155E-3</v>
      </c>
      <c r="G87" s="2"/>
      <c r="H87" s="6"/>
      <c r="I87" s="2"/>
      <c r="J87" s="7">
        <f t="shared" si="15"/>
        <v>0</v>
      </c>
      <c r="K87" s="2"/>
      <c r="L87" s="6">
        <f t="shared" si="16"/>
        <v>174.19</v>
      </c>
      <c r="M87" s="2"/>
      <c r="N87" s="7">
        <f t="shared" si="17"/>
        <v>0</v>
      </c>
      <c r="O87" s="11"/>
      <c r="P87" s="6">
        <v>1301.25</v>
      </c>
      <c r="Q87" s="2"/>
      <c r="R87" s="7">
        <f t="shared" si="18"/>
        <v>3.385993060698333E-3</v>
      </c>
      <c r="S87" s="2"/>
      <c r="T87" s="6"/>
      <c r="U87" s="2"/>
      <c r="V87" s="7">
        <f t="shared" si="19"/>
        <v>0</v>
      </c>
      <c r="W87" s="2"/>
      <c r="X87" s="6">
        <f t="shared" si="20"/>
        <v>1301.25</v>
      </c>
      <c r="Y87" s="2"/>
      <c r="Z87" s="7">
        <f t="shared" si="21"/>
        <v>0</v>
      </c>
    </row>
    <row r="88" spans="1:26" s="27" customFormat="1" outlineLevel="1" collapsed="1" x14ac:dyDescent="0.25">
      <c r="A88" s="26"/>
      <c r="B88" s="13" t="str">
        <f>CONCATENATE("     ","*Payroll                                          ")</f>
        <v xml:space="preserve">     *Payroll                                          </v>
      </c>
      <c r="C88" s="13"/>
      <c r="D88" s="1">
        <f>SUM(OSRRefD22_1x_0)</f>
        <v>9059.9700000000012</v>
      </c>
      <c r="E88" s="1"/>
      <c r="F88" s="5">
        <f t="shared" ref="F88:F98" si="22">IF(D$12=0,0,D88/D$12)</f>
        <v>0.14310289163568726</v>
      </c>
      <c r="G88" s="1"/>
      <c r="H88" s="1">
        <f>SUM(OSRRefH22_1x_0)</f>
        <v>9271.2898079999995</v>
      </c>
      <c r="I88" s="1"/>
      <c r="J88" s="5">
        <f t="shared" ref="J88:J98" si="23">IF(H$12=0,0,H88/H$12)</f>
        <v>0.15427722452783094</v>
      </c>
      <c r="K88" s="1"/>
      <c r="L88" s="1">
        <f t="shared" ref="L88:L98" si="24">+D88-H88</f>
        <v>-211.31980799999837</v>
      </c>
      <c r="M88" s="1"/>
      <c r="N88" s="5">
        <f t="shared" ref="N88:N98" si="25">IF(H88=0,0,L88/H88)</f>
        <v>-2.2792924434058247E-2</v>
      </c>
      <c r="O88" s="13"/>
      <c r="P88" s="1">
        <f>SUM(OSRRefP22_1x_0)</f>
        <v>65639.47</v>
      </c>
      <c r="Q88" s="1"/>
      <c r="R88" s="5">
        <f t="shared" ref="R88:R98" si="26">IF(P$12=0,0,P88/P$12)</f>
        <v>0.17080099129907123</v>
      </c>
      <c r="S88" s="1"/>
      <c r="T88" s="1">
        <f>SUM(OSRRefT22_1x_0)</f>
        <v>63554.958222000001</v>
      </c>
      <c r="U88" s="1"/>
      <c r="V88" s="5">
        <f t="shared" ref="V88:V98" si="27">IF(T$12=0,0,T88/T$12)</f>
        <v>0.16027780551786749</v>
      </c>
      <c r="W88" s="1"/>
      <c r="X88" s="1">
        <f t="shared" ref="X88:X98" si="28">+P88-T88</f>
        <v>2084.511778</v>
      </c>
      <c r="Y88" s="1"/>
      <c r="Z88" s="5">
        <f t="shared" ref="Z88:Z98" si="29">IF(T88=0,0,X88/T88)</f>
        <v>3.2798570502064014E-2</v>
      </c>
    </row>
    <row r="89" spans="1:26" s="24" customFormat="1" hidden="1" outlineLevel="2" x14ac:dyDescent="0.25">
      <c r="A89" s="25"/>
      <c r="B89" s="11" t="str">
        <f>CONCATENATE("          ", "6001", " - ", "ADMINISTRATIVE SALARIES")</f>
        <v xml:space="preserve">          6001 - ADMINISTRATIVE SALARIES</v>
      </c>
      <c r="C89" s="11"/>
      <c r="D89" s="6"/>
      <c r="E89" s="2"/>
      <c r="F89" s="7">
        <f t="shared" si="22"/>
        <v>0</v>
      </c>
      <c r="G89" s="2"/>
      <c r="H89" s="6">
        <v>2966.4</v>
      </c>
      <c r="I89" s="2"/>
      <c r="J89" s="7">
        <f t="shared" si="23"/>
        <v>4.936184374739995E-2</v>
      </c>
      <c r="K89" s="2"/>
      <c r="L89" s="6">
        <f t="shared" si="24"/>
        <v>-2966.4</v>
      </c>
      <c r="M89" s="2"/>
      <c r="N89" s="7">
        <f t="shared" si="25"/>
        <v>-1</v>
      </c>
      <c r="O89" s="11"/>
      <c r="P89" s="6"/>
      <c r="Q89" s="2"/>
      <c r="R89" s="7">
        <f t="shared" si="26"/>
        <v>0</v>
      </c>
      <c r="S89" s="2"/>
      <c r="T89" s="6">
        <v>25956</v>
      </c>
      <c r="U89" s="2"/>
      <c r="V89" s="7">
        <f t="shared" si="27"/>
        <v>6.5457846821173685E-2</v>
      </c>
      <c r="W89" s="2"/>
      <c r="X89" s="6">
        <f t="shared" si="28"/>
        <v>-25956</v>
      </c>
      <c r="Y89" s="2"/>
      <c r="Z89" s="7">
        <f t="shared" si="29"/>
        <v>-1</v>
      </c>
    </row>
    <row r="90" spans="1:26" s="24" customFormat="1" hidden="1" outlineLevel="2" x14ac:dyDescent="0.25">
      <c r="A90" s="25"/>
      <c r="B90" s="11" t="str">
        <f>CONCATENATE("          ", "6002", " - ", "STAFF SALARIES")</f>
        <v xml:space="preserve">          6002 - STAFF SALARIES</v>
      </c>
      <c r="C90" s="11"/>
      <c r="D90" s="6">
        <v>1673.78</v>
      </c>
      <c r="E90" s="2"/>
      <c r="F90" s="7">
        <f t="shared" si="22"/>
        <v>2.6437478044847893E-2</v>
      </c>
      <c r="G90" s="2"/>
      <c r="H90" s="6">
        <v>0</v>
      </c>
      <c r="I90" s="2"/>
      <c r="J90" s="7">
        <f t="shared" si="23"/>
        <v>0</v>
      </c>
      <c r="K90" s="2"/>
      <c r="L90" s="6">
        <f t="shared" si="24"/>
        <v>1673.78</v>
      </c>
      <c r="M90" s="2"/>
      <c r="N90" s="7">
        <f t="shared" si="25"/>
        <v>0</v>
      </c>
      <c r="O90" s="11"/>
      <c r="P90" s="6">
        <v>20632.5</v>
      </c>
      <c r="Q90" s="2"/>
      <c r="R90" s="7">
        <f t="shared" si="26"/>
        <v>5.3687993717470399E-2</v>
      </c>
      <c r="S90" s="2"/>
      <c r="T90" s="6">
        <v>0</v>
      </c>
      <c r="U90" s="2"/>
      <c r="V90" s="7">
        <f t="shared" si="27"/>
        <v>0</v>
      </c>
      <c r="W90" s="2"/>
      <c r="X90" s="6">
        <f t="shared" si="28"/>
        <v>20632.5</v>
      </c>
      <c r="Y90" s="2"/>
      <c r="Z90" s="7">
        <f t="shared" si="29"/>
        <v>0</v>
      </c>
    </row>
    <row r="91" spans="1:26" s="24" customFormat="1" hidden="1" outlineLevel="2" x14ac:dyDescent="0.25">
      <c r="A91" s="25"/>
      <c r="B91" s="11" t="str">
        <f>CONCATENATE("          ", "6003", " - ", "STAFF HOURLY-9 MONTH")</f>
        <v xml:space="preserve">          6003 - STAFF HOURLY-9 MONTH</v>
      </c>
      <c r="C91" s="11"/>
      <c r="D91" s="6"/>
      <c r="E91" s="2"/>
      <c r="F91" s="7">
        <f t="shared" si="22"/>
        <v>0</v>
      </c>
      <c r="G91" s="2"/>
      <c r="H91" s="6">
        <v>0</v>
      </c>
      <c r="I91" s="2"/>
      <c r="J91" s="7">
        <f t="shared" si="23"/>
        <v>0</v>
      </c>
      <c r="K91" s="2"/>
      <c r="L91" s="6">
        <f t="shared" si="24"/>
        <v>0</v>
      </c>
      <c r="M91" s="2"/>
      <c r="N91" s="7">
        <f t="shared" si="25"/>
        <v>0</v>
      </c>
      <c r="O91" s="11"/>
      <c r="P91" s="6"/>
      <c r="Q91" s="2"/>
      <c r="R91" s="7">
        <f t="shared" si="26"/>
        <v>0</v>
      </c>
      <c r="S91" s="2"/>
      <c r="T91" s="6">
        <v>0</v>
      </c>
      <c r="U91" s="2"/>
      <c r="V91" s="7">
        <f t="shared" si="27"/>
        <v>0</v>
      </c>
      <c r="W91" s="2"/>
      <c r="X91" s="6">
        <f t="shared" si="28"/>
        <v>0</v>
      </c>
      <c r="Y91" s="2"/>
      <c r="Z91" s="7">
        <f t="shared" si="29"/>
        <v>0</v>
      </c>
    </row>
    <row r="92" spans="1:26" s="24" customFormat="1" hidden="1" outlineLevel="2" x14ac:dyDescent="0.25">
      <c r="A92" s="25"/>
      <c r="B92" s="11" t="str">
        <f>CONCATENATE("          ", "6004", " - ", "STAFF HOURLY")</f>
        <v xml:space="preserve">          6004 - STAFF HOURLY</v>
      </c>
      <c r="C92" s="11"/>
      <c r="D92" s="6"/>
      <c r="E92" s="2"/>
      <c r="F92" s="7">
        <f t="shared" si="22"/>
        <v>0</v>
      </c>
      <c r="G92" s="2"/>
      <c r="H92" s="6">
        <v>0</v>
      </c>
      <c r="I92" s="2"/>
      <c r="J92" s="7">
        <f t="shared" si="23"/>
        <v>0</v>
      </c>
      <c r="K92" s="2"/>
      <c r="L92" s="6">
        <f t="shared" si="24"/>
        <v>0</v>
      </c>
      <c r="M92" s="2"/>
      <c r="N92" s="7">
        <f t="shared" si="25"/>
        <v>0</v>
      </c>
      <c r="O92" s="11"/>
      <c r="P92" s="6"/>
      <c r="Q92" s="2"/>
      <c r="R92" s="7">
        <f t="shared" si="26"/>
        <v>0</v>
      </c>
      <c r="S92" s="2"/>
      <c r="T92" s="6">
        <v>0</v>
      </c>
      <c r="U92" s="2"/>
      <c r="V92" s="7">
        <f t="shared" si="27"/>
        <v>0</v>
      </c>
      <c r="W92" s="2"/>
      <c r="X92" s="6">
        <f t="shared" si="28"/>
        <v>0</v>
      </c>
      <c r="Y92" s="2"/>
      <c r="Z92" s="7">
        <f t="shared" si="29"/>
        <v>0</v>
      </c>
    </row>
    <row r="93" spans="1:26" s="24" customFormat="1" hidden="1" outlineLevel="2" x14ac:dyDescent="0.25">
      <c r="A93" s="25"/>
      <c r="B93" s="11" t="str">
        <f>CONCATENATE("          ", "6005", " - ", "TEMPORARY WAGES-HOURLY")</f>
        <v xml:space="preserve">          6005 - TEMPORARY WAGES-HOURLY</v>
      </c>
      <c r="C93" s="11"/>
      <c r="D93" s="6">
        <v>1591.67</v>
      </c>
      <c r="E93" s="2"/>
      <c r="F93" s="7">
        <f t="shared" si="22"/>
        <v>2.5140544563588434E-2</v>
      </c>
      <c r="G93" s="2"/>
      <c r="H93" s="6">
        <v>0</v>
      </c>
      <c r="I93" s="2"/>
      <c r="J93" s="7">
        <f t="shared" si="23"/>
        <v>0</v>
      </c>
      <c r="K93" s="2"/>
      <c r="L93" s="6">
        <f t="shared" si="24"/>
        <v>1591.67</v>
      </c>
      <c r="M93" s="2"/>
      <c r="N93" s="7">
        <f t="shared" si="25"/>
        <v>0</v>
      </c>
      <c r="O93" s="11"/>
      <c r="P93" s="6">
        <v>5305.51</v>
      </c>
      <c r="Q93" s="2"/>
      <c r="R93" s="7">
        <f t="shared" si="26"/>
        <v>1.38055101198583E-2</v>
      </c>
      <c r="S93" s="2"/>
      <c r="T93" s="6">
        <v>0</v>
      </c>
      <c r="U93" s="2"/>
      <c r="V93" s="7">
        <f t="shared" si="27"/>
        <v>0</v>
      </c>
      <c r="W93" s="2"/>
      <c r="X93" s="6">
        <f t="shared" si="28"/>
        <v>5305.51</v>
      </c>
      <c r="Y93" s="2"/>
      <c r="Z93" s="7">
        <f t="shared" si="29"/>
        <v>0</v>
      </c>
    </row>
    <row r="94" spans="1:26" s="24" customFormat="1" hidden="1" outlineLevel="2" x14ac:dyDescent="0.25">
      <c r="A94" s="25"/>
      <c r="B94" s="11" t="str">
        <f>CONCATENATE("          ", "6006", " - ", "TEMPORARY PART TIME")</f>
        <v xml:space="preserve">          6006 - TEMPORARY PART TIME</v>
      </c>
      <c r="C94" s="11"/>
      <c r="D94" s="6"/>
      <c r="E94" s="2"/>
      <c r="F94" s="7">
        <f t="shared" si="22"/>
        <v>0</v>
      </c>
      <c r="G94" s="2"/>
      <c r="H94" s="6">
        <v>0</v>
      </c>
      <c r="I94" s="2"/>
      <c r="J94" s="7">
        <f t="shared" si="23"/>
        <v>0</v>
      </c>
      <c r="K94" s="2"/>
      <c r="L94" s="6">
        <f t="shared" si="24"/>
        <v>0</v>
      </c>
      <c r="M94" s="2"/>
      <c r="N94" s="7">
        <f t="shared" si="25"/>
        <v>0</v>
      </c>
      <c r="O94" s="11"/>
      <c r="P94" s="6">
        <v>25.5</v>
      </c>
      <c r="Q94" s="2"/>
      <c r="R94" s="7">
        <f t="shared" si="26"/>
        <v>6.6353754503598454E-5</v>
      </c>
      <c r="S94" s="2"/>
      <c r="T94" s="6">
        <v>0</v>
      </c>
      <c r="U94" s="2"/>
      <c r="V94" s="7">
        <f t="shared" si="27"/>
        <v>0</v>
      </c>
      <c r="W94" s="2"/>
      <c r="X94" s="6">
        <f t="shared" si="28"/>
        <v>25.5</v>
      </c>
      <c r="Y94" s="2"/>
      <c r="Z94" s="7">
        <f t="shared" si="29"/>
        <v>0</v>
      </c>
    </row>
    <row r="95" spans="1:26" s="24" customFormat="1" hidden="1" outlineLevel="2" x14ac:dyDescent="0.25">
      <c r="A95" s="25"/>
      <c r="B95" s="11" t="str">
        <f>CONCATENATE("          ", "6007", " - ", "STUDENT HOURLY")</f>
        <v xml:space="preserve">          6007 - STUDENT HOURLY</v>
      </c>
      <c r="C95" s="11"/>
      <c r="D95" s="6">
        <v>5794.52</v>
      </c>
      <c r="E95" s="2"/>
      <c r="F95" s="7">
        <f t="shared" si="22"/>
        <v>9.1524869027250919E-2</v>
      </c>
      <c r="G95" s="2"/>
      <c r="H95" s="6">
        <v>6304.8898079999999</v>
      </c>
      <c r="I95" s="2"/>
      <c r="J95" s="7">
        <f t="shared" si="23"/>
        <v>0.10491538078043099</v>
      </c>
      <c r="K95" s="2"/>
      <c r="L95" s="6">
        <f t="shared" si="24"/>
        <v>-510.36980799999947</v>
      </c>
      <c r="M95" s="2"/>
      <c r="N95" s="7">
        <f t="shared" si="25"/>
        <v>-8.0948251839772598E-2</v>
      </c>
      <c r="O95" s="11"/>
      <c r="P95" s="6">
        <v>39675.96</v>
      </c>
      <c r="Q95" s="2"/>
      <c r="R95" s="7">
        <f t="shared" si="26"/>
        <v>0.10324113370723891</v>
      </c>
      <c r="S95" s="2"/>
      <c r="T95" s="6">
        <v>35944.623222000002</v>
      </c>
      <c r="U95" s="2"/>
      <c r="V95" s="7">
        <f t="shared" si="27"/>
        <v>9.0647928837666758E-2</v>
      </c>
      <c r="W95" s="2"/>
      <c r="X95" s="6">
        <f t="shared" si="28"/>
        <v>3731.3367779999971</v>
      </c>
      <c r="Y95" s="2"/>
      <c r="Z95" s="7">
        <f t="shared" si="29"/>
        <v>0.10380792573494615</v>
      </c>
    </row>
    <row r="96" spans="1:26" s="24" customFormat="1" hidden="1" outlineLevel="2" x14ac:dyDescent="0.25">
      <c r="A96" s="25"/>
      <c r="B96" s="11" t="str">
        <f>CONCATENATE("          ", "6008", " - ", "STUDENT HOURLY-FICA EXEMPT")</f>
        <v xml:space="preserve">          6008 - STUDENT HOURLY-FICA EXEMPT</v>
      </c>
      <c r="C96" s="11"/>
      <c r="D96" s="6"/>
      <c r="E96" s="2"/>
      <c r="F96" s="7">
        <f t="shared" si="22"/>
        <v>0</v>
      </c>
      <c r="G96" s="2"/>
      <c r="H96" s="6">
        <v>0</v>
      </c>
      <c r="I96" s="2"/>
      <c r="J96" s="7">
        <f t="shared" si="23"/>
        <v>0</v>
      </c>
      <c r="K96" s="2"/>
      <c r="L96" s="6">
        <f t="shared" si="24"/>
        <v>0</v>
      </c>
      <c r="M96" s="2"/>
      <c r="N96" s="7">
        <f t="shared" si="25"/>
        <v>0</v>
      </c>
      <c r="O96" s="11"/>
      <c r="P96" s="6"/>
      <c r="Q96" s="2"/>
      <c r="R96" s="7">
        <f t="shared" si="26"/>
        <v>0</v>
      </c>
      <c r="S96" s="2"/>
      <c r="T96" s="6">
        <v>1654.335</v>
      </c>
      <c r="U96" s="2"/>
      <c r="V96" s="7">
        <f t="shared" si="27"/>
        <v>4.1720298590270603E-3</v>
      </c>
      <c r="W96" s="2"/>
      <c r="X96" s="6">
        <f t="shared" si="28"/>
        <v>-1654.335</v>
      </c>
      <c r="Y96" s="2"/>
      <c r="Z96" s="7">
        <f t="shared" si="29"/>
        <v>-1</v>
      </c>
    </row>
    <row r="97" spans="1:26" s="24" customFormat="1" hidden="1" outlineLevel="2" x14ac:dyDescent="0.25">
      <c r="A97" s="25"/>
      <c r="B97" s="11" t="str">
        <f>CONCATENATE("          ", "6009", " - ", "TEMPORARY-SEASONAL")</f>
        <v xml:space="preserve">          6009 - TEMPORARY-SEASONAL</v>
      </c>
      <c r="C97" s="11"/>
      <c r="D97" s="6"/>
      <c r="E97" s="2"/>
      <c r="F97" s="7">
        <f t="shared" si="22"/>
        <v>0</v>
      </c>
      <c r="G97" s="2"/>
      <c r="H97" s="6">
        <v>0</v>
      </c>
      <c r="I97" s="2"/>
      <c r="J97" s="7">
        <f t="shared" si="23"/>
        <v>0</v>
      </c>
      <c r="K97" s="2"/>
      <c r="L97" s="6">
        <f t="shared" si="24"/>
        <v>0</v>
      </c>
      <c r="M97" s="2"/>
      <c r="N97" s="7">
        <f t="shared" si="25"/>
        <v>0</v>
      </c>
      <c r="O97" s="11"/>
      <c r="P97" s="6"/>
      <c r="Q97" s="2"/>
      <c r="R97" s="7">
        <f t="shared" si="26"/>
        <v>0</v>
      </c>
      <c r="S97" s="2"/>
      <c r="T97" s="6">
        <v>0</v>
      </c>
      <c r="U97" s="2"/>
      <c r="V97" s="7">
        <f t="shared" si="27"/>
        <v>0</v>
      </c>
      <c r="W97" s="2"/>
      <c r="X97" s="6">
        <f t="shared" si="28"/>
        <v>0</v>
      </c>
      <c r="Y97" s="2"/>
      <c r="Z97" s="7">
        <f t="shared" si="29"/>
        <v>0</v>
      </c>
    </row>
    <row r="98" spans="1:26" s="24" customFormat="1" hidden="1" outlineLevel="2" x14ac:dyDescent="0.25">
      <c r="A98" s="25"/>
      <c r="B98" s="11" t="str">
        <f>CONCATENATE("          ", "6010", " - ", "GRATUITY")</f>
        <v xml:space="preserve">          6010 - GRATUITY</v>
      </c>
      <c r="C98" s="11"/>
      <c r="D98" s="6"/>
      <c r="E98" s="2"/>
      <c r="F98" s="7">
        <f t="shared" si="22"/>
        <v>0</v>
      </c>
      <c r="G98" s="2"/>
      <c r="H98" s="6">
        <v>0</v>
      </c>
      <c r="I98" s="2"/>
      <c r="J98" s="7">
        <f t="shared" si="23"/>
        <v>0</v>
      </c>
      <c r="K98" s="2"/>
      <c r="L98" s="6">
        <f t="shared" si="24"/>
        <v>0</v>
      </c>
      <c r="M98" s="2"/>
      <c r="N98" s="7">
        <f t="shared" si="25"/>
        <v>0</v>
      </c>
      <c r="O98" s="11"/>
      <c r="P98" s="6"/>
      <c r="Q98" s="2"/>
      <c r="R98" s="7">
        <f t="shared" si="26"/>
        <v>0</v>
      </c>
      <c r="S98" s="2"/>
      <c r="T98" s="6">
        <v>0</v>
      </c>
      <c r="U98" s="2"/>
      <c r="V98" s="7">
        <f t="shared" si="27"/>
        <v>0</v>
      </c>
      <c r="W98" s="2"/>
      <c r="X98" s="6">
        <f t="shared" si="28"/>
        <v>0</v>
      </c>
      <c r="Y98" s="2"/>
      <c r="Z98" s="7">
        <f t="shared" si="29"/>
        <v>0</v>
      </c>
    </row>
    <row r="99" spans="1:26" s="27" customFormat="1" outlineLevel="1" collapsed="1" x14ac:dyDescent="0.25">
      <c r="A99" s="26"/>
      <c r="B99" s="13" t="str">
        <f>CONCATENATE("     ","Advertising/Promo                                 ")</f>
        <v xml:space="preserve">     Advertising/Promo                                 </v>
      </c>
      <c r="C99" s="13"/>
      <c r="D99" s="1">
        <f>SUM(OSRRefD22_2x_0)</f>
        <v>0</v>
      </c>
      <c r="E99" s="1"/>
      <c r="F99" s="5">
        <f t="shared" ref="F99:F105" si="30">IF(D$12=0,0,D99/D$12)</f>
        <v>0</v>
      </c>
      <c r="G99" s="1"/>
      <c r="H99" s="1">
        <f>SUM(OSRRefH22_2x_0)</f>
        <v>40</v>
      </c>
      <c r="I99" s="1"/>
      <c r="J99" s="5">
        <f t="shared" ref="J99:J105" si="31">IF(H$12=0,0,H99/H$12)</f>
        <v>6.6561277976537152E-4</v>
      </c>
      <c r="K99" s="1"/>
      <c r="L99" s="1">
        <f t="shared" ref="L99:L105" si="32">+D99-H99</f>
        <v>-40</v>
      </c>
      <c r="M99" s="1"/>
      <c r="N99" s="5">
        <f t="shared" ref="N99:N105" si="33">IF(H99=0,0,L99/H99)</f>
        <v>-1</v>
      </c>
      <c r="O99" s="13"/>
      <c r="P99" s="1">
        <f>SUM(OSRRefP22_2x_0)</f>
        <v>963.62</v>
      </c>
      <c r="Q99" s="1"/>
      <c r="R99" s="5">
        <f t="shared" ref="R99:R105" si="34">IF(P$12=0,0,P99/P$12)</f>
        <v>2.5074433299904918E-3</v>
      </c>
      <c r="S99" s="1"/>
      <c r="T99" s="1">
        <f>SUM(OSRRefT22_2x_0)</f>
        <v>320</v>
      </c>
      <c r="U99" s="1"/>
      <c r="V99" s="5">
        <f t="shared" ref="V99:V105" si="35">IF(T$12=0,0,T99/T$12)</f>
        <v>8.0700073134441276E-4</v>
      </c>
      <c r="W99" s="1"/>
      <c r="X99" s="1">
        <f t="shared" ref="X99:X105" si="36">+P99-T99</f>
        <v>643.62</v>
      </c>
      <c r="Y99" s="1"/>
      <c r="Z99" s="5">
        <f t="shared" ref="Z99:Z105" si="37">IF(T99=0,0,X99/T99)</f>
        <v>2.0113124999999998</v>
      </c>
    </row>
    <row r="100" spans="1:26" s="24" customFormat="1" hidden="1" outlineLevel="2" x14ac:dyDescent="0.25">
      <c r="A100" s="25"/>
      <c r="B100" s="11" t="str">
        <f>CONCATENATE("          ", "6362", " - ", "ADVERTISING EXPENSE")</f>
        <v xml:space="preserve">          6362 - ADVERTISING EXPENSE</v>
      </c>
      <c r="C100" s="11"/>
      <c r="D100" s="6"/>
      <c r="E100" s="2"/>
      <c r="F100" s="7">
        <f t="shared" si="30"/>
        <v>0</v>
      </c>
      <c r="G100" s="2"/>
      <c r="H100" s="6">
        <v>40</v>
      </c>
      <c r="I100" s="2"/>
      <c r="J100" s="7">
        <f t="shared" si="31"/>
        <v>6.6561277976537152E-4</v>
      </c>
      <c r="K100" s="2"/>
      <c r="L100" s="6">
        <f t="shared" si="32"/>
        <v>-40</v>
      </c>
      <c r="M100" s="2"/>
      <c r="N100" s="7">
        <f t="shared" si="33"/>
        <v>-1</v>
      </c>
      <c r="O100" s="11"/>
      <c r="P100" s="6">
        <v>963.62</v>
      </c>
      <c r="Q100" s="2"/>
      <c r="R100" s="7">
        <f t="shared" si="34"/>
        <v>2.5074433299904918E-3</v>
      </c>
      <c r="S100" s="2"/>
      <c r="T100" s="6">
        <v>320</v>
      </c>
      <c r="U100" s="2"/>
      <c r="V100" s="7">
        <f t="shared" si="35"/>
        <v>8.0700073134441276E-4</v>
      </c>
      <c r="W100" s="2"/>
      <c r="X100" s="6">
        <f t="shared" si="36"/>
        <v>643.62</v>
      </c>
      <c r="Y100" s="2"/>
      <c r="Z100" s="7">
        <f t="shared" si="37"/>
        <v>2.0113124999999998</v>
      </c>
    </row>
    <row r="101" spans="1:26" s="27" customFormat="1" outlineLevel="1" collapsed="1" x14ac:dyDescent="0.25">
      <c r="A101" s="26"/>
      <c r="B101" s="13" t="str">
        <f>CONCATENATE("     ","Bad Debts/Over/Short                              ")</f>
        <v xml:space="preserve">     Bad Debts/Over/Short                              </v>
      </c>
      <c r="C101" s="13"/>
      <c r="D101" s="1">
        <f>SUM(OSRRefD22_3x_0)</f>
        <v>13.01</v>
      </c>
      <c r="E101" s="1"/>
      <c r="F101" s="5">
        <f t="shared" si="30"/>
        <v>2.0549390562885869E-4</v>
      </c>
      <c r="G101" s="1"/>
      <c r="H101" s="1">
        <f>SUM(OSRRefH22_3x_0)</f>
        <v>0</v>
      </c>
      <c r="I101" s="1"/>
      <c r="J101" s="5">
        <f t="shared" si="31"/>
        <v>0</v>
      </c>
      <c r="K101" s="1"/>
      <c r="L101" s="1">
        <f t="shared" si="32"/>
        <v>13.01</v>
      </c>
      <c r="M101" s="1"/>
      <c r="N101" s="5">
        <f t="shared" si="33"/>
        <v>0</v>
      </c>
      <c r="O101" s="13"/>
      <c r="P101" s="1">
        <f>SUM(OSRRefP22_3x_0)</f>
        <v>-55.49</v>
      </c>
      <c r="Q101" s="1"/>
      <c r="R101" s="5">
        <f t="shared" si="34"/>
        <v>-1.4439097401586974E-4</v>
      </c>
      <c r="S101" s="1"/>
      <c r="T101" s="1">
        <f>SUM(OSRRefT22_3x_0)</f>
        <v>0</v>
      </c>
      <c r="U101" s="1"/>
      <c r="V101" s="5">
        <f t="shared" si="35"/>
        <v>0</v>
      </c>
      <c r="W101" s="1"/>
      <c r="X101" s="1">
        <f t="shared" si="36"/>
        <v>-55.49</v>
      </c>
      <c r="Y101" s="1"/>
      <c r="Z101" s="5">
        <f t="shared" si="37"/>
        <v>0</v>
      </c>
    </row>
    <row r="102" spans="1:26" s="24" customFormat="1" hidden="1" outlineLevel="2" x14ac:dyDescent="0.25">
      <c r="A102" s="25"/>
      <c r="B102" s="11" t="str">
        <f>CONCATENATE("          ", "6272", " - ", "CASH (OVER/SHORT)")</f>
        <v xml:space="preserve">          6272 - CASH (OVER/SHORT)</v>
      </c>
      <c r="C102" s="11"/>
      <c r="D102" s="6">
        <v>13.01</v>
      </c>
      <c r="E102" s="2"/>
      <c r="F102" s="7">
        <f t="shared" si="30"/>
        <v>2.0549390562885869E-4</v>
      </c>
      <c r="G102" s="2"/>
      <c r="H102" s="6"/>
      <c r="I102" s="2"/>
      <c r="J102" s="7">
        <f t="shared" si="31"/>
        <v>0</v>
      </c>
      <c r="K102" s="2"/>
      <c r="L102" s="6">
        <f t="shared" si="32"/>
        <v>13.01</v>
      </c>
      <c r="M102" s="2"/>
      <c r="N102" s="7">
        <f t="shared" si="33"/>
        <v>0</v>
      </c>
      <c r="O102" s="11"/>
      <c r="P102" s="6">
        <v>-55.49</v>
      </c>
      <c r="Q102" s="2"/>
      <c r="R102" s="7">
        <f t="shared" si="34"/>
        <v>-1.4439097401586974E-4</v>
      </c>
      <c r="S102" s="2"/>
      <c r="T102" s="6"/>
      <c r="U102" s="2"/>
      <c r="V102" s="7">
        <f t="shared" si="35"/>
        <v>0</v>
      </c>
      <c r="W102" s="2"/>
      <c r="X102" s="6">
        <f t="shared" si="36"/>
        <v>-55.49</v>
      </c>
      <c r="Y102" s="2"/>
      <c r="Z102" s="7">
        <f t="shared" si="37"/>
        <v>0</v>
      </c>
    </row>
    <row r="103" spans="1:26" s="27" customFormat="1" outlineLevel="1" collapsed="1" x14ac:dyDescent="0.25">
      <c r="A103" s="26"/>
      <c r="B103" s="13" t="str">
        <f>CONCATENATE("     ","Discounts and Markdowns                           ")</f>
        <v xml:space="preserve">     Discounts and Markdowns                           </v>
      </c>
      <c r="C103" s="13"/>
      <c r="D103" s="1">
        <f>SUM(OSRRefD22_4x_0)</f>
        <v>983.02</v>
      </c>
      <c r="E103" s="1"/>
      <c r="F103" s="5">
        <f t="shared" si="30"/>
        <v>1.552687310617069E-2</v>
      </c>
      <c r="G103" s="1"/>
      <c r="H103" s="1">
        <f>SUM(OSRRefH22_4x_0)</f>
        <v>1250</v>
      </c>
      <c r="I103" s="1"/>
      <c r="J103" s="5">
        <f t="shared" si="31"/>
        <v>2.0800399367667859E-2</v>
      </c>
      <c r="K103" s="1"/>
      <c r="L103" s="1">
        <f t="shared" si="32"/>
        <v>-266.98</v>
      </c>
      <c r="M103" s="1"/>
      <c r="N103" s="5">
        <f t="shared" si="33"/>
        <v>-0.21358400000000002</v>
      </c>
      <c r="O103" s="13"/>
      <c r="P103" s="1">
        <f>SUM(OSRRefP22_4x_0)</f>
        <v>8318.6200000000008</v>
      </c>
      <c r="Q103" s="1"/>
      <c r="R103" s="5">
        <f t="shared" si="34"/>
        <v>2.164594781524409E-2</v>
      </c>
      <c r="S103" s="1"/>
      <c r="T103" s="1">
        <f>SUM(OSRRefT22_4x_0)</f>
        <v>10000</v>
      </c>
      <c r="U103" s="1"/>
      <c r="V103" s="5">
        <f t="shared" si="35"/>
        <v>2.5218772854512898E-2</v>
      </c>
      <c r="W103" s="1"/>
      <c r="X103" s="1">
        <f t="shared" si="36"/>
        <v>-1681.3799999999992</v>
      </c>
      <c r="Y103" s="1"/>
      <c r="Z103" s="5">
        <f t="shared" si="37"/>
        <v>-0.16813799999999993</v>
      </c>
    </row>
    <row r="104" spans="1:26" s="24" customFormat="1" hidden="1" outlineLevel="2" x14ac:dyDescent="0.25">
      <c r="A104" s="25"/>
      <c r="B104" s="11" t="str">
        <f>CONCATENATE("          ", "6382", " - ", "DISCOUNTS/MARK DOWNS")</f>
        <v xml:space="preserve">          6382 - DISCOUNTS/MARK DOWNS</v>
      </c>
      <c r="C104" s="11"/>
      <c r="D104" s="6">
        <v>983.02</v>
      </c>
      <c r="E104" s="2"/>
      <c r="F104" s="7">
        <f t="shared" si="30"/>
        <v>1.552687310617069E-2</v>
      </c>
      <c r="G104" s="2"/>
      <c r="H104" s="6">
        <v>1250</v>
      </c>
      <c r="I104" s="2"/>
      <c r="J104" s="7">
        <f t="shared" si="31"/>
        <v>2.0800399367667859E-2</v>
      </c>
      <c r="K104" s="2"/>
      <c r="L104" s="6">
        <f t="shared" si="32"/>
        <v>-266.98</v>
      </c>
      <c r="M104" s="2"/>
      <c r="N104" s="7">
        <f t="shared" si="33"/>
        <v>-0.21358400000000002</v>
      </c>
      <c r="O104" s="11"/>
      <c r="P104" s="6">
        <v>8318.6200000000008</v>
      </c>
      <c r="Q104" s="2"/>
      <c r="R104" s="7">
        <f t="shared" si="34"/>
        <v>2.164594781524409E-2</v>
      </c>
      <c r="S104" s="2"/>
      <c r="T104" s="6">
        <v>10000</v>
      </c>
      <c r="U104" s="2"/>
      <c r="V104" s="7">
        <f t="shared" si="35"/>
        <v>2.5218772854512898E-2</v>
      </c>
      <c r="W104" s="2"/>
      <c r="X104" s="6">
        <f t="shared" si="36"/>
        <v>-1681.3799999999992</v>
      </c>
      <c r="Y104" s="2"/>
      <c r="Z104" s="7">
        <f t="shared" si="37"/>
        <v>-0.16813799999999993</v>
      </c>
    </row>
    <row r="105" spans="1:26" s="24" customFormat="1" hidden="1" outlineLevel="2" x14ac:dyDescent="0.25">
      <c r="A105" s="25"/>
      <c r="B105" s="11" t="str">
        <f>CONCATENATE("          ", "9175", " - ", "EARNED DISCOUNTS")</f>
        <v xml:space="preserve">          9175 - EARNED DISCOUNTS</v>
      </c>
      <c r="C105" s="11"/>
      <c r="D105" s="6"/>
      <c r="E105" s="2"/>
      <c r="F105" s="7">
        <f t="shared" si="30"/>
        <v>0</v>
      </c>
      <c r="G105" s="2"/>
      <c r="H105" s="6"/>
      <c r="I105" s="2"/>
      <c r="J105" s="7">
        <f t="shared" si="31"/>
        <v>0</v>
      </c>
      <c r="K105" s="2"/>
      <c r="L105" s="6">
        <f t="shared" si="32"/>
        <v>0</v>
      </c>
      <c r="M105" s="2"/>
      <c r="N105" s="7">
        <f t="shared" si="33"/>
        <v>0</v>
      </c>
      <c r="O105" s="11"/>
      <c r="P105" s="6">
        <v>0</v>
      </c>
      <c r="Q105" s="2"/>
      <c r="R105" s="7">
        <f t="shared" si="34"/>
        <v>0</v>
      </c>
      <c r="S105" s="2"/>
      <c r="T105" s="6"/>
      <c r="U105" s="2"/>
      <c r="V105" s="7">
        <f t="shared" si="35"/>
        <v>0</v>
      </c>
      <c r="W105" s="2"/>
      <c r="X105" s="6">
        <f t="shared" si="36"/>
        <v>0</v>
      </c>
      <c r="Y105" s="2"/>
      <c r="Z105" s="7">
        <f t="shared" si="37"/>
        <v>0</v>
      </c>
    </row>
    <row r="106" spans="1:26" s="27" customFormat="1" outlineLevel="1" collapsed="1" x14ac:dyDescent="0.25">
      <c r="A106" s="26"/>
      <c r="B106" s="13" t="str">
        <f>CONCATENATE("     ","Employees' Appreciation                           ")</f>
        <v xml:space="preserve">     Employees' Appreciation                           </v>
      </c>
      <c r="C106" s="13"/>
      <c r="D106" s="1">
        <f>SUM(OSRRefD22_5x_0)</f>
        <v>0</v>
      </c>
      <c r="E106" s="1"/>
      <c r="F106" s="5">
        <f t="shared" ref="F106:F114" si="38">IF(D$12=0,0,D106/D$12)</f>
        <v>0</v>
      </c>
      <c r="G106" s="1"/>
      <c r="H106" s="1">
        <f>SUM(OSRRefH22_5x_0)</f>
        <v>25</v>
      </c>
      <c r="I106" s="1"/>
      <c r="J106" s="5">
        <f t="shared" ref="J106:J114" si="39">IF(H$12=0,0,H106/H$12)</f>
        <v>4.160079873533572E-4</v>
      </c>
      <c r="K106" s="1"/>
      <c r="L106" s="1">
        <f t="shared" ref="L106:L114" si="40">+D106-H106</f>
        <v>-25</v>
      </c>
      <c r="M106" s="1"/>
      <c r="N106" s="5">
        <f t="shared" ref="N106:N114" si="41">IF(H106=0,0,L106/H106)</f>
        <v>-1</v>
      </c>
      <c r="O106" s="13"/>
      <c r="P106" s="1">
        <f>SUM(OSRRefP22_5x_0)</f>
        <v>0</v>
      </c>
      <c r="Q106" s="1"/>
      <c r="R106" s="5">
        <f t="shared" ref="R106:R114" si="42">IF(P$12=0,0,P106/P$12)</f>
        <v>0</v>
      </c>
      <c r="S106" s="1"/>
      <c r="T106" s="1">
        <f>SUM(OSRRefT22_5x_0)</f>
        <v>200</v>
      </c>
      <c r="U106" s="1"/>
      <c r="V106" s="5">
        <f t="shared" ref="V106:V114" si="43">IF(T$12=0,0,T106/T$12)</f>
        <v>5.0437545709025795E-4</v>
      </c>
      <c r="W106" s="1"/>
      <c r="X106" s="1">
        <f t="shared" ref="X106:X114" si="44">+P106-T106</f>
        <v>-200</v>
      </c>
      <c r="Y106" s="1"/>
      <c r="Z106" s="5">
        <f t="shared" ref="Z106:Z114" si="45">IF(T106=0,0,X106/T106)</f>
        <v>-1</v>
      </c>
    </row>
    <row r="107" spans="1:26" s="24" customFormat="1" hidden="1" outlineLevel="2" x14ac:dyDescent="0.25">
      <c r="A107" s="25"/>
      <c r="B107" s="11" t="str">
        <f>CONCATENATE("          ", "6277", " - ", "EMPLOYEE APPRECIATION")</f>
        <v xml:space="preserve">          6277 - EMPLOYEE APPRECIATION</v>
      </c>
      <c r="C107" s="11"/>
      <c r="D107" s="6"/>
      <c r="E107" s="2"/>
      <c r="F107" s="7">
        <f t="shared" si="38"/>
        <v>0</v>
      </c>
      <c r="G107" s="2"/>
      <c r="H107" s="6">
        <v>25</v>
      </c>
      <c r="I107" s="2"/>
      <c r="J107" s="7">
        <f t="shared" si="39"/>
        <v>4.160079873533572E-4</v>
      </c>
      <c r="K107" s="2"/>
      <c r="L107" s="6">
        <f t="shared" si="40"/>
        <v>-25</v>
      </c>
      <c r="M107" s="2"/>
      <c r="N107" s="7">
        <f t="shared" si="41"/>
        <v>-1</v>
      </c>
      <c r="O107" s="11"/>
      <c r="P107" s="6"/>
      <c r="Q107" s="2"/>
      <c r="R107" s="7">
        <f t="shared" si="42"/>
        <v>0</v>
      </c>
      <c r="S107" s="2"/>
      <c r="T107" s="6">
        <v>200</v>
      </c>
      <c r="U107" s="2"/>
      <c r="V107" s="7">
        <f t="shared" si="43"/>
        <v>5.0437545709025795E-4</v>
      </c>
      <c r="W107" s="2"/>
      <c r="X107" s="6">
        <f t="shared" si="44"/>
        <v>-200</v>
      </c>
      <c r="Y107" s="2"/>
      <c r="Z107" s="7">
        <f t="shared" si="45"/>
        <v>-1</v>
      </c>
    </row>
    <row r="108" spans="1:26" s="27" customFormat="1" outlineLevel="1" collapsed="1" x14ac:dyDescent="0.25">
      <c r="A108" s="26"/>
      <c r="B108" s="13" t="str">
        <f>CONCATENATE("     ","General                                           ")</f>
        <v xml:space="preserve">     General                                           </v>
      </c>
      <c r="C108" s="13"/>
      <c r="D108" s="1">
        <f>SUM(OSRRefD22_6x_0)</f>
        <v>0</v>
      </c>
      <c r="E108" s="1"/>
      <c r="F108" s="5">
        <f t="shared" si="38"/>
        <v>0</v>
      </c>
      <c r="G108" s="1"/>
      <c r="H108" s="1">
        <f>SUM(OSRRefH22_6x_0)</f>
        <v>80</v>
      </c>
      <c r="I108" s="1"/>
      <c r="J108" s="5">
        <f t="shared" si="39"/>
        <v>1.331225559530743E-3</v>
      </c>
      <c r="K108" s="1"/>
      <c r="L108" s="1">
        <f t="shared" si="40"/>
        <v>-80</v>
      </c>
      <c r="M108" s="1"/>
      <c r="N108" s="5">
        <f t="shared" si="41"/>
        <v>-1</v>
      </c>
      <c r="O108" s="13"/>
      <c r="P108" s="1">
        <f>SUM(OSRRefP22_6x_0)</f>
        <v>954.05</v>
      </c>
      <c r="Q108" s="1"/>
      <c r="R108" s="5">
        <f t="shared" si="42"/>
        <v>2.4825411562414941E-3</v>
      </c>
      <c r="S108" s="1"/>
      <c r="T108" s="1">
        <f>SUM(OSRRefT22_6x_0)</f>
        <v>640</v>
      </c>
      <c r="U108" s="1"/>
      <c r="V108" s="5">
        <f t="shared" si="43"/>
        <v>1.6140014626888255E-3</v>
      </c>
      <c r="W108" s="1"/>
      <c r="X108" s="1">
        <f t="shared" si="44"/>
        <v>314.04999999999995</v>
      </c>
      <c r="Y108" s="1"/>
      <c r="Z108" s="5">
        <f t="shared" si="45"/>
        <v>0.49070312499999991</v>
      </c>
    </row>
    <row r="109" spans="1:26" s="24" customFormat="1" hidden="1" outlineLevel="2" x14ac:dyDescent="0.25">
      <c r="A109" s="25"/>
      <c r="B109" s="11" t="str">
        <f>CONCATENATE("          ", "6279", " - ", "GENERAL EXPENSE")</f>
        <v xml:space="preserve">          6279 - GENERAL EXPENSE</v>
      </c>
      <c r="C109" s="11"/>
      <c r="D109" s="6"/>
      <c r="E109" s="2"/>
      <c r="F109" s="7">
        <f t="shared" si="38"/>
        <v>0</v>
      </c>
      <c r="G109" s="2"/>
      <c r="H109" s="6">
        <v>80</v>
      </c>
      <c r="I109" s="2"/>
      <c r="J109" s="7">
        <f t="shared" si="39"/>
        <v>1.331225559530743E-3</v>
      </c>
      <c r="K109" s="2"/>
      <c r="L109" s="6">
        <f t="shared" si="40"/>
        <v>-80</v>
      </c>
      <c r="M109" s="2"/>
      <c r="N109" s="7">
        <f t="shared" si="41"/>
        <v>-1</v>
      </c>
      <c r="O109" s="11"/>
      <c r="P109" s="6">
        <v>954.05</v>
      </c>
      <c r="Q109" s="2"/>
      <c r="R109" s="7">
        <f t="shared" si="42"/>
        <v>2.4825411562414941E-3</v>
      </c>
      <c r="S109" s="2"/>
      <c r="T109" s="6">
        <v>640</v>
      </c>
      <c r="U109" s="2"/>
      <c r="V109" s="7">
        <f t="shared" si="43"/>
        <v>1.6140014626888255E-3</v>
      </c>
      <c r="W109" s="2"/>
      <c r="X109" s="6">
        <f t="shared" si="44"/>
        <v>314.04999999999995</v>
      </c>
      <c r="Y109" s="2"/>
      <c r="Z109" s="7">
        <f t="shared" si="45"/>
        <v>0.49070312499999991</v>
      </c>
    </row>
    <row r="110" spans="1:26" s="27" customFormat="1" outlineLevel="1" collapsed="1" x14ac:dyDescent="0.25">
      <c r="A110" s="26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SUM(OSRRefD22_7x_0)</f>
        <v>0</v>
      </c>
      <c r="E110" s="1"/>
      <c r="F110" s="5">
        <f t="shared" si="38"/>
        <v>0</v>
      </c>
      <c r="G110" s="1"/>
      <c r="H110" s="1">
        <f>SUM(OSRRefH22_7x_0)</f>
        <v>115</v>
      </c>
      <c r="I110" s="1"/>
      <c r="J110" s="5">
        <f t="shared" si="39"/>
        <v>1.9136367418254431E-3</v>
      </c>
      <c r="K110" s="1"/>
      <c r="L110" s="1">
        <f t="shared" si="40"/>
        <v>-115</v>
      </c>
      <c r="M110" s="1"/>
      <c r="N110" s="5">
        <f t="shared" si="41"/>
        <v>-1</v>
      </c>
      <c r="O110" s="13"/>
      <c r="P110" s="1">
        <f>SUM(OSRRefP22_7x_0)</f>
        <v>791.15</v>
      </c>
      <c r="Q110" s="1"/>
      <c r="R110" s="5">
        <f t="shared" si="42"/>
        <v>2.0586577598243889E-3</v>
      </c>
      <c r="S110" s="1"/>
      <c r="T110" s="1">
        <f>SUM(OSRRefT22_7x_0)</f>
        <v>920</v>
      </c>
      <c r="U110" s="1"/>
      <c r="V110" s="5">
        <f t="shared" si="43"/>
        <v>2.3201271026151867E-3</v>
      </c>
      <c r="W110" s="1"/>
      <c r="X110" s="1">
        <f t="shared" si="44"/>
        <v>-128.85000000000002</v>
      </c>
      <c r="Y110" s="1"/>
      <c r="Z110" s="5">
        <f t="shared" si="45"/>
        <v>-0.14005434782608697</v>
      </c>
    </row>
    <row r="111" spans="1:26" s="24" customFormat="1" hidden="1" outlineLevel="2" x14ac:dyDescent="0.25">
      <c r="A111" s="25"/>
      <c r="B111" s="11" t="str">
        <f>CONCATENATE("          ", "6336", " - ", "PROFESSIONAL SERVICES")</f>
        <v xml:space="preserve">          6336 - PROFESSIONAL SERVICES</v>
      </c>
      <c r="C111" s="11"/>
      <c r="D111" s="6"/>
      <c r="E111" s="2"/>
      <c r="F111" s="7">
        <f t="shared" si="38"/>
        <v>0</v>
      </c>
      <c r="G111" s="2"/>
      <c r="H111" s="6">
        <v>115</v>
      </c>
      <c r="I111" s="2"/>
      <c r="J111" s="7">
        <f t="shared" si="39"/>
        <v>1.9136367418254431E-3</v>
      </c>
      <c r="K111" s="2"/>
      <c r="L111" s="6">
        <f t="shared" si="40"/>
        <v>-115</v>
      </c>
      <c r="M111" s="2"/>
      <c r="N111" s="7">
        <f t="shared" si="41"/>
        <v>-1</v>
      </c>
      <c r="O111" s="11"/>
      <c r="P111" s="6">
        <v>791.15</v>
      </c>
      <c r="Q111" s="2"/>
      <c r="R111" s="7">
        <f t="shared" si="42"/>
        <v>2.0586577598243889E-3</v>
      </c>
      <c r="S111" s="2"/>
      <c r="T111" s="6">
        <v>920</v>
      </c>
      <c r="U111" s="2"/>
      <c r="V111" s="7">
        <f t="shared" si="43"/>
        <v>2.3201271026151867E-3</v>
      </c>
      <c r="W111" s="2"/>
      <c r="X111" s="6">
        <f t="shared" si="44"/>
        <v>-128.85000000000002</v>
      </c>
      <c r="Y111" s="2"/>
      <c r="Z111" s="7">
        <f t="shared" si="45"/>
        <v>-0.14005434782608697</v>
      </c>
    </row>
    <row r="112" spans="1:26" s="27" customFormat="1" outlineLevel="1" collapsed="1" x14ac:dyDescent="0.25">
      <c r="A112" s="26"/>
      <c r="B112" s="13" t="str">
        <f>CONCATENATE("     ","Repair and Maintenance                            ")</f>
        <v xml:space="preserve">     Repair and Maintenance                            </v>
      </c>
      <c r="C112" s="13"/>
      <c r="D112" s="1">
        <f>SUM(OSRRefD22_8x_0)</f>
        <v>0</v>
      </c>
      <c r="E112" s="1"/>
      <c r="F112" s="5">
        <f t="shared" si="38"/>
        <v>0</v>
      </c>
      <c r="G112" s="1"/>
      <c r="H112" s="1">
        <f>SUM(OSRRefH22_8x_0)</f>
        <v>125</v>
      </c>
      <c r="I112" s="1"/>
      <c r="J112" s="5">
        <f t="shared" si="39"/>
        <v>2.0800399367667858E-3</v>
      </c>
      <c r="K112" s="1"/>
      <c r="L112" s="1">
        <f t="shared" si="40"/>
        <v>-125</v>
      </c>
      <c r="M112" s="1"/>
      <c r="N112" s="5">
        <f t="shared" si="41"/>
        <v>-1</v>
      </c>
      <c r="O112" s="13"/>
      <c r="P112" s="1">
        <f>SUM(OSRRefP22_8x_0)</f>
        <v>129.53</v>
      </c>
      <c r="Q112" s="1"/>
      <c r="R112" s="5">
        <f t="shared" si="42"/>
        <v>3.3705105179808269E-4</v>
      </c>
      <c r="S112" s="1"/>
      <c r="T112" s="1">
        <f>SUM(OSRRefT22_8x_0)</f>
        <v>1000</v>
      </c>
      <c r="U112" s="1"/>
      <c r="V112" s="5">
        <f t="shared" si="43"/>
        <v>2.5218772854512898E-3</v>
      </c>
      <c r="W112" s="1"/>
      <c r="X112" s="1">
        <f t="shared" si="44"/>
        <v>-870.47</v>
      </c>
      <c r="Y112" s="1"/>
      <c r="Z112" s="5">
        <f t="shared" si="45"/>
        <v>-0.87047000000000008</v>
      </c>
    </row>
    <row r="113" spans="1:26" s="24" customFormat="1" hidden="1" outlineLevel="2" x14ac:dyDescent="0.25">
      <c r="A113" s="25"/>
      <c r="B113" s="11" t="str">
        <f>CONCATENATE("          ", "6373", " - ", "MAINTENANCE CONTRACTS")</f>
        <v xml:space="preserve">          6373 - MAINTENANCE CONTRACTS</v>
      </c>
      <c r="C113" s="11"/>
      <c r="D113" s="6"/>
      <c r="E113" s="2"/>
      <c r="F113" s="7">
        <f t="shared" si="38"/>
        <v>0</v>
      </c>
      <c r="G113" s="2"/>
      <c r="H113" s="6"/>
      <c r="I113" s="2"/>
      <c r="J113" s="7">
        <f t="shared" si="39"/>
        <v>0</v>
      </c>
      <c r="K113" s="2"/>
      <c r="L113" s="6">
        <f t="shared" si="40"/>
        <v>0</v>
      </c>
      <c r="M113" s="2"/>
      <c r="N113" s="7">
        <f t="shared" si="41"/>
        <v>0</v>
      </c>
      <c r="O113" s="11"/>
      <c r="P113" s="6">
        <v>119.73</v>
      </c>
      <c r="Q113" s="2"/>
      <c r="R113" s="7">
        <f t="shared" si="42"/>
        <v>3.1155039320454288E-4</v>
      </c>
      <c r="S113" s="2"/>
      <c r="T113" s="6"/>
      <c r="U113" s="2"/>
      <c r="V113" s="7">
        <f t="shared" si="43"/>
        <v>0</v>
      </c>
      <c r="W113" s="2"/>
      <c r="X113" s="6">
        <f t="shared" si="44"/>
        <v>119.73</v>
      </c>
      <c r="Y113" s="2"/>
      <c r="Z113" s="7">
        <f t="shared" si="45"/>
        <v>0</v>
      </c>
    </row>
    <row r="114" spans="1:26" s="24" customFormat="1" hidden="1" outlineLevel="2" x14ac:dyDescent="0.25">
      <c r="A114" s="25"/>
      <c r="B114" s="11" t="str">
        <f>CONCATENATE("          ", "6375", " - ", "OUTSIDE REPAIRS &amp; MAINTENANCE")</f>
        <v xml:space="preserve">          6375 - OUTSIDE REPAIRS &amp; MAINTENANCE</v>
      </c>
      <c r="C114" s="11"/>
      <c r="D114" s="6"/>
      <c r="E114" s="2"/>
      <c r="F114" s="7">
        <f t="shared" si="38"/>
        <v>0</v>
      </c>
      <c r="G114" s="2"/>
      <c r="H114" s="6">
        <v>125</v>
      </c>
      <c r="I114" s="2"/>
      <c r="J114" s="7">
        <f t="shared" si="39"/>
        <v>2.0800399367667858E-3</v>
      </c>
      <c r="K114" s="2"/>
      <c r="L114" s="6">
        <f t="shared" si="40"/>
        <v>-125</v>
      </c>
      <c r="M114" s="2"/>
      <c r="N114" s="7">
        <f t="shared" si="41"/>
        <v>-1</v>
      </c>
      <c r="O114" s="11"/>
      <c r="P114" s="6">
        <v>9.8000000000000007</v>
      </c>
      <c r="Q114" s="2"/>
      <c r="R114" s="7">
        <f t="shared" si="42"/>
        <v>2.5500658593539801E-5</v>
      </c>
      <c r="S114" s="2"/>
      <c r="T114" s="6">
        <v>1000</v>
      </c>
      <c r="U114" s="2"/>
      <c r="V114" s="7">
        <f t="shared" si="43"/>
        <v>2.5218772854512898E-3</v>
      </c>
      <c r="W114" s="2"/>
      <c r="X114" s="6">
        <f t="shared" si="44"/>
        <v>-990.2</v>
      </c>
      <c r="Y114" s="2"/>
      <c r="Z114" s="7">
        <f t="shared" si="45"/>
        <v>-0.99020000000000008</v>
      </c>
    </row>
    <row r="115" spans="1:26" s="27" customFormat="1" outlineLevel="1" collapsed="1" x14ac:dyDescent="0.25">
      <c r="A115" s="26"/>
      <c r="B115" s="13" t="str">
        <f>CONCATENATE("     ","Services                                          ")</f>
        <v xml:space="preserve">     Services                                          </v>
      </c>
      <c r="C115" s="13"/>
      <c r="D115" s="1">
        <f>SUM(OSRRefD22_9x_0)</f>
        <v>249.75</v>
      </c>
      <c r="E115" s="1"/>
      <c r="F115" s="5">
        <f t="shared" ref="F115:F117" si="46">IF(D$12=0,0,D115/D$12)</f>
        <v>3.9448195949890437E-3</v>
      </c>
      <c r="G115" s="1"/>
      <c r="H115" s="1">
        <f>SUM(OSRRefH22_9x_0)</f>
        <v>100</v>
      </c>
      <c r="I115" s="1"/>
      <c r="J115" s="5">
        <f t="shared" ref="J115:J117" si="47">IF(H$12=0,0,H115/H$12)</f>
        <v>1.6640319494134288E-3</v>
      </c>
      <c r="K115" s="1"/>
      <c r="L115" s="1">
        <f t="shared" ref="L115:L117" si="48">+D115-H115</f>
        <v>149.75</v>
      </c>
      <c r="M115" s="1"/>
      <c r="N115" s="5">
        <f t="shared" ref="N115:N117" si="49">IF(H115=0,0,L115/H115)</f>
        <v>1.4975000000000001</v>
      </c>
      <c r="O115" s="13"/>
      <c r="P115" s="1">
        <f>SUM(OSRRefP22_9x_0)</f>
        <v>1818.61</v>
      </c>
      <c r="Q115" s="1"/>
      <c r="R115" s="5">
        <f t="shared" ref="R115:R117" si="50">IF(P$12=0,0,P115/P$12)</f>
        <v>4.732219665795654E-3</v>
      </c>
      <c r="S115" s="1"/>
      <c r="T115" s="1">
        <f>SUM(OSRRefT22_9x_0)</f>
        <v>800</v>
      </c>
      <c r="U115" s="1"/>
      <c r="V115" s="5">
        <f t="shared" ref="V115:V117" si="51">IF(T$12=0,0,T115/T$12)</f>
        <v>2.0175018283610318E-3</v>
      </c>
      <c r="W115" s="1"/>
      <c r="X115" s="1">
        <f t="shared" ref="X115:X117" si="52">+P115-T115</f>
        <v>1018.6099999999999</v>
      </c>
      <c r="Y115" s="1"/>
      <c r="Z115" s="5">
        <f t="shared" ref="Z115:Z117" si="53">IF(T115=0,0,X115/T115)</f>
        <v>1.2732625</v>
      </c>
    </row>
    <row r="116" spans="1:26" s="24" customFormat="1" hidden="1" outlineLevel="2" x14ac:dyDescent="0.25">
      <c r="A116" s="25"/>
      <c r="B116" s="11" t="str">
        <f>CONCATENATE("          ", "6282", " - ", "JANITORIAL/EXTERMINATOR EXPENS")</f>
        <v xml:space="preserve">          6282 - JANITORIAL/EXTERMINATOR EXPENS</v>
      </c>
      <c r="C116" s="11"/>
      <c r="D116" s="6">
        <v>44</v>
      </c>
      <c r="E116" s="2"/>
      <c r="F116" s="7">
        <f t="shared" si="46"/>
        <v>6.9498323195002173E-4</v>
      </c>
      <c r="G116" s="2"/>
      <c r="H116" s="6">
        <v>50</v>
      </c>
      <c r="I116" s="2"/>
      <c r="J116" s="7">
        <f t="shared" si="47"/>
        <v>8.320159747067144E-4</v>
      </c>
      <c r="K116" s="2"/>
      <c r="L116" s="6">
        <f t="shared" si="48"/>
        <v>-6</v>
      </c>
      <c r="M116" s="2"/>
      <c r="N116" s="7">
        <f t="shared" si="49"/>
        <v>-0.12</v>
      </c>
      <c r="O116" s="11"/>
      <c r="P116" s="6">
        <v>373.02</v>
      </c>
      <c r="Q116" s="2"/>
      <c r="R116" s="7">
        <f t="shared" si="50"/>
        <v>9.7063833352675668E-4</v>
      </c>
      <c r="S116" s="2"/>
      <c r="T116" s="6">
        <v>400</v>
      </c>
      <c r="U116" s="2"/>
      <c r="V116" s="7">
        <f t="shared" si="51"/>
        <v>1.0087509141805159E-3</v>
      </c>
      <c r="W116" s="2"/>
      <c r="X116" s="6">
        <f t="shared" si="52"/>
        <v>-26.980000000000018</v>
      </c>
      <c r="Y116" s="2"/>
      <c r="Z116" s="7">
        <f t="shared" si="53"/>
        <v>-6.7450000000000052E-2</v>
      </c>
    </row>
    <row r="117" spans="1:26" s="24" customFormat="1" hidden="1" outlineLevel="2" x14ac:dyDescent="0.25">
      <c r="A117" s="25"/>
      <c r="B117" s="11" t="str">
        <f>CONCATENATE("          ", "6285", " - ", "JANITORIAL SERVICES")</f>
        <v xml:space="preserve">          6285 - JANITORIAL SERVICES</v>
      </c>
      <c r="C117" s="11"/>
      <c r="D117" s="6">
        <v>205.75</v>
      </c>
      <c r="E117" s="2"/>
      <c r="F117" s="7">
        <f t="shared" si="46"/>
        <v>3.2498363630390219E-3</v>
      </c>
      <c r="G117" s="2"/>
      <c r="H117" s="6">
        <v>50</v>
      </c>
      <c r="I117" s="2"/>
      <c r="J117" s="7">
        <f t="shared" si="47"/>
        <v>8.320159747067144E-4</v>
      </c>
      <c r="K117" s="2"/>
      <c r="L117" s="6">
        <f t="shared" si="48"/>
        <v>155.75</v>
      </c>
      <c r="M117" s="2"/>
      <c r="N117" s="7">
        <f t="shared" si="49"/>
        <v>3.1150000000000002</v>
      </c>
      <c r="O117" s="11"/>
      <c r="P117" s="6">
        <v>1445.59</v>
      </c>
      <c r="Q117" s="2"/>
      <c r="R117" s="7">
        <f t="shared" si="50"/>
        <v>3.7615813322688977E-3</v>
      </c>
      <c r="S117" s="2"/>
      <c r="T117" s="6">
        <v>400</v>
      </c>
      <c r="U117" s="2"/>
      <c r="V117" s="7">
        <f t="shared" si="51"/>
        <v>1.0087509141805159E-3</v>
      </c>
      <c r="W117" s="2"/>
      <c r="X117" s="6">
        <f t="shared" si="52"/>
        <v>1045.5899999999999</v>
      </c>
      <c r="Y117" s="2"/>
      <c r="Z117" s="7">
        <f t="shared" si="53"/>
        <v>2.6139749999999999</v>
      </c>
    </row>
    <row r="118" spans="1:26" s="27" customFormat="1" outlineLevel="1" collapsed="1" x14ac:dyDescent="0.25">
      <c r="A118" s="26"/>
      <c r="B118" s="13" t="str">
        <f>CONCATENATE("     ","Supplies                                          ")</f>
        <v xml:space="preserve">     Supplies                                          </v>
      </c>
      <c r="C118" s="13"/>
      <c r="D118" s="1">
        <f>SUM(OSRRefD22_10x_0)</f>
        <v>19.79</v>
      </c>
      <c r="E118" s="1"/>
      <c r="F118" s="5">
        <f t="shared" ref="F118:F121" si="54">IF(D$12=0,0,D118/D$12)</f>
        <v>3.1258450364297566E-4</v>
      </c>
      <c r="G118" s="1"/>
      <c r="H118" s="1">
        <f>SUM(OSRRefH22_10x_0)</f>
        <v>150</v>
      </c>
      <c r="I118" s="1"/>
      <c r="J118" s="5">
        <f t="shared" ref="J118:J121" si="55">IF(H$12=0,0,H118/H$12)</f>
        <v>2.4960479241201432E-3</v>
      </c>
      <c r="K118" s="1"/>
      <c r="L118" s="1">
        <f t="shared" ref="L118:L121" si="56">+D118-H118</f>
        <v>-130.21</v>
      </c>
      <c r="M118" s="1"/>
      <c r="N118" s="5">
        <f t="shared" ref="N118:N121" si="57">IF(H118=0,0,L118/H118)</f>
        <v>-0.86806666666666676</v>
      </c>
      <c r="O118" s="13"/>
      <c r="P118" s="1">
        <f>SUM(OSRRefP22_10x_0)</f>
        <v>1282.1099999999999</v>
      </c>
      <c r="Q118" s="1"/>
      <c r="R118" s="5">
        <f t="shared" ref="R118:R121" si="58">IF(P$12=0,0,P118/P$12)</f>
        <v>3.3361887132003377E-3</v>
      </c>
      <c r="S118" s="1"/>
      <c r="T118" s="1">
        <f>SUM(OSRRefT22_10x_0)</f>
        <v>1200</v>
      </c>
      <c r="U118" s="1"/>
      <c r="V118" s="5">
        <f t="shared" ref="V118:V121" si="59">IF(T$12=0,0,T118/T$12)</f>
        <v>3.0262527425415479E-3</v>
      </c>
      <c r="W118" s="1"/>
      <c r="X118" s="1">
        <f t="shared" ref="X118:X121" si="60">+P118-T118</f>
        <v>82.1099999999999</v>
      </c>
      <c r="Y118" s="1"/>
      <c r="Z118" s="5">
        <f t="shared" ref="Z118:Z121" si="61">IF(T118=0,0,X118/T118)</f>
        <v>6.8424999999999916E-2</v>
      </c>
    </row>
    <row r="119" spans="1:26" s="24" customFormat="1" hidden="1" outlineLevel="2" x14ac:dyDescent="0.25">
      <c r="A119" s="25"/>
      <c r="B119" s="11" t="str">
        <f>CONCATENATE("          ", "6241", " - ", "OFFICE EXPENSE")</f>
        <v xml:space="preserve">          6241 - OFFICE EXPENSE</v>
      </c>
      <c r="C119" s="11"/>
      <c r="D119" s="6">
        <v>19.79</v>
      </c>
      <c r="E119" s="2"/>
      <c r="F119" s="7">
        <f t="shared" si="54"/>
        <v>3.1258450364297566E-4</v>
      </c>
      <c r="G119" s="2"/>
      <c r="H119" s="6">
        <v>150</v>
      </c>
      <c r="I119" s="2"/>
      <c r="J119" s="7">
        <f t="shared" si="55"/>
        <v>2.4960479241201432E-3</v>
      </c>
      <c r="K119" s="2"/>
      <c r="L119" s="6">
        <f t="shared" si="56"/>
        <v>-130.21</v>
      </c>
      <c r="M119" s="2"/>
      <c r="N119" s="7">
        <f t="shared" si="57"/>
        <v>-0.86806666666666676</v>
      </c>
      <c r="O119" s="11"/>
      <c r="P119" s="6">
        <v>1260.76</v>
      </c>
      <c r="Q119" s="2"/>
      <c r="R119" s="7">
        <f t="shared" si="58"/>
        <v>3.2806337069786976E-3</v>
      </c>
      <c r="S119" s="2"/>
      <c r="T119" s="6">
        <v>1200</v>
      </c>
      <c r="U119" s="2"/>
      <c r="V119" s="7">
        <f t="shared" si="59"/>
        <v>3.0262527425415479E-3</v>
      </c>
      <c r="W119" s="2"/>
      <c r="X119" s="6">
        <f t="shared" si="60"/>
        <v>60.759999999999991</v>
      </c>
      <c r="Y119" s="2"/>
      <c r="Z119" s="7">
        <f t="shared" si="61"/>
        <v>5.0633333333333329E-2</v>
      </c>
    </row>
    <row r="120" spans="1:26" s="24" customFormat="1" hidden="1" outlineLevel="2" x14ac:dyDescent="0.25">
      <c r="A120" s="25"/>
      <c r="B120" s="11" t="str">
        <f>CONCATENATE("          ", "6245", " - ", "PRINTING")</f>
        <v xml:space="preserve">          6245 - PRINTING</v>
      </c>
      <c r="C120" s="11"/>
      <c r="D120" s="6"/>
      <c r="E120" s="2"/>
      <c r="F120" s="7">
        <f t="shared" si="54"/>
        <v>0</v>
      </c>
      <c r="G120" s="2"/>
      <c r="H120" s="6"/>
      <c r="I120" s="2"/>
      <c r="J120" s="7">
        <f t="shared" si="55"/>
        <v>0</v>
      </c>
      <c r="K120" s="2"/>
      <c r="L120" s="6">
        <f t="shared" si="56"/>
        <v>0</v>
      </c>
      <c r="M120" s="2"/>
      <c r="N120" s="7">
        <f t="shared" si="57"/>
        <v>0</v>
      </c>
      <c r="O120" s="11"/>
      <c r="P120" s="6">
        <v>22.05</v>
      </c>
      <c r="Q120" s="2"/>
      <c r="R120" s="7">
        <f t="shared" si="58"/>
        <v>5.7376481835464547E-5</v>
      </c>
      <c r="S120" s="2"/>
      <c r="T120" s="6"/>
      <c r="U120" s="2"/>
      <c r="V120" s="7">
        <f t="shared" si="59"/>
        <v>0</v>
      </c>
      <c r="W120" s="2"/>
      <c r="X120" s="6">
        <f t="shared" si="60"/>
        <v>22.05</v>
      </c>
      <c r="Y120" s="2"/>
      <c r="Z120" s="7">
        <f t="shared" si="61"/>
        <v>0</v>
      </c>
    </row>
    <row r="121" spans="1:26" s="24" customFormat="1" hidden="1" outlineLevel="2" x14ac:dyDescent="0.25">
      <c r="A121" s="25"/>
      <c r="B121" s="11" t="str">
        <f>CONCATENATE("          ", "6247", " - ", "STORE SUPPLIES")</f>
        <v xml:space="preserve">          6247 - STORE SUPPLIES</v>
      </c>
      <c r="C121" s="11"/>
      <c r="D121" s="6"/>
      <c r="E121" s="2"/>
      <c r="F121" s="7">
        <f t="shared" si="54"/>
        <v>0</v>
      </c>
      <c r="G121" s="2"/>
      <c r="H121" s="6"/>
      <c r="I121" s="2"/>
      <c r="J121" s="7">
        <f t="shared" si="55"/>
        <v>0</v>
      </c>
      <c r="K121" s="2"/>
      <c r="L121" s="6">
        <f t="shared" si="56"/>
        <v>0</v>
      </c>
      <c r="M121" s="2"/>
      <c r="N121" s="7">
        <f t="shared" si="57"/>
        <v>0</v>
      </c>
      <c r="O121" s="11"/>
      <c r="P121" s="6">
        <v>-0.7</v>
      </c>
      <c r="Q121" s="2"/>
      <c r="R121" s="7">
        <f t="shared" si="58"/>
        <v>-1.8214756138242713E-6</v>
      </c>
      <c r="S121" s="2"/>
      <c r="T121" s="6"/>
      <c r="U121" s="2"/>
      <c r="V121" s="7">
        <f t="shared" si="59"/>
        <v>0</v>
      </c>
      <c r="W121" s="2"/>
      <c r="X121" s="6">
        <f t="shared" si="60"/>
        <v>-0.7</v>
      </c>
      <c r="Y121" s="2"/>
      <c r="Z121" s="7">
        <f t="shared" si="61"/>
        <v>0</v>
      </c>
    </row>
    <row r="122" spans="1:26" s="27" customFormat="1" outlineLevel="1" collapsed="1" x14ac:dyDescent="0.25">
      <c r="A122" s="26"/>
      <c r="B122" s="13" t="str">
        <f>CONCATENATE("     ","Telephone/Data Lines                              ")</f>
        <v xml:space="preserve">     Telephone/Data Lines                              </v>
      </c>
      <c r="C122" s="13"/>
      <c r="D122" s="1">
        <f>SUM(OSRRefD22_11x_0)</f>
        <v>104.65</v>
      </c>
      <c r="E122" s="1"/>
      <c r="F122" s="5">
        <f t="shared" ref="F122:F125" si="62">IF(D$12=0,0,D122/D$12)</f>
        <v>1.6529544368993131E-3</v>
      </c>
      <c r="G122" s="1"/>
      <c r="H122" s="1">
        <f>SUM(OSRRefH22_11x_0)</f>
        <v>75</v>
      </c>
      <c r="I122" s="1"/>
      <c r="J122" s="5">
        <f t="shared" ref="J122:J125" si="63">IF(H$12=0,0,H122/H$12)</f>
        <v>1.2480239620600716E-3</v>
      </c>
      <c r="K122" s="1"/>
      <c r="L122" s="1">
        <f t="shared" ref="L122:L125" si="64">+D122-H122</f>
        <v>29.650000000000006</v>
      </c>
      <c r="M122" s="1"/>
      <c r="N122" s="5">
        <f t="shared" ref="N122:N125" si="65">IF(H122=0,0,L122/H122)</f>
        <v>0.39533333333333343</v>
      </c>
      <c r="O122" s="13"/>
      <c r="P122" s="1">
        <f>SUM(OSRRefP22_11x_0)</f>
        <v>784.22</v>
      </c>
      <c r="Q122" s="1"/>
      <c r="R122" s="5">
        <f t="shared" ref="R122:R125" si="66">IF(P$12=0,0,P122/P$12)</f>
        <v>2.0406251512475287E-3</v>
      </c>
      <c r="S122" s="1"/>
      <c r="T122" s="1">
        <f>SUM(OSRRefT22_11x_0)</f>
        <v>600</v>
      </c>
      <c r="U122" s="1"/>
      <c r="V122" s="5">
        <f t="shared" ref="V122:V125" si="67">IF(T$12=0,0,T122/T$12)</f>
        <v>1.5131263712707739E-3</v>
      </c>
      <c r="W122" s="1"/>
      <c r="X122" s="1">
        <f t="shared" ref="X122:X125" si="68">+P122-T122</f>
        <v>184.22000000000003</v>
      </c>
      <c r="Y122" s="1"/>
      <c r="Z122" s="5">
        <f t="shared" ref="Z122:Z125" si="69">IF(T122=0,0,X122/T122)</f>
        <v>0.30703333333333338</v>
      </c>
    </row>
    <row r="123" spans="1:26" s="24" customFormat="1" hidden="1" outlineLevel="2" x14ac:dyDescent="0.25">
      <c r="A123" s="25"/>
      <c r="B123" s="11" t="str">
        <f>CONCATENATE("          ", "6309", " - ", "TELEPHONE")</f>
        <v xml:space="preserve">          6309 - TELEPHONE</v>
      </c>
      <c r="C123" s="11"/>
      <c r="D123" s="6">
        <v>104.65</v>
      </c>
      <c r="E123" s="2"/>
      <c r="F123" s="7">
        <f t="shared" si="62"/>
        <v>1.6529544368993131E-3</v>
      </c>
      <c r="G123" s="2"/>
      <c r="H123" s="6">
        <v>75</v>
      </c>
      <c r="I123" s="2"/>
      <c r="J123" s="7">
        <f t="shared" si="63"/>
        <v>1.2480239620600716E-3</v>
      </c>
      <c r="K123" s="2"/>
      <c r="L123" s="6">
        <f t="shared" si="64"/>
        <v>29.650000000000006</v>
      </c>
      <c r="M123" s="2"/>
      <c r="N123" s="7">
        <f t="shared" si="65"/>
        <v>0.39533333333333343</v>
      </c>
      <c r="O123" s="11"/>
      <c r="P123" s="6">
        <v>784.22</v>
      </c>
      <c r="Q123" s="2"/>
      <c r="R123" s="7">
        <f t="shared" si="66"/>
        <v>2.0406251512475287E-3</v>
      </c>
      <c r="S123" s="2"/>
      <c r="T123" s="6">
        <v>600</v>
      </c>
      <c r="U123" s="2"/>
      <c r="V123" s="7">
        <f t="shared" si="67"/>
        <v>1.5131263712707739E-3</v>
      </c>
      <c r="W123" s="2"/>
      <c r="X123" s="6">
        <f t="shared" si="68"/>
        <v>184.22000000000003</v>
      </c>
      <c r="Y123" s="2"/>
      <c r="Z123" s="7">
        <f t="shared" si="69"/>
        <v>0.30703333333333338</v>
      </c>
    </row>
    <row r="124" spans="1:26" s="27" customFormat="1" outlineLevel="1" collapsed="1" x14ac:dyDescent="0.25">
      <c r="A124" s="26"/>
      <c r="B124" s="13" t="str">
        <f>CONCATENATE("     ","Training                                          ")</f>
        <v xml:space="preserve">     Training                                          </v>
      </c>
      <c r="C124" s="13"/>
      <c r="D124" s="1">
        <f>SUM(OSRRefD22_12x_0)</f>
        <v>174.8</v>
      </c>
      <c r="E124" s="1"/>
      <c r="F124" s="5">
        <f t="shared" si="62"/>
        <v>2.7609788396559956E-3</v>
      </c>
      <c r="G124" s="1"/>
      <c r="H124" s="1">
        <f>SUM(OSRRefH22_12x_0)</f>
        <v>175</v>
      </c>
      <c r="I124" s="1"/>
      <c r="J124" s="5">
        <f t="shared" si="63"/>
        <v>2.9120559114735002E-3</v>
      </c>
      <c r="K124" s="1"/>
      <c r="L124" s="1">
        <f t="shared" si="64"/>
        <v>-0.19999999999998863</v>
      </c>
      <c r="M124" s="1"/>
      <c r="N124" s="5">
        <f t="shared" si="65"/>
        <v>-1.1428571428570779E-3</v>
      </c>
      <c r="O124" s="13"/>
      <c r="P124" s="1">
        <f>SUM(OSRRefP22_12x_0)</f>
        <v>254.8</v>
      </c>
      <c r="Q124" s="1"/>
      <c r="R124" s="5">
        <f t="shared" si="66"/>
        <v>6.6301712343203479E-4</v>
      </c>
      <c r="S124" s="1"/>
      <c r="T124" s="1">
        <f>SUM(OSRRefT22_12x_0)</f>
        <v>1400</v>
      </c>
      <c r="U124" s="1"/>
      <c r="V124" s="5">
        <f t="shared" si="67"/>
        <v>3.5306281996318059E-3</v>
      </c>
      <c r="W124" s="1"/>
      <c r="X124" s="1">
        <f t="shared" si="68"/>
        <v>-1145.2</v>
      </c>
      <c r="Y124" s="1"/>
      <c r="Z124" s="5">
        <f t="shared" si="69"/>
        <v>-0.81800000000000006</v>
      </c>
    </row>
    <row r="125" spans="1:26" s="24" customFormat="1" hidden="1" outlineLevel="2" x14ac:dyDescent="0.25">
      <c r="A125" s="25"/>
      <c r="B125" s="11" t="str">
        <f>CONCATENATE("          ", "6376", " - ", "TRAINING")</f>
        <v xml:space="preserve">          6376 - TRAINING</v>
      </c>
      <c r="C125" s="11"/>
      <c r="D125" s="6">
        <v>174.8</v>
      </c>
      <c r="E125" s="2"/>
      <c r="F125" s="7">
        <f t="shared" si="62"/>
        <v>2.7609788396559956E-3</v>
      </c>
      <c r="G125" s="2"/>
      <c r="H125" s="6">
        <v>175</v>
      </c>
      <c r="I125" s="2"/>
      <c r="J125" s="7">
        <f t="shared" si="63"/>
        <v>2.9120559114735002E-3</v>
      </c>
      <c r="K125" s="2"/>
      <c r="L125" s="6">
        <f t="shared" si="64"/>
        <v>-0.19999999999998863</v>
      </c>
      <c r="M125" s="2"/>
      <c r="N125" s="7">
        <f t="shared" si="65"/>
        <v>-1.1428571428570779E-3</v>
      </c>
      <c r="O125" s="11"/>
      <c r="P125" s="6">
        <v>254.8</v>
      </c>
      <c r="Q125" s="2"/>
      <c r="R125" s="7">
        <f t="shared" si="66"/>
        <v>6.6301712343203479E-4</v>
      </c>
      <c r="S125" s="2"/>
      <c r="T125" s="6">
        <v>1400</v>
      </c>
      <c r="U125" s="2"/>
      <c r="V125" s="7">
        <f t="shared" si="67"/>
        <v>3.5306281996318059E-3</v>
      </c>
      <c r="W125" s="2"/>
      <c r="X125" s="6">
        <f t="shared" si="68"/>
        <v>-1145.2</v>
      </c>
      <c r="Y125" s="2"/>
      <c r="Z125" s="7">
        <f t="shared" si="69"/>
        <v>-0.81800000000000006</v>
      </c>
    </row>
    <row r="126" spans="1:26" s="53" customFormat="1" x14ac:dyDescent="0.25">
      <c r="A126" s="36"/>
      <c r="B126" s="36"/>
      <c r="C126" s="36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collapsed="1" x14ac:dyDescent="0.25">
      <c r="A127" s="10"/>
      <c r="B127" s="29" t="s">
        <v>0</v>
      </c>
      <c r="C127" s="10"/>
      <c r="D127" s="4">
        <f>SUM(OSRRefD25x_0)</f>
        <v>0</v>
      </c>
      <c r="E127" s="4"/>
      <c r="F127" s="12">
        <f t="shared" ref="F127:F128" si="70">IF(D$12=0,0,D127/D$12)</f>
        <v>0</v>
      </c>
      <c r="G127" s="4"/>
      <c r="H127" s="4">
        <f>SUM(OSRRefH25x_0)</f>
        <v>0</v>
      </c>
      <c r="I127" s="4"/>
      <c r="J127" s="12">
        <f t="shared" ref="J127:J128" si="71">IF(H$12=0,0,H127/H$12)</f>
        <v>0</v>
      </c>
      <c r="K127" s="4"/>
      <c r="L127" s="4">
        <f t="shared" ref="L127:L128" si="72">+D127-H127</f>
        <v>0</v>
      </c>
      <c r="M127" s="4"/>
      <c r="N127" s="12">
        <f t="shared" ref="N127:N128" si="73">IF(H127=0,0,L127/H127)</f>
        <v>0</v>
      </c>
      <c r="O127" s="10"/>
      <c r="P127" s="4">
        <f>SUM(OSRRefP25x_0)</f>
        <v>68.760000000000005</v>
      </c>
      <c r="Q127" s="4"/>
      <c r="R127" s="12">
        <f t="shared" ref="R127:R128" si="74">IF(P$12=0,0,P127/P$12)</f>
        <v>1.7892094743793843E-4</v>
      </c>
      <c r="S127" s="4"/>
      <c r="T127" s="4">
        <f>SUM(OSRRefT25x_0)</f>
        <v>0</v>
      </c>
      <c r="U127" s="4"/>
      <c r="V127" s="12">
        <f t="shared" ref="V127:V128" si="75">IF(T$12=0,0,T127/T$12)</f>
        <v>0</v>
      </c>
      <c r="W127" s="4"/>
      <c r="X127" s="4">
        <f t="shared" ref="X127:X128" si="76">+P127-T127</f>
        <v>68.760000000000005</v>
      </c>
      <c r="Y127" s="4"/>
      <c r="Z127" s="12">
        <f t="shared" ref="Z127:Z128" si="77">IF(T127=0,0,X127/T127)</f>
        <v>0</v>
      </c>
    </row>
    <row r="128" spans="1:26" s="24" customFormat="1" hidden="1" outlineLevel="1" x14ac:dyDescent="0.25">
      <c r="A128" s="44"/>
      <c r="B128" s="11" t="str">
        <f>CONCATENATE("          ", "9150", " - ", "MISC. INCOME")</f>
        <v xml:space="preserve">          9150 - MISC. INCOME</v>
      </c>
      <c r="C128" s="11"/>
      <c r="D128" s="2">
        <f>0</f>
        <v>0</v>
      </c>
      <c r="E128" s="2"/>
      <c r="F128" s="19">
        <f t="shared" si="70"/>
        <v>0</v>
      </c>
      <c r="G128" s="2"/>
      <c r="H128" s="2"/>
      <c r="I128" s="2"/>
      <c r="J128" s="19">
        <f t="shared" si="71"/>
        <v>0</v>
      </c>
      <c r="K128" s="2"/>
      <c r="L128" s="2">
        <f t="shared" si="72"/>
        <v>0</v>
      </c>
      <c r="M128" s="2"/>
      <c r="N128" s="19">
        <f t="shared" si="73"/>
        <v>0</v>
      </c>
      <c r="O128" s="11"/>
      <c r="P128" s="2">
        <f>--68.76</f>
        <v>68.760000000000005</v>
      </c>
      <c r="Q128" s="2"/>
      <c r="R128" s="19">
        <f t="shared" si="74"/>
        <v>1.7892094743793843E-4</v>
      </c>
      <c r="S128" s="2"/>
      <c r="T128" s="2"/>
      <c r="U128" s="2"/>
      <c r="V128" s="19">
        <f t="shared" si="75"/>
        <v>0</v>
      </c>
      <c r="W128" s="2"/>
      <c r="X128" s="2">
        <f t="shared" si="76"/>
        <v>68.760000000000005</v>
      </c>
      <c r="Y128" s="2"/>
      <c r="Z128" s="19">
        <f t="shared" si="77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3</v>
      </c>
      <c r="C130" s="28"/>
      <c r="D130" s="21">
        <f>+D75-D77+D127</f>
        <v>17347.860000000011</v>
      </c>
      <c r="E130" s="14"/>
      <c r="F130" s="22">
        <f>IF(D$12=0,0,D130/D$12)</f>
        <v>0.27401072295946616</v>
      </c>
      <c r="G130" s="14"/>
      <c r="H130" s="21">
        <f>+H75-H77+H127</f>
        <v>20182.106515568001</v>
      </c>
      <c r="I130" s="14"/>
      <c r="J130" s="22">
        <f>IF(H$12=0,0,H130/H$12)</f>
        <v>0.33583670048370085</v>
      </c>
      <c r="K130" s="15"/>
      <c r="L130" s="21">
        <f>+D130-H130</f>
        <v>-2834.2465155679893</v>
      </c>
      <c r="M130" s="15"/>
      <c r="N130" s="22">
        <f>IF(H130=0,0,L130/H130)</f>
        <v>-0.14043363181052079</v>
      </c>
      <c r="O130" s="29"/>
      <c r="P130" s="21">
        <f>+P75-P77+P127</f>
        <v>85711.02</v>
      </c>
      <c r="Q130" s="14"/>
      <c r="R130" s="22">
        <f>IF(P$12=0,0,P130/P$12)</f>
        <v>0.22302933252286344</v>
      </c>
      <c r="S130" s="14"/>
      <c r="T130" s="21">
        <f>+T75-T77+T127</f>
        <v>127860.934364562</v>
      </c>
      <c r="U130" s="14"/>
      <c r="V130" s="22">
        <f>IF(T$12=0,0,T130/T$12)</f>
        <v>0.32244958607056717</v>
      </c>
      <c r="W130" s="15"/>
      <c r="X130" s="21">
        <f>+P130-T130</f>
        <v>-42149.914364561992</v>
      </c>
      <c r="Y130" s="15"/>
      <c r="Z130" s="22">
        <f>IF(T130=0,0,X130/T130)</f>
        <v>-0.3296543590427905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5693.14</v>
      </c>
      <c r="E132" s="4"/>
      <c r="F132" s="12">
        <f>IF(D$12=0,0,D132/D$12)</f>
        <v>8.9923564480544255E-2</v>
      </c>
      <c r="G132" s="4"/>
      <c r="H132" s="4">
        <v>6260</v>
      </c>
      <c r="I132" s="4"/>
      <c r="J132" s="12">
        <f>IF(H$12=0,0,H132/H$12)</f>
        <v>0.10416840003328064</v>
      </c>
      <c r="K132" s="4"/>
      <c r="L132" s="4">
        <f>+D132-H132</f>
        <v>-566.85999999999967</v>
      </c>
      <c r="M132" s="4"/>
      <c r="N132" s="12">
        <f>IF(H132=0,0,L132/H132)</f>
        <v>-9.0552715654952029E-2</v>
      </c>
      <c r="O132" s="10"/>
      <c r="P132" s="4">
        <v>39168.160000000003</v>
      </c>
      <c r="Q132" s="4"/>
      <c r="R132" s="12">
        <f>IF(P$12=0,0,P132/P$12)</f>
        <v>0.10191978325481039</v>
      </c>
      <c r="S132" s="4"/>
      <c r="T132" s="4">
        <v>47683</v>
      </c>
      <c r="U132" s="4"/>
      <c r="V132" s="12">
        <f>IF(T$12=0,0,T132/T$12)</f>
        <v>0.12025067460217385</v>
      </c>
      <c r="W132" s="4"/>
      <c r="X132" s="4">
        <f>+P132-T132</f>
        <v>-8514.8399999999965</v>
      </c>
      <c r="Y132" s="4"/>
      <c r="Z132" s="12">
        <f>IF(T132=0,0,X132/T132)</f>
        <v>-0.17857181804836098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4</v>
      </c>
      <c r="C134" s="28"/>
      <c r="D134" s="31">
        <f>+D130-D132</f>
        <v>11654.720000000012</v>
      </c>
      <c r="E134" s="14"/>
      <c r="F134" s="32">
        <f>IF(D$12=0,0,D134/D$12)</f>
        <v>0.18408715847892196</v>
      </c>
      <c r="G134" s="14"/>
      <c r="H134" s="31">
        <f>+H130-H132</f>
        <v>13922.106515568001</v>
      </c>
      <c r="I134" s="14"/>
      <c r="J134" s="32">
        <f>IF(H$12=0,0,H134/H$12)</f>
        <v>0.23166830045042017</v>
      </c>
      <c r="K134" s="15"/>
      <c r="L134" s="31">
        <f>D134-H134</f>
        <v>-2267.3865155679887</v>
      </c>
      <c r="M134" s="15"/>
      <c r="N134" s="32">
        <f>IF(H134=0,0,L134/H134)</f>
        <v>-0.16286231634792825</v>
      </c>
      <c r="O134" s="29"/>
      <c r="P134" s="31">
        <f>+P130-P132</f>
        <v>46542.86</v>
      </c>
      <c r="Q134" s="14"/>
      <c r="R134" s="32">
        <f>IF(P$12=0,0,P134/P$12)</f>
        <v>0.12110954926805303</v>
      </c>
      <c r="S134" s="14"/>
      <c r="T134" s="31">
        <f>+T130-T132</f>
        <v>80177.934364561996</v>
      </c>
      <c r="U134" s="14"/>
      <c r="V134" s="32">
        <f>IF(T$12=0,0,T134/T$12)</f>
        <v>0.20219891146839331</v>
      </c>
      <c r="W134" s="15"/>
      <c r="X134" s="31">
        <f>P134-T134</f>
        <v>-33635.074364561995</v>
      </c>
      <c r="Y134" s="15"/>
      <c r="Z134" s="32">
        <f>IF(T134=0,0,X134/T134)</f>
        <v>-0.41950537427949042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5</v>
      </c>
      <c r="C137" s="28"/>
      <c r="D137" s="33">
        <f>SUM(D134:D136)</f>
        <v>11654.720000000012</v>
      </c>
      <c r="E137" s="14"/>
      <c r="F137" s="30">
        <f>IF(D$12=0,0,D137/D$12)</f>
        <v>0.18408715847892196</v>
      </c>
      <c r="G137" s="14"/>
      <c r="H137" s="33">
        <f>SUM(H134:H136)</f>
        <v>13922.106515568001</v>
      </c>
      <c r="I137" s="14"/>
      <c r="J137" s="30">
        <f>IF(H$12=0,0,H137/H$12)</f>
        <v>0.23166830045042017</v>
      </c>
      <c r="K137" s="15"/>
      <c r="L137" s="33">
        <f>+D137-H137</f>
        <v>-2267.3865155679887</v>
      </c>
      <c r="M137" s="15"/>
      <c r="N137" s="30">
        <f>IF(H137=0,0,L137/H137)</f>
        <v>-0.16286231634792825</v>
      </c>
      <c r="O137" s="29"/>
      <c r="P137" s="33">
        <f>SUM(P134:P136)</f>
        <v>46542.86</v>
      </c>
      <c r="Q137" s="14"/>
      <c r="R137" s="30">
        <f>IF(P$12=0,0,P137/P$12)</f>
        <v>0.12110954926805303</v>
      </c>
      <c r="S137" s="14"/>
      <c r="T137" s="33">
        <f>SUM(T134:T136)</f>
        <v>80177.934364561996</v>
      </c>
      <c r="U137" s="14"/>
      <c r="V137" s="30">
        <f>IF(T$12=0,0,T137/T$12)</f>
        <v>0.20219891146839331</v>
      </c>
      <c r="W137" s="15"/>
      <c r="X137" s="33">
        <f>+P137-T137</f>
        <v>-33635.074364561995</v>
      </c>
      <c r="Y137" s="15"/>
      <c r="Z137" s="30">
        <f>IF(T137=0,0,X137/T137)</f>
        <v>-0.41950537427949042</v>
      </c>
    </row>
    <row r="138" spans="1:26" ht="15.75" thickTop="1" x14ac:dyDescent="0.25">
      <c r="A138" s="9"/>
      <c r="C138" s="9"/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59">
        <v>43908.494619097219</v>
      </c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A140" s="9"/>
      <c r="B140" s="63" t="s">
        <v>314</v>
      </c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A141" s="9"/>
      <c r="B141" s="57"/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  <row r="142" spans="1:26" x14ac:dyDescent="0.25"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","314", " - ", "Tech/Supplies")</f>
        <v>Department 314 - Tech/Supplies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53507.399999999994</v>
      </c>
      <c r="E12" s="4"/>
      <c r="F12" s="12"/>
      <c r="G12" s="4"/>
      <c r="H12" s="4">
        <f>SUM(OSRRefH13x_0)</f>
        <v>51510</v>
      </c>
      <c r="I12" s="4"/>
      <c r="J12" s="12"/>
      <c r="K12" s="4"/>
      <c r="L12" s="4">
        <f t="shared" ref="L12:L34" si="0">+D12-H12</f>
        <v>1997.3999999999942</v>
      </c>
      <c r="M12" s="4"/>
      <c r="N12" s="12">
        <f t="shared" ref="N12:N34" si="1">IF(H12=0,0,L12/H12)</f>
        <v>3.8776936517181018E-2</v>
      </c>
      <c r="O12" s="10"/>
      <c r="P12" s="4">
        <f>SUM(OSRRefP13x_0)</f>
        <v>386399.31000000006</v>
      </c>
      <c r="Q12" s="4"/>
      <c r="R12" s="12"/>
      <c r="S12" s="4"/>
      <c r="T12" s="4">
        <f>SUM(OSRRefT13x_0)</f>
        <v>412429</v>
      </c>
      <c r="U12" s="4"/>
      <c r="V12" s="12"/>
      <c r="W12" s="4"/>
      <c r="X12" s="4">
        <f t="shared" ref="X12:X34" si="2">+P12-T12</f>
        <v>-26029.689999999944</v>
      </c>
      <c r="Y12" s="4"/>
      <c r="Z12" s="12">
        <f t="shared" ref="Z12:Z34" si="3">IF(T12=0,0,X12/T12)</f>
        <v>-6.3113141898362979E-2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47389</v>
      </c>
      <c r="I13" s="2"/>
      <c r="J13" s="19"/>
      <c r="K13" s="2"/>
      <c r="L13" s="2">
        <f t="shared" si="0"/>
        <v>-47389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379433</v>
      </c>
      <c r="U13" s="2"/>
      <c r="V13" s="19"/>
      <c r="W13" s="2"/>
      <c r="X13" s="2">
        <f t="shared" si="2"/>
        <v>-379433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--211.2</f>
        <v>211.2</v>
      </c>
      <c r="Q14" s="2"/>
      <c r="R14" s="19"/>
      <c r="S14" s="2"/>
      <c r="T14" s="2"/>
      <c r="U14" s="2"/>
      <c r="V14" s="19"/>
      <c r="W14" s="2"/>
      <c r="X14" s="2">
        <f t="shared" si="2"/>
        <v>211.2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--8.97</f>
        <v>8.9700000000000006</v>
      </c>
      <c r="E15" s="2"/>
      <c r="F15" s="19"/>
      <c r="G15" s="2"/>
      <c r="H15" s="2"/>
      <c r="I15" s="2"/>
      <c r="J15" s="19"/>
      <c r="K15" s="2"/>
      <c r="L15" s="2">
        <f t="shared" si="0"/>
        <v>8.9700000000000006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--10984.27</f>
        <v>10984.27</v>
      </c>
      <c r="E16" s="2"/>
      <c r="F16" s="19"/>
      <c r="G16" s="2"/>
      <c r="H16" s="2"/>
      <c r="I16" s="2"/>
      <c r="J16" s="19"/>
      <c r="K16" s="2"/>
      <c r="L16" s="2">
        <f t="shared" si="0"/>
        <v>10984.27</v>
      </c>
      <c r="M16" s="2"/>
      <c r="N16" s="19">
        <f t="shared" si="1"/>
        <v>0</v>
      </c>
      <c r="O16" s="11"/>
      <c r="P16" s="2">
        <f>--49730.39</f>
        <v>49730.39</v>
      </c>
      <c r="Q16" s="2"/>
      <c r="R16" s="19"/>
      <c r="S16" s="2"/>
      <c r="T16" s="2"/>
      <c r="U16" s="2"/>
      <c r="V16" s="19"/>
      <c r="W16" s="2"/>
      <c r="X16" s="2">
        <f t="shared" si="2"/>
        <v>49730.39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--10484</f>
        <v>10484</v>
      </c>
      <c r="E17" s="2"/>
      <c r="F17" s="19"/>
      <c r="G17" s="2"/>
      <c r="H17" s="2"/>
      <c r="I17" s="2"/>
      <c r="J17" s="19"/>
      <c r="K17" s="2"/>
      <c r="L17" s="2">
        <f t="shared" si="0"/>
        <v>10484</v>
      </c>
      <c r="M17" s="2"/>
      <c r="N17" s="19">
        <f t="shared" si="1"/>
        <v>0</v>
      </c>
      <c r="O17" s="11"/>
      <c r="P17" s="2">
        <f>--68972.73</f>
        <v>68972.73</v>
      </c>
      <c r="Q17" s="2"/>
      <c r="R17" s="19"/>
      <c r="S17" s="2"/>
      <c r="T17" s="2"/>
      <c r="U17" s="2"/>
      <c r="V17" s="19"/>
      <c r="W17" s="2"/>
      <c r="X17" s="2">
        <f t="shared" si="2"/>
        <v>68972.73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--29196.55</f>
        <v>29196.55</v>
      </c>
      <c r="E18" s="2"/>
      <c r="F18" s="19"/>
      <c r="G18" s="2"/>
      <c r="H18" s="2"/>
      <c r="I18" s="2"/>
      <c r="J18" s="19"/>
      <c r="K18" s="2"/>
      <c r="L18" s="2">
        <f t="shared" si="0"/>
        <v>29196.55</v>
      </c>
      <c r="M18" s="2"/>
      <c r="N18" s="19">
        <f t="shared" si="1"/>
        <v>0</v>
      </c>
      <c r="O18" s="11"/>
      <c r="P18" s="2">
        <f>--252536.37</f>
        <v>252536.37</v>
      </c>
      <c r="Q18" s="2"/>
      <c r="R18" s="19"/>
      <c r="S18" s="2"/>
      <c r="T18" s="2"/>
      <c r="U18" s="2"/>
      <c r="V18" s="19"/>
      <c r="W18" s="2"/>
      <c r="X18" s="2">
        <f t="shared" si="2"/>
        <v>252536.37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--1931.36</f>
        <v>1931.36</v>
      </c>
      <c r="E19" s="2"/>
      <c r="F19" s="19"/>
      <c r="G19" s="2"/>
      <c r="H19" s="2"/>
      <c r="I19" s="2"/>
      <c r="J19" s="19"/>
      <c r="K19" s="2"/>
      <c r="L19" s="2">
        <f t="shared" si="0"/>
        <v>1931.36</v>
      </c>
      <c r="M19" s="2"/>
      <c r="N19" s="19">
        <f t="shared" si="1"/>
        <v>0</v>
      </c>
      <c r="O19" s="11"/>
      <c r="P19" s="2">
        <f>--11631.82</f>
        <v>11631.82</v>
      </c>
      <c r="Q19" s="2"/>
      <c r="R19" s="19"/>
      <c r="S19" s="2"/>
      <c r="T19" s="2"/>
      <c r="U19" s="2"/>
      <c r="V19" s="19"/>
      <c r="W19" s="2"/>
      <c r="X19" s="2">
        <f t="shared" si="2"/>
        <v>11631.82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1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--16.2</f>
        <v>16.2</v>
      </c>
      <c r="Q20" s="2"/>
      <c r="R20" s="19"/>
      <c r="S20" s="2"/>
      <c r="T20" s="2"/>
      <c r="U20" s="2"/>
      <c r="V20" s="19"/>
      <c r="W20" s="2"/>
      <c r="X20" s="2">
        <f t="shared" si="2"/>
        <v>16.2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4121</v>
      </c>
      <c r="I21" s="2"/>
      <c r="J21" s="19"/>
      <c r="K21" s="2"/>
      <c r="L21" s="2">
        <f t="shared" si="0"/>
        <v>-4121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32996</v>
      </c>
      <c r="U21" s="2"/>
      <c r="V21" s="19"/>
      <c r="W21" s="2"/>
      <c r="X21" s="2">
        <f t="shared" si="2"/>
        <v>-32996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>--40.39</f>
        <v>40.39</v>
      </c>
      <c r="E22" s="2"/>
      <c r="F22" s="19"/>
      <c r="G22" s="2"/>
      <c r="H22" s="2"/>
      <c r="I22" s="2"/>
      <c r="J22" s="19"/>
      <c r="K22" s="2"/>
      <c r="L22" s="2">
        <f t="shared" si="0"/>
        <v>40.39</v>
      </c>
      <c r="M22" s="2"/>
      <c r="N22" s="19">
        <f t="shared" si="1"/>
        <v>0</v>
      </c>
      <c r="O22" s="11"/>
      <c r="P22" s="2">
        <f>--263.07</f>
        <v>263.07</v>
      </c>
      <c r="Q22" s="2"/>
      <c r="R22" s="19"/>
      <c r="S22" s="2"/>
      <c r="T22" s="2"/>
      <c r="U22" s="2"/>
      <c r="V22" s="19"/>
      <c r="W22" s="2"/>
      <c r="X22" s="2">
        <f t="shared" si="2"/>
        <v>263.07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--347.45</f>
        <v>347.45</v>
      </c>
      <c r="E23" s="2"/>
      <c r="F23" s="19"/>
      <c r="G23" s="2"/>
      <c r="H23" s="2"/>
      <c r="I23" s="2"/>
      <c r="J23" s="19"/>
      <c r="K23" s="2"/>
      <c r="L23" s="2">
        <f t="shared" si="0"/>
        <v>347.45</v>
      </c>
      <c r="M23" s="2"/>
      <c r="N23" s="19">
        <f t="shared" si="1"/>
        <v>0</v>
      </c>
      <c r="O23" s="11"/>
      <c r="P23" s="2">
        <f>--2904.09</f>
        <v>2904.09</v>
      </c>
      <c r="Q23" s="2"/>
      <c r="R23" s="19"/>
      <c r="S23" s="2"/>
      <c r="T23" s="2"/>
      <c r="U23" s="2"/>
      <c r="V23" s="19"/>
      <c r="W23" s="2"/>
      <c r="X23" s="2">
        <f t="shared" si="2"/>
        <v>2904.09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--525.52</f>
        <v>525.52</v>
      </c>
      <c r="E24" s="2"/>
      <c r="F24" s="19"/>
      <c r="G24" s="2"/>
      <c r="H24" s="2"/>
      <c r="I24" s="2"/>
      <c r="J24" s="19"/>
      <c r="K24" s="2"/>
      <c r="L24" s="2">
        <f t="shared" si="0"/>
        <v>525.52</v>
      </c>
      <c r="M24" s="2"/>
      <c r="N24" s="19">
        <f t="shared" si="1"/>
        <v>0</v>
      </c>
      <c r="O24" s="11"/>
      <c r="P24" s="2">
        <f>--4645.96</f>
        <v>4645.96</v>
      </c>
      <c r="Q24" s="2"/>
      <c r="R24" s="19"/>
      <c r="S24" s="2"/>
      <c r="T24" s="2"/>
      <c r="U24" s="2"/>
      <c r="V24" s="19"/>
      <c r="W24" s="2"/>
      <c r="X24" s="2">
        <f t="shared" si="2"/>
        <v>4645.96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--81.76</f>
        <v>81.760000000000005</v>
      </c>
      <c r="E25" s="2"/>
      <c r="F25" s="19"/>
      <c r="G25" s="2"/>
      <c r="H25" s="2"/>
      <c r="I25" s="2"/>
      <c r="J25" s="19"/>
      <c r="K25" s="2"/>
      <c r="L25" s="2">
        <f t="shared" si="0"/>
        <v>81.760000000000005</v>
      </c>
      <c r="M25" s="2"/>
      <c r="N25" s="19">
        <f t="shared" si="1"/>
        <v>0</v>
      </c>
      <c r="O25" s="11"/>
      <c r="P25" s="2">
        <f>--436.41</f>
        <v>436.41</v>
      </c>
      <c r="Q25" s="2"/>
      <c r="R25" s="19"/>
      <c r="S25" s="2"/>
      <c r="T25" s="2"/>
      <c r="U25" s="2"/>
      <c r="V25" s="19"/>
      <c r="W25" s="2"/>
      <c r="X25" s="2">
        <f t="shared" si="2"/>
        <v>436.41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--334.19</f>
        <v>334.19</v>
      </c>
      <c r="E26" s="2"/>
      <c r="F26" s="19"/>
      <c r="G26" s="2"/>
      <c r="H26" s="2"/>
      <c r="I26" s="2"/>
      <c r="J26" s="19"/>
      <c r="K26" s="2"/>
      <c r="L26" s="2">
        <f t="shared" si="0"/>
        <v>334.19</v>
      </c>
      <c r="M26" s="2"/>
      <c r="N26" s="19">
        <f t="shared" si="1"/>
        <v>0</v>
      </c>
      <c r="O26" s="11"/>
      <c r="P26" s="2">
        <f>--1438.86</f>
        <v>1438.86</v>
      </c>
      <c r="Q26" s="2"/>
      <c r="R26" s="19"/>
      <c r="S26" s="2"/>
      <c r="T26" s="2"/>
      <c r="U26" s="2"/>
      <c r="V26" s="19"/>
      <c r="W26" s="2"/>
      <c r="X26" s="2">
        <f t="shared" si="2"/>
        <v>1438.86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--407.92</f>
        <v>407.92</v>
      </c>
      <c r="E27" s="2"/>
      <c r="F27" s="19"/>
      <c r="G27" s="2"/>
      <c r="H27" s="2"/>
      <c r="I27" s="2"/>
      <c r="J27" s="19"/>
      <c r="K27" s="2"/>
      <c r="L27" s="2">
        <f t="shared" si="0"/>
        <v>407.92</v>
      </c>
      <c r="M27" s="2"/>
      <c r="N27" s="19">
        <f t="shared" si="1"/>
        <v>0</v>
      </c>
      <c r="O27" s="11"/>
      <c r="P27" s="2">
        <f>--2119.74</f>
        <v>2119.7399999999998</v>
      </c>
      <c r="Q27" s="2"/>
      <c r="R27" s="19"/>
      <c r="S27" s="2"/>
      <c r="T27" s="2"/>
      <c r="U27" s="2"/>
      <c r="V27" s="19"/>
      <c r="W27" s="2"/>
      <c r="X27" s="2">
        <f t="shared" si="2"/>
        <v>2119.7399999999998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29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>-38.8</f>
        <v>-38.799999999999997</v>
      </c>
      <c r="E30" s="2"/>
      <c r="F30" s="19"/>
      <c r="G30" s="2"/>
      <c r="H30" s="2"/>
      <c r="I30" s="2"/>
      <c r="J30" s="19"/>
      <c r="K30" s="2"/>
      <c r="L30" s="2">
        <f t="shared" si="0"/>
        <v>-38.799999999999997</v>
      </c>
      <c r="M30" s="2"/>
      <c r="N30" s="19">
        <f t="shared" si="1"/>
        <v>0</v>
      </c>
      <c r="O30" s="11"/>
      <c r="P30" s="2">
        <f>-133.12</f>
        <v>-133.12</v>
      </c>
      <c r="Q30" s="2"/>
      <c r="R30" s="19"/>
      <c r="S30" s="2"/>
      <c r="T30" s="2"/>
      <c r="U30" s="2"/>
      <c r="V30" s="19"/>
      <c r="W30" s="2"/>
      <c r="X30" s="2">
        <f t="shared" si="2"/>
        <v>-133.12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-72.88</f>
        <v>-72.88</v>
      </c>
      <c r="E31" s="2"/>
      <c r="F31" s="19"/>
      <c r="G31" s="2"/>
      <c r="H31" s="2"/>
      <c r="I31" s="2"/>
      <c r="J31" s="19"/>
      <c r="K31" s="2"/>
      <c r="L31" s="2">
        <f t="shared" si="0"/>
        <v>-72.88</v>
      </c>
      <c r="M31" s="2"/>
      <c r="N31" s="19">
        <f t="shared" si="1"/>
        <v>0</v>
      </c>
      <c r="O31" s="11"/>
      <c r="P31" s="2">
        <f>-610.23</f>
        <v>-610.23</v>
      </c>
      <c r="Q31" s="2"/>
      <c r="R31" s="19"/>
      <c r="S31" s="2"/>
      <c r="T31" s="2"/>
      <c r="U31" s="2"/>
      <c r="V31" s="19"/>
      <c r="W31" s="2"/>
      <c r="X31" s="2">
        <f t="shared" si="2"/>
        <v>-610.23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-703.56</f>
        <v>-703.56</v>
      </c>
      <c r="E32" s="2"/>
      <c r="F32" s="19"/>
      <c r="G32" s="2"/>
      <c r="H32" s="2"/>
      <c r="I32" s="2"/>
      <c r="J32" s="19"/>
      <c r="K32" s="2"/>
      <c r="L32" s="2">
        <f t="shared" si="0"/>
        <v>-703.56</v>
      </c>
      <c r="M32" s="2"/>
      <c r="N32" s="19">
        <f t="shared" si="1"/>
        <v>0</v>
      </c>
      <c r="O32" s="11"/>
      <c r="P32" s="2">
        <f>-7572.36</f>
        <v>-7572.36</v>
      </c>
      <c r="Q32" s="2"/>
      <c r="R32" s="19"/>
      <c r="S32" s="2"/>
      <c r="T32" s="2"/>
      <c r="U32" s="2"/>
      <c r="V32" s="19"/>
      <c r="W32" s="2"/>
      <c r="X32" s="2">
        <f t="shared" si="2"/>
        <v>-7572.36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>-19.74</f>
        <v>-19.739999999999998</v>
      </c>
      <c r="E33" s="2"/>
      <c r="F33" s="19"/>
      <c r="G33" s="2"/>
      <c r="H33" s="2"/>
      <c r="I33" s="2"/>
      <c r="J33" s="19"/>
      <c r="K33" s="2"/>
      <c r="L33" s="2">
        <f t="shared" si="0"/>
        <v>-19.739999999999998</v>
      </c>
      <c r="M33" s="2"/>
      <c r="N33" s="19">
        <f t="shared" si="1"/>
        <v>0</v>
      </c>
      <c r="O33" s="11"/>
      <c r="P33" s="2">
        <f>-259.98</f>
        <v>-259.98</v>
      </c>
      <c r="Q33" s="2"/>
      <c r="R33" s="19"/>
      <c r="S33" s="2"/>
      <c r="T33" s="2"/>
      <c r="U33" s="2"/>
      <c r="V33" s="19"/>
      <c r="W33" s="2"/>
      <c r="X33" s="2">
        <f t="shared" si="2"/>
        <v>-259.98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8</v>
      </c>
      <c r="C36" s="10"/>
      <c r="D36" s="4">
        <f>SUM(OSRRefD16x_0)</f>
        <v>25693.99</v>
      </c>
      <c r="E36" s="4"/>
      <c r="F36" s="12">
        <f t="shared" ref="F36:F52" si="7">IF(D$12=0,0,D36/D$12)</f>
        <v>0.48019507582128834</v>
      </c>
      <c r="G36" s="4"/>
      <c r="H36" s="4">
        <f>SUM(OSRRefH16x_0)</f>
        <v>26270</v>
      </c>
      <c r="I36" s="4"/>
      <c r="J36" s="12">
        <f t="shared" ref="J36:J52" si="8">IF(H$12=0,0,H36/H$12)</f>
        <v>0.5099980586293924</v>
      </c>
      <c r="K36" s="4"/>
      <c r="L36" s="4">
        <f t="shared" ref="L36:L52" si="9">+D36-H36</f>
        <v>-576.0099999999984</v>
      </c>
      <c r="M36" s="4"/>
      <c r="N36" s="12">
        <f t="shared" ref="N36:N52" si="10">IF(H36=0,0,L36/H36)</f>
        <v>-2.1926532165968723E-2</v>
      </c>
      <c r="O36" s="10"/>
      <c r="P36" s="4">
        <f>SUM(OSRRefP16x_0)</f>
        <v>183676.31</v>
      </c>
      <c r="Q36" s="4"/>
      <c r="R36" s="12">
        <f t="shared" ref="R36:R52" si="11">IF(P$12=0,0,P36/P$12)</f>
        <v>0.47535361799688508</v>
      </c>
      <c r="S36" s="4"/>
      <c r="T36" s="4">
        <f>SUM(OSRRefT16x_0)</f>
        <v>210336</v>
      </c>
      <c r="U36" s="4"/>
      <c r="V36" s="12">
        <f t="shared" ref="V36:V52" si="12">IF(T$12=0,0,T36/T$12)</f>
        <v>0.50999323519927064</v>
      </c>
      <c r="W36" s="4"/>
      <c r="X36" s="4">
        <f t="shared" ref="X36:X52" si="13">+P36-T36</f>
        <v>-26659.690000000002</v>
      </c>
      <c r="Y36" s="4"/>
      <c r="Z36" s="12">
        <f t="shared" ref="Z36:Z52" si="14">IF(T36=0,0,X36/T36)</f>
        <v>-0.12674810778944168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7"/>
        <v>0</v>
      </c>
      <c r="G37" s="2"/>
      <c r="H37" s="2">
        <v>26270</v>
      </c>
      <c r="I37" s="2"/>
      <c r="J37" s="19">
        <f t="shared" si="8"/>
        <v>0.5099980586293924</v>
      </c>
      <c r="K37" s="2"/>
      <c r="L37" s="2">
        <f t="shared" si="9"/>
        <v>-26270</v>
      </c>
      <c r="M37" s="2"/>
      <c r="N37" s="19">
        <f t="shared" si="10"/>
        <v>-1</v>
      </c>
      <c r="O37" s="11"/>
      <c r="P37" s="2"/>
      <c r="Q37" s="2"/>
      <c r="R37" s="19">
        <f t="shared" si="11"/>
        <v>0</v>
      </c>
      <c r="S37" s="2"/>
      <c r="T37" s="2">
        <v>210336</v>
      </c>
      <c r="U37" s="2"/>
      <c r="V37" s="19">
        <f t="shared" si="12"/>
        <v>0.50999323519927064</v>
      </c>
      <c r="W37" s="2"/>
      <c r="X37" s="2">
        <f t="shared" si="13"/>
        <v>-210336</v>
      </c>
      <c r="Y37" s="2"/>
      <c r="Z37" s="19">
        <f t="shared" si="14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/>
      <c r="E38" s="2"/>
      <c r="F38" s="19">
        <f t="shared" si="7"/>
        <v>0</v>
      </c>
      <c r="G38" s="2"/>
      <c r="H38" s="2"/>
      <c r="I38" s="2"/>
      <c r="J38" s="19">
        <f t="shared" si="8"/>
        <v>0</v>
      </c>
      <c r="K38" s="2"/>
      <c r="L38" s="2">
        <f t="shared" si="9"/>
        <v>0</v>
      </c>
      <c r="M38" s="2"/>
      <c r="N38" s="19">
        <f t="shared" si="10"/>
        <v>0</v>
      </c>
      <c r="O38" s="11"/>
      <c r="P38" s="2">
        <v>0</v>
      </c>
      <c r="Q38" s="2"/>
      <c r="R38" s="19">
        <f t="shared" si="11"/>
        <v>0</v>
      </c>
      <c r="S38" s="2"/>
      <c r="T38" s="2"/>
      <c r="U38" s="2"/>
      <c r="V38" s="19">
        <f t="shared" si="12"/>
        <v>0</v>
      </c>
      <c r="W38" s="2"/>
      <c r="X38" s="2">
        <f t="shared" si="13"/>
        <v>0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>
        <v>3240.18</v>
      </c>
      <c r="E39" s="2"/>
      <c r="F39" s="19">
        <f t="shared" si="7"/>
        <v>6.0555736215925277E-2</v>
      </c>
      <c r="G39" s="2"/>
      <c r="H39" s="2"/>
      <c r="I39" s="2"/>
      <c r="J39" s="19">
        <f t="shared" si="8"/>
        <v>0</v>
      </c>
      <c r="K39" s="2"/>
      <c r="L39" s="2">
        <f t="shared" si="9"/>
        <v>3240.18</v>
      </c>
      <c r="M39" s="2"/>
      <c r="N39" s="19">
        <f t="shared" si="10"/>
        <v>0</v>
      </c>
      <c r="O39" s="11"/>
      <c r="P39" s="2">
        <v>25707.15</v>
      </c>
      <c r="Q39" s="2"/>
      <c r="R39" s="19">
        <f t="shared" si="11"/>
        <v>6.6530010107937299E-2</v>
      </c>
      <c r="S39" s="2"/>
      <c r="T39" s="2"/>
      <c r="U39" s="2"/>
      <c r="V39" s="19">
        <f t="shared" si="12"/>
        <v>0</v>
      </c>
      <c r="W39" s="2"/>
      <c r="X39" s="2">
        <f t="shared" si="13"/>
        <v>25707.15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1915.52</v>
      </c>
      <c r="E40" s="2"/>
      <c r="F40" s="19">
        <f t="shared" si="7"/>
        <v>3.5799160489950924E-2</v>
      </c>
      <c r="G40" s="2"/>
      <c r="H40" s="2"/>
      <c r="I40" s="2"/>
      <c r="J40" s="19">
        <f t="shared" si="8"/>
        <v>0</v>
      </c>
      <c r="K40" s="2"/>
      <c r="L40" s="2">
        <f t="shared" si="9"/>
        <v>1915.52</v>
      </c>
      <c r="M40" s="2"/>
      <c r="N40" s="19">
        <f t="shared" si="10"/>
        <v>0</v>
      </c>
      <c r="O40" s="11"/>
      <c r="P40" s="2">
        <v>40305.740000000005</v>
      </c>
      <c r="Q40" s="2"/>
      <c r="R40" s="19">
        <f t="shared" si="11"/>
        <v>0.10431110759488675</v>
      </c>
      <c r="S40" s="2"/>
      <c r="T40" s="2"/>
      <c r="U40" s="2"/>
      <c r="V40" s="19">
        <f t="shared" si="12"/>
        <v>0</v>
      </c>
      <c r="W40" s="2"/>
      <c r="X40" s="2">
        <f t="shared" si="13"/>
        <v>40305.740000000005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-3277.67</v>
      </c>
      <c r="E41" s="2"/>
      <c r="F41" s="19">
        <f t="shared" si="7"/>
        <v>-6.1256386967036343E-2</v>
      </c>
      <c r="G41" s="2"/>
      <c r="H41" s="2"/>
      <c r="I41" s="2"/>
      <c r="J41" s="19">
        <f t="shared" si="8"/>
        <v>0</v>
      </c>
      <c r="K41" s="2"/>
      <c r="L41" s="2">
        <f t="shared" si="9"/>
        <v>-3277.67</v>
      </c>
      <c r="M41" s="2"/>
      <c r="N41" s="19">
        <f t="shared" si="10"/>
        <v>0</v>
      </c>
      <c r="O41" s="11"/>
      <c r="P41" s="2">
        <v>114178.48</v>
      </c>
      <c r="Q41" s="2"/>
      <c r="R41" s="19">
        <f t="shared" si="11"/>
        <v>0.29549348832946926</v>
      </c>
      <c r="S41" s="2"/>
      <c r="T41" s="2"/>
      <c r="U41" s="2"/>
      <c r="V41" s="19">
        <f t="shared" si="12"/>
        <v>0</v>
      </c>
      <c r="W41" s="2"/>
      <c r="X41" s="2">
        <f t="shared" si="13"/>
        <v>114178.48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813.79</v>
      </c>
      <c r="E42" s="2"/>
      <c r="F42" s="19">
        <f t="shared" si="7"/>
        <v>1.520892437307737E-2</v>
      </c>
      <c r="G42" s="2"/>
      <c r="H42" s="2"/>
      <c r="I42" s="2"/>
      <c r="J42" s="19">
        <f t="shared" si="8"/>
        <v>0</v>
      </c>
      <c r="K42" s="2"/>
      <c r="L42" s="2">
        <f t="shared" si="9"/>
        <v>813.79</v>
      </c>
      <c r="M42" s="2"/>
      <c r="N42" s="19">
        <f t="shared" si="10"/>
        <v>0</v>
      </c>
      <c r="O42" s="11"/>
      <c r="P42" s="2">
        <v>5811.23</v>
      </c>
      <c r="Q42" s="2"/>
      <c r="R42" s="19">
        <f t="shared" si="11"/>
        <v>1.5039441970018008E-2</v>
      </c>
      <c r="S42" s="2"/>
      <c r="T42" s="2"/>
      <c r="U42" s="2"/>
      <c r="V42" s="19">
        <f t="shared" si="12"/>
        <v>0</v>
      </c>
      <c r="W42" s="2"/>
      <c r="X42" s="2">
        <f t="shared" si="13"/>
        <v>5811.23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>
        <v>96.65</v>
      </c>
      <c r="E43" s="2"/>
      <c r="F43" s="19">
        <f t="shared" si="7"/>
        <v>1.8062922137872521E-3</v>
      </c>
      <c r="G43" s="2"/>
      <c r="H43" s="2"/>
      <c r="I43" s="2"/>
      <c r="J43" s="19">
        <f t="shared" si="8"/>
        <v>0</v>
      </c>
      <c r="K43" s="2"/>
      <c r="L43" s="2">
        <f t="shared" si="9"/>
        <v>96.65</v>
      </c>
      <c r="M43" s="2"/>
      <c r="N43" s="19">
        <f t="shared" si="10"/>
        <v>0</v>
      </c>
      <c r="O43" s="11"/>
      <c r="P43" s="2">
        <v>489.74</v>
      </c>
      <c r="Q43" s="2"/>
      <c r="R43" s="19">
        <f t="shared" si="11"/>
        <v>1.267445327477422E-3</v>
      </c>
      <c r="S43" s="2"/>
      <c r="T43" s="2"/>
      <c r="U43" s="2"/>
      <c r="V43" s="19">
        <f t="shared" si="12"/>
        <v>0</v>
      </c>
      <c r="W43" s="2"/>
      <c r="X43" s="2">
        <f t="shared" si="13"/>
        <v>489.74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>
        <v>228.5</v>
      </c>
      <c r="E44" s="2"/>
      <c r="F44" s="19">
        <f t="shared" si="7"/>
        <v>4.2704373600660848E-3</v>
      </c>
      <c r="G44" s="2"/>
      <c r="H44" s="2"/>
      <c r="I44" s="2"/>
      <c r="J44" s="19">
        <f t="shared" si="8"/>
        <v>0</v>
      </c>
      <c r="K44" s="2"/>
      <c r="L44" s="2">
        <f t="shared" si="9"/>
        <v>228.5</v>
      </c>
      <c r="M44" s="2"/>
      <c r="N44" s="19">
        <f t="shared" si="10"/>
        <v>0</v>
      </c>
      <c r="O44" s="11"/>
      <c r="P44" s="2">
        <v>639.72</v>
      </c>
      <c r="Q44" s="2"/>
      <c r="R44" s="19">
        <f t="shared" si="11"/>
        <v>1.6555930185279057E-3</v>
      </c>
      <c r="S44" s="2"/>
      <c r="T44" s="2"/>
      <c r="U44" s="2"/>
      <c r="V44" s="19">
        <f t="shared" si="12"/>
        <v>0</v>
      </c>
      <c r="W44" s="2"/>
      <c r="X44" s="2">
        <f t="shared" si="13"/>
        <v>639.72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36.25</v>
      </c>
      <c r="Q45" s="2"/>
      <c r="R45" s="19">
        <f t="shared" si="11"/>
        <v>9.3814867319509432E-5</v>
      </c>
      <c r="S45" s="2"/>
      <c r="T45" s="2"/>
      <c r="U45" s="2"/>
      <c r="V45" s="19">
        <f t="shared" si="12"/>
        <v>0</v>
      </c>
      <c r="W45" s="2"/>
      <c r="X45" s="2">
        <f t="shared" si="13"/>
        <v>36.25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-3780</v>
      </c>
      <c r="E46" s="2"/>
      <c r="F46" s="19">
        <f t="shared" si="7"/>
        <v>-7.0644434227789057E-2</v>
      </c>
      <c r="G46" s="2"/>
      <c r="H46" s="2"/>
      <c r="I46" s="2"/>
      <c r="J46" s="19">
        <f t="shared" si="8"/>
        <v>0</v>
      </c>
      <c r="K46" s="2"/>
      <c r="L46" s="2">
        <f t="shared" si="9"/>
        <v>-3780</v>
      </c>
      <c r="M46" s="2"/>
      <c r="N46" s="19">
        <f t="shared" si="10"/>
        <v>0</v>
      </c>
      <c r="O46" s="11"/>
      <c r="P46" s="2">
        <v>-189829</v>
      </c>
      <c r="Q46" s="2"/>
      <c r="R46" s="19">
        <f t="shared" si="11"/>
        <v>-0.49127675719710778</v>
      </c>
      <c r="S46" s="2"/>
      <c r="T46" s="2"/>
      <c r="U46" s="2"/>
      <c r="V46" s="19">
        <f t="shared" si="12"/>
        <v>0</v>
      </c>
      <c r="W46" s="2"/>
      <c r="X46" s="2">
        <f t="shared" si="13"/>
        <v>-189829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25696</v>
      </c>
      <c r="E47" s="2"/>
      <c r="F47" s="19">
        <f t="shared" si="7"/>
        <v>0.48023264071885391</v>
      </c>
      <c r="G47" s="2"/>
      <c r="H47" s="2"/>
      <c r="I47" s="2"/>
      <c r="J47" s="19">
        <f t="shared" si="8"/>
        <v>0</v>
      </c>
      <c r="K47" s="2"/>
      <c r="L47" s="2">
        <f t="shared" si="9"/>
        <v>25696</v>
      </c>
      <c r="M47" s="2"/>
      <c r="N47" s="19">
        <f t="shared" si="10"/>
        <v>0</v>
      </c>
      <c r="O47" s="11"/>
      <c r="P47" s="2">
        <v>183672</v>
      </c>
      <c r="Q47" s="2"/>
      <c r="R47" s="19">
        <f t="shared" si="11"/>
        <v>0.47534246373266031</v>
      </c>
      <c r="S47" s="2"/>
      <c r="T47" s="2"/>
      <c r="U47" s="2"/>
      <c r="V47" s="19">
        <f t="shared" si="12"/>
        <v>0</v>
      </c>
      <c r="W47" s="2"/>
      <c r="X47" s="2">
        <f t="shared" si="13"/>
        <v>183672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6</v>
      </c>
      <c r="Q48" s="2"/>
      <c r="R48" s="19">
        <f t="shared" si="11"/>
        <v>1.5527978039091215E-5</v>
      </c>
      <c r="S48" s="2"/>
      <c r="T48" s="2"/>
      <c r="U48" s="2"/>
      <c r="V48" s="19">
        <f t="shared" si="12"/>
        <v>0</v>
      </c>
      <c r="W48" s="2"/>
      <c r="X48" s="2">
        <f t="shared" si="13"/>
        <v>6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>
        <v>532.61</v>
      </c>
      <c r="E49" s="2"/>
      <c r="F49" s="19">
        <f t="shared" si="7"/>
        <v>9.9539502947255908E-3</v>
      </c>
      <c r="G49" s="2"/>
      <c r="H49" s="2"/>
      <c r="I49" s="2"/>
      <c r="J49" s="19">
        <f t="shared" si="8"/>
        <v>0</v>
      </c>
      <c r="K49" s="2"/>
      <c r="L49" s="2">
        <f t="shared" si="9"/>
        <v>532.61</v>
      </c>
      <c r="M49" s="2"/>
      <c r="N49" s="19">
        <f t="shared" si="10"/>
        <v>0</v>
      </c>
      <c r="O49" s="11"/>
      <c r="P49" s="2">
        <v>1155.02</v>
      </c>
      <c r="Q49" s="2"/>
      <c r="R49" s="19">
        <f t="shared" si="11"/>
        <v>2.989187532451856E-3</v>
      </c>
      <c r="S49" s="2"/>
      <c r="T49" s="2"/>
      <c r="U49" s="2"/>
      <c r="V49" s="19">
        <f t="shared" si="12"/>
        <v>0</v>
      </c>
      <c r="W49" s="2"/>
      <c r="X49" s="2">
        <f t="shared" si="13"/>
        <v>1155.02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/>
      <c r="E50" s="2"/>
      <c r="F50" s="19">
        <f t="shared" si="7"/>
        <v>0</v>
      </c>
      <c r="G50" s="2"/>
      <c r="H50" s="2"/>
      <c r="I50" s="2"/>
      <c r="J50" s="19">
        <f t="shared" si="8"/>
        <v>0</v>
      </c>
      <c r="K50" s="2"/>
      <c r="L50" s="2">
        <f t="shared" si="9"/>
        <v>0</v>
      </c>
      <c r="M50" s="2"/>
      <c r="N50" s="19">
        <f t="shared" si="10"/>
        <v>0</v>
      </c>
      <c r="O50" s="11"/>
      <c r="P50" s="2">
        <v>260.35000000000002</v>
      </c>
      <c r="Q50" s="2"/>
      <c r="R50" s="19">
        <f t="shared" si="11"/>
        <v>6.737848470795664E-4</v>
      </c>
      <c r="S50" s="2"/>
      <c r="T50" s="2"/>
      <c r="U50" s="2"/>
      <c r="V50" s="19">
        <f t="shared" si="12"/>
        <v>0</v>
      </c>
      <c r="W50" s="2"/>
      <c r="X50" s="2">
        <f t="shared" si="13"/>
        <v>260.35000000000002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>
        <v>228.41</v>
      </c>
      <c r="E51" s="2"/>
      <c r="F51" s="19">
        <f t="shared" si="7"/>
        <v>4.2687553497273278E-3</v>
      </c>
      <c r="G51" s="2"/>
      <c r="H51" s="2"/>
      <c r="I51" s="2"/>
      <c r="J51" s="19">
        <f t="shared" si="8"/>
        <v>0</v>
      </c>
      <c r="K51" s="2"/>
      <c r="L51" s="2">
        <f t="shared" si="9"/>
        <v>228.41</v>
      </c>
      <c r="M51" s="2"/>
      <c r="N51" s="19">
        <f t="shared" si="10"/>
        <v>0</v>
      </c>
      <c r="O51" s="11"/>
      <c r="P51" s="2">
        <v>1186.72</v>
      </c>
      <c r="Q51" s="2"/>
      <c r="R51" s="19">
        <f t="shared" si="11"/>
        <v>3.0712270164250551E-3</v>
      </c>
      <c r="S51" s="2"/>
      <c r="T51" s="2"/>
      <c r="U51" s="2"/>
      <c r="V51" s="19">
        <f t="shared" si="12"/>
        <v>0</v>
      </c>
      <c r="W51" s="2"/>
      <c r="X51" s="2">
        <f t="shared" si="13"/>
        <v>1186.72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56.91</v>
      </c>
      <c r="Q52" s="2"/>
      <c r="R52" s="19">
        <f t="shared" si="11"/>
        <v>1.4728287170078018E-4</v>
      </c>
      <c r="S52" s="2"/>
      <c r="T52" s="2"/>
      <c r="U52" s="2"/>
      <c r="V52" s="19">
        <f t="shared" si="12"/>
        <v>0</v>
      </c>
      <c r="W52" s="2"/>
      <c r="X52" s="2">
        <f t="shared" si="13"/>
        <v>56.91</v>
      </c>
      <c r="Y52" s="2"/>
      <c r="Z52" s="19">
        <f t="shared" si="14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1">
        <f>D12-D36</f>
        <v>27813.409999999993</v>
      </c>
      <c r="E54" s="14"/>
      <c r="F54" s="22">
        <f>IF(D$12=0,0,D54/D$12)</f>
        <v>0.5198049241787116</v>
      </c>
      <c r="G54" s="14"/>
      <c r="H54" s="21">
        <f>H12-H36</f>
        <v>25240</v>
      </c>
      <c r="I54" s="14"/>
      <c r="J54" s="22">
        <f>IF(H$12=0,0,H54/H$12)</f>
        <v>0.49000194137060765</v>
      </c>
      <c r="K54" s="15"/>
      <c r="L54" s="21">
        <f>+D54-H54</f>
        <v>2573.4099999999926</v>
      </c>
      <c r="M54" s="15"/>
      <c r="N54" s="22">
        <f>IF(H54=0,0,L54/H54)</f>
        <v>0.10195760697305835</v>
      </c>
      <c r="O54" s="29"/>
      <c r="P54" s="21">
        <f>P12-P36</f>
        <v>202723.00000000006</v>
      </c>
      <c r="Q54" s="14"/>
      <c r="R54" s="22">
        <f>IF(P$12=0,0,P54/P$12)</f>
        <v>0.52464638200311497</v>
      </c>
      <c r="S54" s="14"/>
      <c r="T54" s="21">
        <f>T12-T36</f>
        <v>202093</v>
      </c>
      <c r="U54" s="14"/>
      <c r="V54" s="22">
        <f>IF(T$12=0,0,T54/T$12)</f>
        <v>0.49000676480072936</v>
      </c>
      <c r="W54" s="15"/>
      <c r="X54" s="21">
        <f>+P54-T54</f>
        <v>630.00000000005821</v>
      </c>
      <c r="Y54" s="15"/>
      <c r="Z54" s="22">
        <f>IF(T54=0,0,X54/T54)</f>
        <v>3.1173766533232629E-3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0">
        <f>SUM(OSRRefD22x_0)</f>
        <v>12318.16</v>
      </c>
      <c r="E56" s="20"/>
      <c r="F56" s="34">
        <f t="shared" ref="F56:F66" si="15">IF(D$12=0,0,D56/D$12)</f>
        <v>0.23021413860512754</v>
      </c>
      <c r="G56" s="20"/>
      <c r="H56" s="20">
        <f>SUM(OSRRefH22x_0)</f>
        <v>10303.70234354461</v>
      </c>
      <c r="I56" s="20"/>
      <c r="J56" s="34">
        <f t="shared" ref="J56:J66" si="16">IF(H$12=0,0,H56/H$12)</f>
        <v>0.20003304879721626</v>
      </c>
      <c r="K56" s="4"/>
      <c r="L56" s="20">
        <f t="shared" ref="L56:L66" si="17">+D56-H56</f>
        <v>2014.45765645539</v>
      </c>
      <c r="M56" s="4"/>
      <c r="N56" s="34">
        <f t="shared" ref="N56:N66" si="18">IF(H56=0,0,L56/H56)</f>
        <v>0.19550813768581651</v>
      </c>
      <c r="O56" s="10"/>
      <c r="P56" s="20">
        <f>SUM(OSRRefP22x_0)</f>
        <v>85342.819999999992</v>
      </c>
      <c r="Q56" s="20"/>
      <c r="R56" s="34">
        <f t="shared" ref="R56:R66" si="19">IF(P$12=0,0,P56/P$12)</f>
        <v>0.22086690579235244</v>
      </c>
      <c r="S56" s="20"/>
      <c r="T56" s="20">
        <f>SUM(OSRRefT22x_0)</f>
        <v>81197.440053515355</v>
      </c>
      <c r="U56" s="20"/>
      <c r="V56" s="34">
        <f t="shared" ref="V56:V66" si="20">IF(T$12=0,0,T56/T$12)</f>
        <v>0.19687616548185349</v>
      </c>
      <c r="W56" s="4"/>
      <c r="X56" s="20">
        <f t="shared" ref="X56:X66" si="21">+P56-T56</f>
        <v>4145.3799464846379</v>
      </c>
      <c r="Y56" s="4"/>
      <c r="Z56" s="34">
        <f t="shared" ref="Z56:Z66" si="22">IF(T56=0,0,X56/T56)</f>
        <v>5.1053086695251895E-2</v>
      </c>
    </row>
    <row r="57" spans="1:26" s="27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2327.15</v>
      </c>
      <c r="E57" s="1"/>
      <c r="F57" s="5">
        <f t="shared" si="15"/>
        <v>4.3492115109311988E-2</v>
      </c>
      <c r="G57" s="1"/>
      <c r="H57" s="1">
        <f>SUM(OSRRefH22_0x_0)</f>
        <v>1557.7397496984606</v>
      </c>
      <c r="I57" s="1"/>
      <c r="J57" s="5">
        <f t="shared" si="16"/>
        <v>3.0241501644311018E-2</v>
      </c>
      <c r="K57" s="1"/>
      <c r="L57" s="1">
        <f t="shared" si="17"/>
        <v>769.41025030153946</v>
      </c>
      <c r="M57" s="1"/>
      <c r="N57" s="5">
        <f t="shared" si="18"/>
        <v>0.49392733956392781</v>
      </c>
      <c r="O57" s="13"/>
      <c r="P57" s="1">
        <f>SUM(OSRRefP22_0x_0)</f>
        <v>15433.23</v>
      </c>
      <c r="Q57" s="1"/>
      <c r="R57" s="5">
        <f t="shared" si="19"/>
        <v>3.9941142752040623E-2</v>
      </c>
      <c r="S57" s="1"/>
      <c r="T57" s="1">
        <f>SUM(OSRRefT22_0x_0)</f>
        <v>13535.323607361535</v>
      </c>
      <c r="U57" s="1"/>
      <c r="V57" s="5">
        <f t="shared" si="20"/>
        <v>3.2818554484193727E-2</v>
      </c>
      <c r="W57" s="1"/>
      <c r="X57" s="1">
        <f t="shared" si="21"/>
        <v>1897.9063926384642</v>
      </c>
      <c r="Y57" s="1"/>
      <c r="Z57" s="5">
        <f t="shared" si="22"/>
        <v>0.14021876740399755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266.58</v>
      </c>
      <c r="E58" s="2"/>
      <c r="F58" s="7">
        <f t="shared" si="15"/>
        <v>4.9821146233978856E-3</v>
      </c>
      <c r="G58" s="2"/>
      <c r="H58" s="6">
        <v>174.43080234461499</v>
      </c>
      <c r="I58" s="2"/>
      <c r="J58" s="7">
        <f t="shared" si="16"/>
        <v>3.3863483274046784E-3</v>
      </c>
      <c r="K58" s="2"/>
      <c r="L58" s="6">
        <f t="shared" si="17"/>
        <v>92.149197655384995</v>
      </c>
      <c r="M58" s="2"/>
      <c r="N58" s="7">
        <f t="shared" si="18"/>
        <v>0.5282851217603759</v>
      </c>
      <c r="O58" s="11"/>
      <c r="P58" s="6">
        <v>2203.21</v>
      </c>
      <c r="Q58" s="2"/>
      <c r="R58" s="7">
        <f t="shared" si="19"/>
        <v>5.7018994159176934E-3</v>
      </c>
      <c r="S58" s="2"/>
      <c r="T58" s="6">
        <v>2270.715095515382</v>
      </c>
      <c r="U58" s="2"/>
      <c r="V58" s="7">
        <f t="shared" si="20"/>
        <v>5.5057115176560863E-3</v>
      </c>
      <c r="W58" s="2"/>
      <c r="X58" s="6">
        <f t="shared" si="21"/>
        <v>-67.505095515381981</v>
      </c>
      <c r="Y58" s="2"/>
      <c r="Z58" s="7">
        <f t="shared" si="22"/>
        <v>-2.972856244656286E-2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171.81</v>
      </c>
      <c r="E59" s="2"/>
      <c r="F59" s="7">
        <f t="shared" si="15"/>
        <v>3.2109577366868885E-3</v>
      </c>
      <c r="G59" s="2"/>
      <c r="H59" s="6">
        <v>142.46774530769201</v>
      </c>
      <c r="I59" s="2"/>
      <c r="J59" s="7">
        <f t="shared" si="16"/>
        <v>2.7658269327837702E-3</v>
      </c>
      <c r="K59" s="2"/>
      <c r="L59" s="6">
        <f t="shared" si="17"/>
        <v>29.342254692307989</v>
      </c>
      <c r="M59" s="2"/>
      <c r="N59" s="7">
        <f t="shared" si="18"/>
        <v>0.20595717738732097</v>
      </c>
      <c r="O59" s="11"/>
      <c r="P59" s="6">
        <v>1009.82</v>
      </c>
      <c r="Q59" s="2"/>
      <c r="R59" s="7">
        <f t="shared" si="19"/>
        <v>2.6134104639058487E-3</v>
      </c>
      <c r="S59" s="2"/>
      <c r="T59" s="6">
        <v>1098.5342026923049</v>
      </c>
      <c r="U59" s="2"/>
      <c r="V59" s="7">
        <f t="shared" si="20"/>
        <v>2.6635716758334283E-3</v>
      </c>
      <c r="W59" s="2"/>
      <c r="X59" s="6">
        <f t="shared" si="21"/>
        <v>-88.714202692304866</v>
      </c>
      <c r="Y59" s="2"/>
      <c r="Z59" s="7">
        <f t="shared" si="22"/>
        <v>-8.0756887200127858E-2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1216.43</v>
      </c>
      <c r="E60" s="2"/>
      <c r="F60" s="7">
        <f t="shared" si="15"/>
        <v>2.2733864848600384E-2</v>
      </c>
      <c r="G60" s="2"/>
      <c r="H60" s="6">
        <v>790.8</v>
      </c>
      <c r="I60" s="2"/>
      <c r="J60" s="7">
        <f t="shared" si="16"/>
        <v>1.5352358765288293E-2</v>
      </c>
      <c r="K60" s="2"/>
      <c r="L60" s="6">
        <f t="shared" si="17"/>
        <v>425.63000000000011</v>
      </c>
      <c r="M60" s="2"/>
      <c r="N60" s="7">
        <f t="shared" si="18"/>
        <v>0.53822711178553384</v>
      </c>
      <c r="O60" s="11"/>
      <c r="P60" s="6">
        <v>7451.62</v>
      </c>
      <c r="Q60" s="2"/>
      <c r="R60" s="7">
        <f t="shared" si="19"/>
        <v>1.9284765285942147E-2</v>
      </c>
      <c r="S60" s="2"/>
      <c r="T60" s="6">
        <v>6326.4</v>
      </c>
      <c r="U60" s="2"/>
      <c r="V60" s="7">
        <f t="shared" si="20"/>
        <v>1.5339367503255106E-2</v>
      </c>
      <c r="W60" s="2"/>
      <c r="X60" s="6">
        <f t="shared" si="21"/>
        <v>1125.2200000000003</v>
      </c>
      <c r="Y60" s="2"/>
      <c r="Z60" s="7">
        <f t="shared" si="22"/>
        <v>0.17786102680829544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23.51</v>
      </c>
      <c r="E61" s="2"/>
      <c r="F61" s="7">
        <f t="shared" si="15"/>
        <v>4.3937847849082566E-4</v>
      </c>
      <c r="G61" s="2"/>
      <c r="H61" s="6">
        <v>19.495586200000002</v>
      </c>
      <c r="I61" s="2"/>
      <c r="J61" s="7">
        <f t="shared" si="16"/>
        <v>3.7848158027567464E-4</v>
      </c>
      <c r="K61" s="2"/>
      <c r="L61" s="6">
        <f t="shared" si="17"/>
        <v>4.0144137999999998</v>
      </c>
      <c r="M61" s="2"/>
      <c r="N61" s="7">
        <f t="shared" si="18"/>
        <v>0.20591398272497186</v>
      </c>
      <c r="O61" s="11"/>
      <c r="P61" s="6">
        <v>157.76</v>
      </c>
      <c r="Q61" s="2"/>
      <c r="R61" s="7">
        <f t="shared" si="19"/>
        <v>4.0828230257450505E-4</v>
      </c>
      <c r="S61" s="2"/>
      <c r="T61" s="6">
        <v>150.32573300000001</v>
      </c>
      <c r="U61" s="2"/>
      <c r="V61" s="7">
        <f t="shared" si="20"/>
        <v>3.6448875564036478E-4</v>
      </c>
      <c r="W61" s="2"/>
      <c r="X61" s="6">
        <f t="shared" si="21"/>
        <v>7.4342669999999771</v>
      </c>
      <c r="Y61" s="2"/>
      <c r="Z61" s="7">
        <f t="shared" si="22"/>
        <v>4.9454387160713043E-2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243.41</v>
      </c>
      <c r="E62" s="2"/>
      <c r="F62" s="7">
        <f t="shared" si="15"/>
        <v>4.5490904061868086E-3</v>
      </c>
      <c r="G62" s="2"/>
      <c r="H62" s="6">
        <v>196.01527507692302</v>
      </c>
      <c r="I62" s="2"/>
      <c r="J62" s="7">
        <f t="shared" si="16"/>
        <v>3.8053829368457194E-3</v>
      </c>
      <c r="K62" s="2"/>
      <c r="L62" s="6">
        <f t="shared" si="17"/>
        <v>47.394724923076978</v>
      </c>
      <c r="M62" s="2"/>
      <c r="N62" s="7">
        <f t="shared" si="18"/>
        <v>0.24179097728214133</v>
      </c>
      <c r="O62" s="11"/>
      <c r="P62" s="6">
        <v>1630.46</v>
      </c>
      <c r="Q62" s="2"/>
      <c r="R62" s="7">
        <f t="shared" si="19"/>
        <v>4.2196245122694447E-3</v>
      </c>
      <c r="S62" s="2"/>
      <c r="T62" s="6">
        <v>1715.1336569230771</v>
      </c>
      <c r="U62" s="2"/>
      <c r="V62" s="7">
        <f t="shared" si="20"/>
        <v>4.1586155603099617E-3</v>
      </c>
      <c r="W62" s="2"/>
      <c r="X62" s="6">
        <f t="shared" si="21"/>
        <v>-84.673656923077033</v>
      </c>
      <c r="Y62" s="2"/>
      <c r="Z62" s="7">
        <f t="shared" si="22"/>
        <v>-4.936854721571976E-2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5"/>
        <v>0</v>
      </c>
      <c r="G63" s="2"/>
      <c r="H63" s="6">
        <v>0</v>
      </c>
      <c r="I63" s="2"/>
      <c r="J63" s="7">
        <f t="shared" si="16"/>
        <v>0</v>
      </c>
      <c r="K63" s="2"/>
      <c r="L63" s="6">
        <f t="shared" si="17"/>
        <v>0</v>
      </c>
      <c r="M63" s="2"/>
      <c r="N63" s="7">
        <f t="shared" si="18"/>
        <v>0</v>
      </c>
      <c r="O63" s="11"/>
      <c r="P63" s="6"/>
      <c r="Q63" s="2"/>
      <c r="R63" s="7">
        <f t="shared" si="19"/>
        <v>0</v>
      </c>
      <c r="S63" s="2"/>
      <c r="T63" s="6">
        <v>0</v>
      </c>
      <c r="U63" s="2"/>
      <c r="V63" s="7">
        <f t="shared" si="20"/>
        <v>0</v>
      </c>
      <c r="W63" s="2"/>
      <c r="X63" s="6">
        <f t="shared" si="21"/>
        <v>0</v>
      </c>
      <c r="Y63" s="2"/>
      <c r="Z63" s="7">
        <f t="shared" si="22"/>
        <v>0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135.97999999999999</v>
      </c>
      <c r="E64" s="2"/>
      <c r="F64" s="7">
        <f t="shared" si="15"/>
        <v>2.5413307318240094E-3</v>
      </c>
      <c r="G64" s="2"/>
      <c r="H64" s="6">
        <v>113.962369230769</v>
      </c>
      <c r="I64" s="2"/>
      <c r="J64" s="7">
        <f t="shared" si="16"/>
        <v>2.2124319400265774E-3</v>
      </c>
      <c r="K64" s="2"/>
      <c r="L64" s="6">
        <f t="shared" si="17"/>
        <v>22.01763076923099</v>
      </c>
      <c r="M64" s="2"/>
      <c r="N64" s="7">
        <f t="shared" si="18"/>
        <v>0.19320088655445741</v>
      </c>
      <c r="O64" s="11"/>
      <c r="P64" s="6">
        <v>1269.82</v>
      </c>
      <c r="Q64" s="2"/>
      <c r="R64" s="7">
        <f t="shared" si="19"/>
        <v>3.2862895122664679E-3</v>
      </c>
      <c r="S64" s="2"/>
      <c r="T64" s="6">
        <v>997.170730769231</v>
      </c>
      <c r="U64" s="2"/>
      <c r="V64" s="7">
        <f t="shared" si="20"/>
        <v>2.417799744366257E-3</v>
      </c>
      <c r="W64" s="2"/>
      <c r="X64" s="6">
        <f t="shared" si="21"/>
        <v>272.64926923076894</v>
      </c>
      <c r="Y64" s="2"/>
      <c r="Z64" s="7">
        <f t="shared" si="22"/>
        <v>0.27342285610453448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160.74</v>
      </c>
      <c r="E65" s="2"/>
      <c r="F65" s="7">
        <f t="shared" si="15"/>
        <v>3.0040704650197919E-3</v>
      </c>
      <c r="G65" s="2"/>
      <c r="H65" s="6">
        <v>120.567971538462</v>
      </c>
      <c r="I65" s="2"/>
      <c r="J65" s="7">
        <f t="shared" si="16"/>
        <v>2.3406711616863135E-3</v>
      </c>
      <c r="K65" s="2"/>
      <c r="L65" s="6">
        <f t="shared" si="17"/>
        <v>40.172028461538005</v>
      </c>
      <c r="M65" s="2"/>
      <c r="N65" s="7">
        <f t="shared" si="18"/>
        <v>0.33318988408727485</v>
      </c>
      <c r="O65" s="11"/>
      <c r="P65" s="6">
        <v>1426.85</v>
      </c>
      <c r="Q65" s="2"/>
      <c r="R65" s="7">
        <f t="shared" si="19"/>
        <v>3.6926825775128835E-3</v>
      </c>
      <c r="S65" s="2"/>
      <c r="T65" s="6">
        <v>977.04418846154101</v>
      </c>
      <c r="U65" s="2"/>
      <c r="V65" s="7">
        <f t="shared" si="20"/>
        <v>2.368999727132527E-3</v>
      </c>
      <c r="W65" s="2"/>
      <c r="X65" s="6">
        <f t="shared" si="21"/>
        <v>449.8058115384589</v>
      </c>
      <c r="Y65" s="2"/>
      <c r="Z65" s="7">
        <f t="shared" si="22"/>
        <v>0.46037407197183733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108.69</v>
      </c>
      <c r="E66" s="2"/>
      <c r="F66" s="7">
        <f t="shared" si="15"/>
        <v>2.031307819105395E-3</v>
      </c>
      <c r="G66" s="2"/>
      <c r="H66" s="6"/>
      <c r="I66" s="2"/>
      <c r="J66" s="7">
        <f t="shared" si="16"/>
        <v>0</v>
      </c>
      <c r="K66" s="2"/>
      <c r="L66" s="6">
        <f t="shared" si="17"/>
        <v>108.69</v>
      </c>
      <c r="M66" s="2"/>
      <c r="N66" s="7">
        <f t="shared" si="18"/>
        <v>0</v>
      </c>
      <c r="O66" s="11"/>
      <c r="P66" s="6">
        <v>283.69</v>
      </c>
      <c r="Q66" s="2"/>
      <c r="R66" s="7">
        <f t="shared" si="19"/>
        <v>7.3418868165163118E-4</v>
      </c>
      <c r="S66" s="2"/>
      <c r="T66" s="6"/>
      <c r="U66" s="2"/>
      <c r="V66" s="7">
        <f t="shared" si="20"/>
        <v>0</v>
      </c>
      <c r="W66" s="2"/>
      <c r="X66" s="6">
        <f t="shared" si="21"/>
        <v>283.69</v>
      </c>
      <c r="Y66" s="2"/>
      <c r="Z66" s="7">
        <f t="shared" si="22"/>
        <v>0</v>
      </c>
    </row>
    <row r="67" spans="1:26" s="27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8632.2200000000012</v>
      </c>
      <c r="E67" s="1"/>
      <c r="F67" s="5">
        <f t="shared" ref="F67:F77" si="23">IF(D$12=0,0,D67/D$12)</f>
        <v>0.16132759207137709</v>
      </c>
      <c r="G67" s="1"/>
      <c r="H67" s="1">
        <f>SUM(OSRRefH22_1x_0)</f>
        <v>7315.9625938461504</v>
      </c>
      <c r="I67" s="1"/>
      <c r="J67" s="5">
        <f t="shared" ref="J67:J77" si="24">IF(H$12=0,0,H67/H$12)</f>
        <v>0.14202994746352457</v>
      </c>
      <c r="K67" s="1"/>
      <c r="L67" s="1">
        <f t="shared" ref="L67:L77" si="25">+D67-H67</f>
        <v>1316.2574061538508</v>
      </c>
      <c r="M67" s="1"/>
      <c r="N67" s="5">
        <f t="shared" ref="N67:N77" si="26">IF(H67=0,0,L67/H67)</f>
        <v>0.17991581958893907</v>
      </c>
      <c r="O67" s="13"/>
      <c r="P67" s="1">
        <f>SUM(OSRRefP22_1x_0)</f>
        <v>59821.650000000009</v>
      </c>
      <c r="Q67" s="1"/>
      <c r="R67" s="5">
        <f t="shared" ref="R67:R77" si="27">IF(P$12=0,0,P67/P$12)</f>
        <v>0.15481821124370021</v>
      </c>
      <c r="S67" s="1"/>
      <c r="T67" s="1">
        <f>SUM(OSRRefT22_1x_0)</f>
        <v>56222.116446153821</v>
      </c>
      <c r="U67" s="1"/>
      <c r="V67" s="5">
        <f t="shared" ref="V67:V77" si="28">IF(T$12=0,0,T67/T$12)</f>
        <v>0.13631950334761575</v>
      </c>
      <c r="W67" s="1"/>
      <c r="X67" s="1">
        <f t="shared" ref="X67:X77" si="29">+P67-T67</f>
        <v>3599.5335538461877</v>
      </c>
      <c r="Y67" s="1"/>
      <c r="Z67" s="5">
        <f t="shared" ref="Z67:Z77" si="30">IF(T67=0,0,X67/T67)</f>
        <v>6.402344453349787E-2</v>
      </c>
    </row>
    <row r="68" spans="1:26" s="24" customFormat="1" hidden="1" outlineLevel="2" x14ac:dyDescent="0.25">
      <c r="A68" s="25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3"/>
        <v>0</v>
      </c>
      <c r="G68" s="2"/>
      <c r="H68" s="6">
        <v>2096.9075938461501</v>
      </c>
      <c r="I68" s="2"/>
      <c r="J68" s="7">
        <f t="shared" si="24"/>
        <v>4.0708747696489037E-2</v>
      </c>
      <c r="K68" s="2"/>
      <c r="L68" s="6">
        <f t="shared" si="25"/>
        <v>-2096.9075938461501</v>
      </c>
      <c r="M68" s="2"/>
      <c r="N68" s="7">
        <f t="shared" si="26"/>
        <v>-1</v>
      </c>
      <c r="O68" s="11"/>
      <c r="P68" s="6"/>
      <c r="Q68" s="2"/>
      <c r="R68" s="7">
        <f t="shared" si="27"/>
        <v>0</v>
      </c>
      <c r="S68" s="2"/>
      <c r="T68" s="6">
        <v>18347.941446153822</v>
      </c>
      <c r="U68" s="2"/>
      <c r="V68" s="7">
        <f t="shared" si="28"/>
        <v>4.4487515296339056E-2</v>
      </c>
      <c r="W68" s="2"/>
      <c r="X68" s="6">
        <f t="shared" si="29"/>
        <v>-18347.941446153822</v>
      </c>
      <c r="Y68" s="2"/>
      <c r="Z68" s="7">
        <f t="shared" si="30"/>
        <v>-1</v>
      </c>
    </row>
    <row r="69" spans="1:26" s="24" customFormat="1" hidden="1" outlineLevel="2" x14ac:dyDescent="0.25">
      <c r="A69" s="25"/>
      <c r="B69" s="11" t="str">
        <f>CONCATENATE("          ", "6002", " - ", "STAFF SALARIES")</f>
        <v xml:space="preserve">          6002 - STAFF SALARIES</v>
      </c>
      <c r="C69" s="11"/>
      <c r="D69" s="6">
        <v>3380.8</v>
      </c>
      <c r="E69" s="2"/>
      <c r="F69" s="7">
        <f t="shared" si="23"/>
        <v>6.3183783925214093E-2</v>
      </c>
      <c r="G69" s="2"/>
      <c r="H69" s="6">
        <v>0</v>
      </c>
      <c r="I69" s="2"/>
      <c r="J69" s="7">
        <f t="shared" si="24"/>
        <v>0</v>
      </c>
      <c r="K69" s="2"/>
      <c r="L69" s="6">
        <f t="shared" si="25"/>
        <v>3380.8</v>
      </c>
      <c r="M69" s="2"/>
      <c r="N69" s="7">
        <f t="shared" si="26"/>
        <v>0</v>
      </c>
      <c r="O69" s="11"/>
      <c r="P69" s="6">
        <v>21858.31</v>
      </c>
      <c r="Q69" s="2"/>
      <c r="R69" s="7">
        <f t="shared" si="27"/>
        <v>5.6569226275274657E-2</v>
      </c>
      <c r="S69" s="2"/>
      <c r="T69" s="6">
        <v>0</v>
      </c>
      <c r="U69" s="2"/>
      <c r="V69" s="7">
        <f t="shared" si="28"/>
        <v>0</v>
      </c>
      <c r="W69" s="2"/>
      <c r="X69" s="6">
        <f t="shared" si="29"/>
        <v>21858.31</v>
      </c>
      <c r="Y69" s="2"/>
      <c r="Z69" s="7">
        <f t="shared" si="30"/>
        <v>0</v>
      </c>
    </row>
    <row r="70" spans="1:26" s="24" customFormat="1" hidden="1" outlineLevel="2" x14ac:dyDescent="0.25">
      <c r="A70" s="25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3"/>
        <v>0</v>
      </c>
      <c r="G70" s="2"/>
      <c r="H70" s="6">
        <v>0</v>
      </c>
      <c r="I70" s="2"/>
      <c r="J70" s="7">
        <f t="shared" si="24"/>
        <v>0</v>
      </c>
      <c r="K70" s="2"/>
      <c r="L70" s="6">
        <f t="shared" si="25"/>
        <v>0</v>
      </c>
      <c r="M70" s="2"/>
      <c r="N70" s="7">
        <f t="shared" si="26"/>
        <v>0</v>
      </c>
      <c r="O70" s="11"/>
      <c r="P70" s="6"/>
      <c r="Q70" s="2"/>
      <c r="R70" s="7">
        <f t="shared" si="27"/>
        <v>0</v>
      </c>
      <c r="S70" s="2"/>
      <c r="T70" s="6">
        <v>0</v>
      </c>
      <c r="U70" s="2"/>
      <c r="V70" s="7">
        <f t="shared" si="28"/>
        <v>0</v>
      </c>
      <c r="W70" s="2"/>
      <c r="X70" s="6">
        <f t="shared" si="29"/>
        <v>0</v>
      </c>
      <c r="Y70" s="2"/>
      <c r="Z70" s="7">
        <f t="shared" si="30"/>
        <v>0</v>
      </c>
    </row>
    <row r="71" spans="1:26" s="24" customFormat="1" hidden="1" outlineLevel="2" x14ac:dyDescent="0.25">
      <c r="A71" s="25"/>
      <c r="B71" s="11" t="str">
        <f>CONCATENATE("          ", "6004", " - ", "STAFF HOURLY")</f>
        <v xml:space="preserve">          6004 - STAFF HOURLY</v>
      </c>
      <c r="C71" s="11"/>
      <c r="D71" s="6"/>
      <c r="E71" s="2"/>
      <c r="F71" s="7">
        <f t="shared" si="23"/>
        <v>0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0</v>
      </c>
      <c r="M71" s="2"/>
      <c r="N71" s="7">
        <f t="shared" si="26"/>
        <v>0</v>
      </c>
      <c r="O71" s="11"/>
      <c r="P71" s="6">
        <v>-48</v>
      </c>
      <c r="Q71" s="2"/>
      <c r="R71" s="7">
        <f t="shared" si="27"/>
        <v>-1.2422382431272972E-4</v>
      </c>
      <c r="S71" s="2"/>
      <c r="T71" s="6">
        <v>0</v>
      </c>
      <c r="U71" s="2"/>
      <c r="V71" s="7">
        <f t="shared" si="28"/>
        <v>0</v>
      </c>
      <c r="W71" s="2"/>
      <c r="X71" s="6">
        <f t="shared" si="29"/>
        <v>-48</v>
      </c>
      <c r="Y71" s="2"/>
      <c r="Z71" s="7">
        <f t="shared" si="30"/>
        <v>0</v>
      </c>
    </row>
    <row r="72" spans="1:26" s="24" customFormat="1" hidden="1" outlineLevel="2" x14ac:dyDescent="0.25">
      <c r="A72" s="25"/>
      <c r="B72" s="11" t="str">
        <f>CONCATENATE("          ", "6005", " - ", "TEMPORARY WAGES-HOURLY")</f>
        <v xml:space="preserve">          6005 - TEMPORARY WAGES-HOURLY</v>
      </c>
      <c r="C72" s="11"/>
      <c r="D72" s="6"/>
      <c r="E72" s="2"/>
      <c r="F72" s="7">
        <f t="shared" si="23"/>
        <v>0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0</v>
      </c>
      <c r="M72" s="2"/>
      <c r="N72" s="7">
        <f t="shared" si="26"/>
        <v>0</v>
      </c>
      <c r="O72" s="11"/>
      <c r="P72" s="6"/>
      <c r="Q72" s="2"/>
      <c r="R72" s="7">
        <f t="shared" si="27"/>
        <v>0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0</v>
      </c>
      <c r="Y72" s="2"/>
      <c r="Z72" s="7">
        <f t="shared" si="30"/>
        <v>0</v>
      </c>
    </row>
    <row r="73" spans="1:26" s="24" customFormat="1" hidden="1" outlineLevel="2" x14ac:dyDescent="0.25">
      <c r="A73" s="25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/>
      <c r="Q73" s="2"/>
      <c r="R73" s="7">
        <f t="shared" si="27"/>
        <v>0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0</v>
      </c>
      <c r="Y73" s="2"/>
      <c r="Z73" s="7">
        <f t="shared" si="30"/>
        <v>0</v>
      </c>
    </row>
    <row r="74" spans="1:26" s="24" customFormat="1" hidden="1" outlineLevel="2" x14ac:dyDescent="0.25">
      <c r="A74" s="25"/>
      <c r="B74" s="11" t="str">
        <f>CONCATENATE("          ", "6007", " - ", "STUDENT HOURLY")</f>
        <v xml:space="preserve">          6007 - STUDENT HOURLY</v>
      </c>
      <c r="C74" s="11"/>
      <c r="D74" s="6">
        <v>5251.42</v>
      </c>
      <c r="E74" s="2"/>
      <c r="F74" s="7">
        <f t="shared" si="23"/>
        <v>9.814380814616297E-2</v>
      </c>
      <c r="G74" s="2"/>
      <c r="H74" s="6">
        <v>0</v>
      </c>
      <c r="I74" s="2"/>
      <c r="J74" s="7">
        <f t="shared" si="24"/>
        <v>0</v>
      </c>
      <c r="K74" s="2"/>
      <c r="L74" s="6">
        <f t="shared" si="25"/>
        <v>5251.42</v>
      </c>
      <c r="M74" s="2"/>
      <c r="N74" s="7">
        <f t="shared" si="26"/>
        <v>0</v>
      </c>
      <c r="O74" s="11"/>
      <c r="P74" s="6">
        <v>38011.340000000004</v>
      </c>
      <c r="Q74" s="2"/>
      <c r="R74" s="7">
        <f t="shared" si="27"/>
        <v>9.8373208792738268E-2</v>
      </c>
      <c r="S74" s="2"/>
      <c r="T74" s="6">
        <v>9727.5</v>
      </c>
      <c r="U74" s="2"/>
      <c r="V74" s="7">
        <f t="shared" si="28"/>
        <v>2.3585877811696073E-2</v>
      </c>
      <c r="W74" s="2"/>
      <c r="X74" s="6">
        <f t="shared" si="29"/>
        <v>28283.840000000004</v>
      </c>
      <c r="Y74" s="2"/>
      <c r="Z74" s="7">
        <f t="shared" si="30"/>
        <v>2.9076165510151637</v>
      </c>
    </row>
    <row r="75" spans="1:26" s="24" customFormat="1" hidden="1" outlineLevel="2" x14ac:dyDescent="0.25">
      <c r="A75" s="25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3"/>
        <v>0</v>
      </c>
      <c r="G75" s="2"/>
      <c r="H75" s="6">
        <v>5219.0550000000003</v>
      </c>
      <c r="I75" s="2"/>
      <c r="J75" s="7">
        <f t="shared" si="24"/>
        <v>0.10132119976703553</v>
      </c>
      <c r="K75" s="2"/>
      <c r="L75" s="6">
        <f t="shared" si="25"/>
        <v>-5219.0550000000003</v>
      </c>
      <c r="M75" s="2"/>
      <c r="N75" s="7">
        <f t="shared" si="26"/>
        <v>-1</v>
      </c>
      <c r="O75" s="11"/>
      <c r="P75" s="6"/>
      <c r="Q75" s="2"/>
      <c r="R75" s="7">
        <f t="shared" si="27"/>
        <v>0</v>
      </c>
      <c r="S75" s="2"/>
      <c r="T75" s="6">
        <v>28146.674999999999</v>
      </c>
      <c r="U75" s="2"/>
      <c r="V75" s="7">
        <f t="shared" si="28"/>
        <v>6.8246110239580632E-2</v>
      </c>
      <c r="W75" s="2"/>
      <c r="X75" s="6">
        <f t="shared" si="29"/>
        <v>-28146.674999999999</v>
      </c>
      <c r="Y75" s="2"/>
      <c r="Z75" s="7">
        <f t="shared" si="30"/>
        <v>-1</v>
      </c>
    </row>
    <row r="76" spans="1:26" s="24" customFormat="1" hidden="1" outlineLevel="2" x14ac:dyDescent="0.25">
      <c r="A76" s="25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/>
      <c r="Q76" s="2"/>
      <c r="R76" s="7">
        <f t="shared" si="27"/>
        <v>0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0</v>
      </c>
      <c r="Y76" s="2"/>
      <c r="Z76" s="7">
        <f t="shared" si="30"/>
        <v>0</v>
      </c>
    </row>
    <row r="77" spans="1:26" s="24" customFormat="1" hidden="1" outlineLevel="2" x14ac:dyDescent="0.25">
      <c r="A77" s="25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3"/>
        <v>0</v>
      </c>
      <c r="G77" s="2"/>
      <c r="H77" s="6">
        <v>0</v>
      </c>
      <c r="I77" s="2"/>
      <c r="J77" s="7">
        <f t="shared" si="24"/>
        <v>0</v>
      </c>
      <c r="K77" s="2"/>
      <c r="L77" s="6">
        <f t="shared" si="25"/>
        <v>0</v>
      </c>
      <c r="M77" s="2"/>
      <c r="N77" s="7">
        <f t="shared" si="26"/>
        <v>0</v>
      </c>
      <c r="O77" s="11"/>
      <c r="P77" s="6"/>
      <c r="Q77" s="2"/>
      <c r="R77" s="7">
        <f t="shared" si="27"/>
        <v>0</v>
      </c>
      <c r="S77" s="2"/>
      <c r="T77" s="6">
        <v>0</v>
      </c>
      <c r="U77" s="2"/>
      <c r="V77" s="7">
        <f t="shared" si="28"/>
        <v>0</v>
      </c>
      <c r="W77" s="2"/>
      <c r="X77" s="6">
        <f t="shared" si="29"/>
        <v>0</v>
      </c>
      <c r="Y77" s="2"/>
      <c r="Z77" s="7">
        <f t="shared" si="30"/>
        <v>0</v>
      </c>
    </row>
    <row r="78" spans="1:26" s="27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10.75</v>
      </c>
      <c r="E78" s="1"/>
      <c r="F78" s="5">
        <f t="shared" ref="F78:F82" si="31">IF(D$12=0,0,D78/D$12)</f>
        <v>2.0090679046262761E-4</v>
      </c>
      <c r="G78" s="1"/>
      <c r="H78" s="1">
        <f>SUM(OSRRefH22_2x_0)</f>
        <v>80</v>
      </c>
      <c r="I78" s="1"/>
      <c r="J78" s="5">
        <f t="shared" ref="J78:J82" si="32">IF(H$12=0,0,H78/H$12)</f>
        <v>1.5530964861192001E-3</v>
      </c>
      <c r="K78" s="1"/>
      <c r="L78" s="1">
        <f t="shared" ref="L78:L82" si="33">+D78-H78</f>
        <v>-69.25</v>
      </c>
      <c r="M78" s="1"/>
      <c r="N78" s="5">
        <f t="shared" ref="N78:N82" si="34">IF(H78=0,0,L78/H78)</f>
        <v>-0.86562499999999998</v>
      </c>
      <c r="O78" s="13"/>
      <c r="P78" s="1">
        <f>SUM(OSRRefP22_2x_0)</f>
        <v>1181.76</v>
      </c>
      <c r="Q78" s="1"/>
      <c r="R78" s="5">
        <f t="shared" ref="R78:R82" si="35">IF(P$12=0,0,P78/P$12)</f>
        <v>3.0583905545794061E-3</v>
      </c>
      <c r="S78" s="1"/>
      <c r="T78" s="1">
        <f>SUM(OSRRefT22_2x_0)</f>
        <v>640</v>
      </c>
      <c r="U78" s="1"/>
      <c r="V78" s="5">
        <f t="shared" ref="V78:V82" si="36">IF(T$12=0,0,T78/T$12)</f>
        <v>1.551782246156308E-3</v>
      </c>
      <c r="W78" s="1"/>
      <c r="X78" s="1">
        <f t="shared" ref="X78:X82" si="37">+P78-T78</f>
        <v>541.76</v>
      </c>
      <c r="Y78" s="1"/>
      <c r="Z78" s="5">
        <f t="shared" ref="Z78:Z82" si="38">IF(T78=0,0,X78/T78)</f>
        <v>0.84650000000000003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6">
        <v>10.75</v>
      </c>
      <c r="E79" s="2"/>
      <c r="F79" s="7">
        <f t="shared" si="31"/>
        <v>2.0090679046262761E-4</v>
      </c>
      <c r="G79" s="2"/>
      <c r="H79" s="6">
        <v>80</v>
      </c>
      <c r="I79" s="2"/>
      <c r="J79" s="7">
        <f t="shared" si="32"/>
        <v>1.5530964861192001E-3</v>
      </c>
      <c r="K79" s="2"/>
      <c r="L79" s="6">
        <f t="shared" si="33"/>
        <v>-69.25</v>
      </c>
      <c r="M79" s="2"/>
      <c r="N79" s="7">
        <f t="shared" si="34"/>
        <v>-0.86562499999999998</v>
      </c>
      <c r="O79" s="11"/>
      <c r="P79" s="6">
        <v>1181.76</v>
      </c>
      <c r="Q79" s="2"/>
      <c r="R79" s="7">
        <f t="shared" si="35"/>
        <v>3.0583905545794061E-3</v>
      </c>
      <c r="S79" s="2"/>
      <c r="T79" s="6">
        <v>640</v>
      </c>
      <c r="U79" s="2"/>
      <c r="V79" s="7">
        <f t="shared" si="36"/>
        <v>1.551782246156308E-3</v>
      </c>
      <c r="W79" s="2"/>
      <c r="X79" s="6">
        <f t="shared" si="37"/>
        <v>541.76</v>
      </c>
      <c r="Y79" s="2"/>
      <c r="Z79" s="7">
        <f t="shared" si="38"/>
        <v>0.84650000000000003</v>
      </c>
    </row>
    <row r="80" spans="1:26" s="27" customFormat="1" outlineLevel="1" collapsed="1" x14ac:dyDescent="0.25">
      <c r="A80" s="26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1281.99</v>
      </c>
      <c r="E80" s="1"/>
      <c r="F80" s="5">
        <f t="shared" si="31"/>
        <v>2.3959115935365951E-2</v>
      </c>
      <c r="G80" s="1"/>
      <c r="H80" s="1">
        <f>SUM(OSRRefH22_3x_0)</f>
        <v>1250</v>
      </c>
      <c r="I80" s="1"/>
      <c r="J80" s="5">
        <f t="shared" si="32"/>
        <v>2.4267132595612504E-2</v>
      </c>
      <c r="K80" s="1"/>
      <c r="L80" s="1">
        <f t="shared" si="33"/>
        <v>31.990000000000009</v>
      </c>
      <c r="M80" s="1"/>
      <c r="N80" s="5">
        <f t="shared" si="34"/>
        <v>2.5592000000000007E-2</v>
      </c>
      <c r="O80" s="13"/>
      <c r="P80" s="1">
        <f>SUM(OSRRefP22_3x_0)</f>
        <v>8781.09</v>
      </c>
      <c r="Q80" s="1"/>
      <c r="R80" s="5">
        <f t="shared" si="35"/>
        <v>2.2725428779880583E-2</v>
      </c>
      <c r="S80" s="1"/>
      <c r="T80" s="1">
        <f>SUM(OSRRefT22_3x_0)</f>
        <v>10000</v>
      </c>
      <c r="U80" s="1"/>
      <c r="V80" s="5">
        <f t="shared" si="36"/>
        <v>2.4246597596192316E-2</v>
      </c>
      <c r="W80" s="1"/>
      <c r="X80" s="1">
        <f t="shared" si="37"/>
        <v>-1218.9099999999999</v>
      </c>
      <c r="Y80" s="1"/>
      <c r="Z80" s="5">
        <f t="shared" si="38"/>
        <v>-0.12189099999999999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6">
        <v>1248.1600000000001</v>
      </c>
      <c r="E81" s="2"/>
      <c r="F81" s="7">
        <f t="shared" si="31"/>
        <v>2.3326866938031005E-2</v>
      </c>
      <c r="G81" s="2"/>
      <c r="H81" s="6">
        <v>1250</v>
      </c>
      <c r="I81" s="2"/>
      <c r="J81" s="7">
        <f t="shared" si="32"/>
        <v>2.4267132595612504E-2</v>
      </c>
      <c r="K81" s="2"/>
      <c r="L81" s="6">
        <f t="shared" si="33"/>
        <v>-1.8399999999999181</v>
      </c>
      <c r="M81" s="2"/>
      <c r="N81" s="7">
        <f t="shared" si="34"/>
        <v>-1.4719999999999345E-3</v>
      </c>
      <c r="O81" s="11"/>
      <c r="P81" s="6">
        <v>8781.09</v>
      </c>
      <c r="Q81" s="2"/>
      <c r="R81" s="7">
        <f t="shared" si="35"/>
        <v>2.2725428779880583E-2</v>
      </c>
      <c r="S81" s="2"/>
      <c r="T81" s="6">
        <v>10000</v>
      </c>
      <c r="U81" s="2"/>
      <c r="V81" s="7">
        <f t="shared" si="36"/>
        <v>2.4246597596192316E-2</v>
      </c>
      <c r="W81" s="2"/>
      <c r="X81" s="6">
        <f t="shared" si="37"/>
        <v>-1218.9099999999999</v>
      </c>
      <c r="Y81" s="2"/>
      <c r="Z81" s="7">
        <f t="shared" si="38"/>
        <v>-0.12189099999999999</v>
      </c>
    </row>
    <row r="82" spans="1:26" s="24" customFormat="1" hidden="1" outlineLevel="2" x14ac:dyDescent="0.25">
      <c r="A82" s="25"/>
      <c r="B82" s="11" t="str">
        <f>CONCATENATE("          ", "9175", " - ", "EARNED DISCOUNTS")</f>
        <v xml:space="preserve">          9175 - EARNED DISCOUNTS</v>
      </c>
      <c r="C82" s="11"/>
      <c r="D82" s="6">
        <v>33.83</v>
      </c>
      <c r="E82" s="2"/>
      <c r="F82" s="7">
        <f t="shared" si="31"/>
        <v>6.322489973349481E-4</v>
      </c>
      <c r="G82" s="2"/>
      <c r="H82" s="6"/>
      <c r="I82" s="2"/>
      <c r="J82" s="7">
        <f t="shared" si="32"/>
        <v>0</v>
      </c>
      <c r="K82" s="2"/>
      <c r="L82" s="6">
        <f t="shared" si="33"/>
        <v>33.83</v>
      </c>
      <c r="M82" s="2"/>
      <c r="N82" s="7">
        <f t="shared" si="34"/>
        <v>0</v>
      </c>
      <c r="O82" s="11"/>
      <c r="P82" s="6">
        <v>0</v>
      </c>
      <c r="Q82" s="2"/>
      <c r="R82" s="7">
        <f t="shared" si="35"/>
        <v>0</v>
      </c>
      <c r="S82" s="2"/>
      <c r="T82" s="6"/>
      <c r="U82" s="2"/>
      <c r="V82" s="7">
        <f t="shared" si="36"/>
        <v>0</v>
      </c>
      <c r="W82" s="2"/>
      <c r="X82" s="6">
        <f t="shared" si="37"/>
        <v>0</v>
      </c>
      <c r="Y82" s="2"/>
      <c r="Z82" s="7">
        <f t="shared" si="38"/>
        <v>0</v>
      </c>
    </row>
    <row r="83" spans="1:26" s="27" customFormat="1" outlineLevel="1" collapsed="1" x14ac:dyDescent="0.25">
      <c r="A83" s="26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96" si="39">IF(D$12=0,0,D83/D$12)</f>
        <v>0</v>
      </c>
      <c r="G83" s="1"/>
      <c r="H83" s="1">
        <f>SUM(OSRRefH22_4x_0)</f>
        <v>25</v>
      </c>
      <c r="I83" s="1"/>
      <c r="J83" s="5">
        <f t="shared" ref="J83:J96" si="40">IF(H$12=0,0,H83/H$12)</f>
        <v>4.8534265191225003E-4</v>
      </c>
      <c r="K83" s="1"/>
      <c r="L83" s="1">
        <f t="shared" ref="L83:L96" si="41">+D83-H83</f>
        <v>-25</v>
      </c>
      <c r="M83" s="1"/>
      <c r="N83" s="5">
        <f t="shared" ref="N83:N96" si="42">IF(H83=0,0,L83/H83)</f>
        <v>-1</v>
      </c>
      <c r="O83" s="13"/>
      <c r="P83" s="1">
        <f>SUM(OSRRefP22_4x_0)</f>
        <v>0</v>
      </c>
      <c r="Q83" s="1"/>
      <c r="R83" s="5">
        <f t="shared" ref="R83:R96" si="43">IF(P$12=0,0,P83/P$12)</f>
        <v>0</v>
      </c>
      <c r="S83" s="1"/>
      <c r="T83" s="1">
        <f>SUM(OSRRefT22_4x_0)</f>
        <v>200</v>
      </c>
      <c r="U83" s="1"/>
      <c r="V83" s="5">
        <f t="shared" ref="V83:V96" si="44">IF(T$12=0,0,T83/T$12)</f>
        <v>4.849319519238463E-4</v>
      </c>
      <c r="W83" s="1"/>
      <c r="X83" s="1">
        <f t="shared" ref="X83:X96" si="45">+P83-T83</f>
        <v>-200</v>
      </c>
      <c r="Y83" s="1"/>
      <c r="Z83" s="5">
        <f t="shared" ref="Z83:Z96" si="46">IF(T83=0,0,X83/T83)</f>
        <v>-1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9"/>
        <v>0</v>
      </c>
      <c r="G84" s="2"/>
      <c r="H84" s="6">
        <v>25</v>
      </c>
      <c r="I84" s="2"/>
      <c r="J84" s="7">
        <f t="shared" si="40"/>
        <v>4.8534265191225003E-4</v>
      </c>
      <c r="K84" s="2"/>
      <c r="L84" s="6">
        <f t="shared" si="41"/>
        <v>-25</v>
      </c>
      <c r="M84" s="2"/>
      <c r="N84" s="7">
        <f t="shared" si="42"/>
        <v>-1</v>
      </c>
      <c r="O84" s="11"/>
      <c r="P84" s="6"/>
      <c r="Q84" s="2"/>
      <c r="R84" s="7">
        <f t="shared" si="43"/>
        <v>0</v>
      </c>
      <c r="S84" s="2"/>
      <c r="T84" s="6">
        <v>200</v>
      </c>
      <c r="U84" s="2"/>
      <c r="V84" s="7">
        <f t="shared" si="44"/>
        <v>4.849319519238463E-4</v>
      </c>
      <c r="W84" s="2"/>
      <c r="X84" s="6">
        <f t="shared" si="45"/>
        <v>-200</v>
      </c>
      <c r="Y84" s="2"/>
      <c r="Z84" s="7">
        <f t="shared" si="46"/>
        <v>-1</v>
      </c>
    </row>
    <row r="85" spans="1:26" s="27" customFormat="1" outlineLevel="1" collapsed="1" x14ac:dyDescent="0.25">
      <c r="A85" s="26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SUM(OSRRefD22_5x_0)</f>
        <v>0</v>
      </c>
      <c r="E85" s="1"/>
      <c r="F85" s="5">
        <f t="shared" si="39"/>
        <v>0</v>
      </c>
      <c r="G85" s="1"/>
      <c r="H85" s="1">
        <f>SUM(OSRRefH22_5x_0)</f>
        <v>0</v>
      </c>
      <c r="I85" s="1"/>
      <c r="J85" s="5">
        <f t="shared" si="40"/>
        <v>0</v>
      </c>
      <c r="K85" s="1"/>
      <c r="L85" s="1">
        <f t="shared" si="41"/>
        <v>0</v>
      </c>
      <c r="M85" s="1"/>
      <c r="N85" s="5">
        <f t="shared" si="42"/>
        <v>0</v>
      </c>
      <c r="O85" s="13"/>
      <c r="P85" s="1">
        <f>SUM(OSRRefP22_5x_0)</f>
        <v>15.81</v>
      </c>
      <c r="Q85" s="1"/>
      <c r="R85" s="5">
        <f t="shared" si="43"/>
        <v>4.0916222133005355E-5</v>
      </c>
      <c r="S85" s="1"/>
      <c r="T85" s="1">
        <f>SUM(OSRRefT22_5x_0)</f>
        <v>0</v>
      </c>
      <c r="U85" s="1"/>
      <c r="V85" s="5">
        <f t="shared" si="44"/>
        <v>0</v>
      </c>
      <c r="W85" s="1"/>
      <c r="X85" s="1">
        <f t="shared" si="45"/>
        <v>15.81</v>
      </c>
      <c r="Y85" s="1"/>
      <c r="Z85" s="5">
        <f t="shared" si="46"/>
        <v>0</v>
      </c>
    </row>
    <row r="86" spans="1:26" s="24" customFormat="1" hidden="1" outlineLevel="2" x14ac:dyDescent="0.25">
      <c r="A86" s="25"/>
      <c r="B86" s="11" t="str">
        <f>CONCATENATE("          ", "6305", " - ", "FREIGHT OUT")</f>
        <v xml:space="preserve">          6305 - FREIGHT OUT</v>
      </c>
      <c r="C86" s="11"/>
      <c r="D86" s="6"/>
      <c r="E86" s="2"/>
      <c r="F86" s="7">
        <f t="shared" si="39"/>
        <v>0</v>
      </c>
      <c r="G86" s="2"/>
      <c r="H86" s="6"/>
      <c r="I86" s="2"/>
      <c r="J86" s="7">
        <f t="shared" si="40"/>
        <v>0</v>
      </c>
      <c r="K86" s="2"/>
      <c r="L86" s="6">
        <f t="shared" si="41"/>
        <v>0</v>
      </c>
      <c r="M86" s="2"/>
      <c r="N86" s="7">
        <f t="shared" si="42"/>
        <v>0</v>
      </c>
      <c r="O86" s="11"/>
      <c r="P86" s="6">
        <v>15.81</v>
      </c>
      <c r="Q86" s="2"/>
      <c r="R86" s="7">
        <f t="shared" si="43"/>
        <v>4.0916222133005355E-5</v>
      </c>
      <c r="S86" s="2"/>
      <c r="T86" s="6"/>
      <c r="U86" s="2"/>
      <c r="V86" s="7">
        <f t="shared" si="44"/>
        <v>0</v>
      </c>
      <c r="W86" s="2"/>
      <c r="X86" s="6">
        <f t="shared" si="45"/>
        <v>15.81</v>
      </c>
      <c r="Y86" s="2"/>
      <c r="Z86" s="7">
        <f t="shared" si="46"/>
        <v>0</v>
      </c>
    </row>
    <row r="87" spans="1:26" s="27" customFormat="1" outlineLevel="1" collapsed="1" x14ac:dyDescent="0.25">
      <c r="A87" s="26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SUM(OSRRefD22_6x_0)</f>
        <v>0</v>
      </c>
      <c r="E87" s="1"/>
      <c r="F87" s="5">
        <f t="shared" si="39"/>
        <v>0</v>
      </c>
      <c r="G87" s="1"/>
      <c r="H87" s="1">
        <f>SUM(OSRRefH22_6x_0)</f>
        <v>0</v>
      </c>
      <c r="I87" s="1"/>
      <c r="J87" s="5">
        <f t="shared" si="40"/>
        <v>0</v>
      </c>
      <c r="K87" s="1"/>
      <c r="L87" s="1">
        <f t="shared" si="41"/>
        <v>0</v>
      </c>
      <c r="M87" s="1"/>
      <c r="N87" s="5">
        <f t="shared" si="42"/>
        <v>0</v>
      </c>
      <c r="O87" s="13"/>
      <c r="P87" s="1">
        <f>SUM(OSRRefP22_6x_0)</f>
        <v>0</v>
      </c>
      <c r="Q87" s="1"/>
      <c r="R87" s="5">
        <f t="shared" si="43"/>
        <v>0</v>
      </c>
      <c r="S87" s="1"/>
      <c r="T87" s="1">
        <f>SUM(OSRRefT22_6x_0)</f>
        <v>0</v>
      </c>
      <c r="U87" s="1"/>
      <c r="V87" s="5">
        <f t="shared" si="44"/>
        <v>0</v>
      </c>
      <c r="W87" s="1"/>
      <c r="X87" s="1">
        <f t="shared" si="45"/>
        <v>0</v>
      </c>
      <c r="Y87" s="1"/>
      <c r="Z87" s="5">
        <f t="shared" si="46"/>
        <v>0</v>
      </c>
    </row>
    <row r="88" spans="1:26" s="24" customFormat="1" hidden="1" outlineLevel="2" x14ac:dyDescent="0.25">
      <c r="A88" s="25"/>
      <c r="B88" s="11" t="str">
        <f>CONCATENATE("          ", "6279", " - ", "GENERAL EXPENSE")</f>
        <v xml:space="preserve">          6279 - GENERAL EXPENSE</v>
      </c>
      <c r="C88" s="11"/>
      <c r="D88" s="6"/>
      <c r="E88" s="2"/>
      <c r="F88" s="7">
        <f t="shared" si="39"/>
        <v>0</v>
      </c>
      <c r="G88" s="2"/>
      <c r="H88" s="6">
        <v>0</v>
      </c>
      <c r="I88" s="2"/>
      <c r="J88" s="7">
        <f t="shared" si="40"/>
        <v>0</v>
      </c>
      <c r="K88" s="2"/>
      <c r="L88" s="6">
        <f t="shared" si="41"/>
        <v>0</v>
      </c>
      <c r="M88" s="2"/>
      <c r="N88" s="7">
        <f t="shared" si="42"/>
        <v>0</v>
      </c>
      <c r="O88" s="11"/>
      <c r="P88" s="6"/>
      <c r="Q88" s="2"/>
      <c r="R88" s="7">
        <f t="shared" si="43"/>
        <v>0</v>
      </c>
      <c r="S88" s="2"/>
      <c r="T88" s="6">
        <v>0</v>
      </c>
      <c r="U88" s="2"/>
      <c r="V88" s="7">
        <f t="shared" si="44"/>
        <v>0</v>
      </c>
      <c r="W88" s="2"/>
      <c r="X88" s="6">
        <f t="shared" si="45"/>
        <v>0</v>
      </c>
      <c r="Y88" s="2"/>
      <c r="Z88" s="7">
        <f t="shared" si="46"/>
        <v>0</v>
      </c>
    </row>
    <row r="89" spans="1:26" s="27" customFormat="1" outlineLevel="1" collapsed="1" x14ac:dyDescent="0.25">
      <c r="A89" s="26"/>
      <c r="B89" s="13" t="str">
        <f>CONCATENATE("     ","Subscriptions &amp; Dues                              ")</f>
        <v xml:space="preserve">     Subscriptions &amp; Dues                              </v>
      </c>
      <c r="C89" s="13"/>
      <c r="D89" s="1">
        <f>SUM(OSRRefD22_7x_0)</f>
        <v>0</v>
      </c>
      <c r="E89" s="1"/>
      <c r="F89" s="5">
        <f t="shared" si="39"/>
        <v>0</v>
      </c>
      <c r="G89" s="1"/>
      <c r="H89" s="1">
        <f>SUM(OSRRefH22_7x_0)</f>
        <v>0</v>
      </c>
      <c r="I89" s="1"/>
      <c r="J89" s="5">
        <f t="shared" si="40"/>
        <v>0</v>
      </c>
      <c r="K89" s="1"/>
      <c r="L89" s="1">
        <f t="shared" si="41"/>
        <v>0</v>
      </c>
      <c r="M89" s="1"/>
      <c r="N89" s="5">
        <f t="shared" si="42"/>
        <v>0</v>
      </c>
      <c r="O89" s="13"/>
      <c r="P89" s="1">
        <f>SUM(OSRRefP22_7x_0)</f>
        <v>120</v>
      </c>
      <c r="Q89" s="1"/>
      <c r="R89" s="5">
        <f t="shared" si="43"/>
        <v>3.1055956078182432E-4</v>
      </c>
      <c r="S89" s="1"/>
      <c r="T89" s="1">
        <f>SUM(OSRRefT22_7x_0)</f>
        <v>0</v>
      </c>
      <c r="U89" s="1"/>
      <c r="V89" s="5">
        <f t="shared" si="44"/>
        <v>0</v>
      </c>
      <c r="W89" s="1"/>
      <c r="X89" s="1">
        <f t="shared" si="45"/>
        <v>120</v>
      </c>
      <c r="Y89" s="1"/>
      <c r="Z89" s="5">
        <f t="shared" si="46"/>
        <v>0</v>
      </c>
    </row>
    <row r="90" spans="1:26" s="24" customFormat="1" hidden="1" outlineLevel="2" x14ac:dyDescent="0.25">
      <c r="A90" s="25"/>
      <c r="B90" s="11" t="str">
        <f>CONCATENATE("          ", "6258", " - ", "MEMBERSHIP DUES")</f>
        <v xml:space="preserve">          6258 - MEMBERSHIP DUES</v>
      </c>
      <c r="C90" s="11"/>
      <c r="D90" s="6"/>
      <c r="E90" s="2"/>
      <c r="F90" s="7">
        <f t="shared" si="39"/>
        <v>0</v>
      </c>
      <c r="G90" s="2"/>
      <c r="H90" s="6"/>
      <c r="I90" s="2"/>
      <c r="J90" s="7">
        <f t="shared" si="40"/>
        <v>0</v>
      </c>
      <c r="K90" s="2"/>
      <c r="L90" s="6">
        <f t="shared" si="41"/>
        <v>0</v>
      </c>
      <c r="M90" s="2"/>
      <c r="N90" s="7">
        <f t="shared" si="42"/>
        <v>0</v>
      </c>
      <c r="O90" s="11"/>
      <c r="P90" s="6">
        <v>120</v>
      </c>
      <c r="Q90" s="2"/>
      <c r="R90" s="7">
        <f t="shared" si="43"/>
        <v>3.1055956078182432E-4</v>
      </c>
      <c r="S90" s="2"/>
      <c r="T90" s="6"/>
      <c r="U90" s="2"/>
      <c r="V90" s="7">
        <f t="shared" si="44"/>
        <v>0</v>
      </c>
      <c r="W90" s="2"/>
      <c r="X90" s="6">
        <f t="shared" si="45"/>
        <v>120</v>
      </c>
      <c r="Y90" s="2"/>
      <c r="Z90" s="7">
        <f t="shared" si="46"/>
        <v>0</v>
      </c>
    </row>
    <row r="91" spans="1:26" s="27" customFormat="1" outlineLevel="1" collapsed="1" x14ac:dyDescent="0.25">
      <c r="A91" s="26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SUM(OSRRefD22_8x_0)</f>
        <v>6.05</v>
      </c>
      <c r="E91" s="1"/>
      <c r="F91" s="5">
        <f t="shared" si="39"/>
        <v>1.1306847277199043E-4</v>
      </c>
      <c r="G91" s="1"/>
      <c r="H91" s="1">
        <f>SUM(OSRRefH22_8x_0)</f>
        <v>75</v>
      </c>
      <c r="I91" s="1"/>
      <c r="J91" s="5">
        <f t="shared" si="40"/>
        <v>1.4560279557367501E-3</v>
      </c>
      <c r="K91" s="1"/>
      <c r="L91" s="1">
        <f t="shared" si="41"/>
        <v>-68.95</v>
      </c>
      <c r="M91" s="1"/>
      <c r="N91" s="5">
        <f t="shared" si="42"/>
        <v>-0.91933333333333334</v>
      </c>
      <c r="O91" s="13"/>
      <c r="P91" s="1">
        <f>SUM(OSRRefP22_8x_0)</f>
        <v>252.29</v>
      </c>
      <c r="Q91" s="1"/>
      <c r="R91" s="5">
        <f t="shared" si="43"/>
        <v>6.5292559658038714E-4</v>
      </c>
      <c r="S91" s="1"/>
      <c r="T91" s="1">
        <f>SUM(OSRRefT22_8x_0)</f>
        <v>600</v>
      </c>
      <c r="U91" s="1"/>
      <c r="V91" s="5">
        <f t="shared" si="44"/>
        <v>1.454795855771539E-3</v>
      </c>
      <c r="W91" s="1"/>
      <c r="X91" s="1">
        <f t="shared" si="45"/>
        <v>-347.71000000000004</v>
      </c>
      <c r="Y91" s="1"/>
      <c r="Z91" s="5">
        <f t="shared" si="46"/>
        <v>-0.57951666666666668</v>
      </c>
    </row>
    <row r="92" spans="1:26" s="24" customFormat="1" hidden="1" outlineLevel="2" x14ac:dyDescent="0.25">
      <c r="A92" s="25"/>
      <c r="B92" s="11" t="str">
        <f>CONCATENATE("          ", "6241", " - ", "OFFICE EXPENSE")</f>
        <v xml:space="preserve">          6241 - OFFICE EXPENSE</v>
      </c>
      <c r="C92" s="11"/>
      <c r="D92" s="6">
        <v>6.05</v>
      </c>
      <c r="E92" s="2"/>
      <c r="F92" s="7">
        <f t="shared" si="39"/>
        <v>1.1306847277199043E-4</v>
      </c>
      <c r="G92" s="2"/>
      <c r="H92" s="6">
        <v>75</v>
      </c>
      <c r="I92" s="2"/>
      <c r="J92" s="7">
        <f t="shared" si="40"/>
        <v>1.4560279557367501E-3</v>
      </c>
      <c r="K92" s="2"/>
      <c r="L92" s="6">
        <f t="shared" si="41"/>
        <v>-68.95</v>
      </c>
      <c r="M92" s="2"/>
      <c r="N92" s="7">
        <f t="shared" si="42"/>
        <v>-0.91933333333333334</v>
      </c>
      <c r="O92" s="11"/>
      <c r="P92" s="6">
        <v>252.29</v>
      </c>
      <c r="Q92" s="2"/>
      <c r="R92" s="7">
        <f t="shared" si="43"/>
        <v>6.5292559658038714E-4</v>
      </c>
      <c r="S92" s="2"/>
      <c r="T92" s="6">
        <v>600</v>
      </c>
      <c r="U92" s="2"/>
      <c r="V92" s="7">
        <f t="shared" si="44"/>
        <v>1.454795855771539E-3</v>
      </c>
      <c r="W92" s="2"/>
      <c r="X92" s="6">
        <f t="shared" si="45"/>
        <v>-347.71000000000004</v>
      </c>
      <c r="Y92" s="2"/>
      <c r="Z92" s="7">
        <f t="shared" si="46"/>
        <v>-0.57951666666666668</v>
      </c>
    </row>
    <row r="93" spans="1:26" s="27" customFormat="1" outlineLevel="1" collapsed="1" x14ac:dyDescent="0.25">
      <c r="A93" s="26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SUM(OSRRefD22_9x_0)</f>
        <v>60</v>
      </c>
      <c r="E93" s="1"/>
      <c r="F93" s="5">
        <f t="shared" si="39"/>
        <v>1.1213402258379217E-3</v>
      </c>
      <c r="G93" s="1"/>
      <c r="H93" s="1">
        <f>SUM(OSRRefH22_9x_0)</f>
        <v>0</v>
      </c>
      <c r="I93" s="1"/>
      <c r="J93" s="5">
        <f t="shared" si="40"/>
        <v>0</v>
      </c>
      <c r="K93" s="1"/>
      <c r="L93" s="1">
        <f t="shared" si="41"/>
        <v>60</v>
      </c>
      <c r="M93" s="1"/>
      <c r="N93" s="5">
        <f t="shared" si="42"/>
        <v>0</v>
      </c>
      <c r="O93" s="13"/>
      <c r="P93" s="1">
        <f>SUM(OSRRefP22_9x_0)</f>
        <v>60</v>
      </c>
      <c r="Q93" s="1"/>
      <c r="R93" s="5">
        <f t="shared" si="43"/>
        <v>1.5527978039091216E-4</v>
      </c>
      <c r="S93" s="1"/>
      <c r="T93" s="1">
        <f>SUM(OSRRefT22_9x_0)</f>
        <v>0</v>
      </c>
      <c r="U93" s="1"/>
      <c r="V93" s="5">
        <f t="shared" si="44"/>
        <v>0</v>
      </c>
      <c r="W93" s="1"/>
      <c r="X93" s="1">
        <f t="shared" si="45"/>
        <v>60</v>
      </c>
      <c r="Y93" s="1"/>
      <c r="Z93" s="5">
        <f t="shared" si="46"/>
        <v>0</v>
      </c>
    </row>
    <row r="94" spans="1:26" s="24" customFormat="1" hidden="1" outlineLevel="2" x14ac:dyDescent="0.25">
      <c r="A94" s="25"/>
      <c r="B94" s="11" t="str">
        <f>CONCATENATE("          ", "6376", " - ", "TRAINING")</f>
        <v xml:space="preserve">          6376 - TRAINING</v>
      </c>
      <c r="C94" s="11"/>
      <c r="D94" s="6">
        <v>60</v>
      </c>
      <c r="E94" s="2"/>
      <c r="F94" s="7">
        <f t="shared" si="39"/>
        <v>1.1213402258379217E-3</v>
      </c>
      <c r="G94" s="2"/>
      <c r="H94" s="6"/>
      <c r="I94" s="2"/>
      <c r="J94" s="7">
        <f t="shared" si="40"/>
        <v>0</v>
      </c>
      <c r="K94" s="2"/>
      <c r="L94" s="6">
        <f t="shared" si="41"/>
        <v>60</v>
      </c>
      <c r="M94" s="2"/>
      <c r="N94" s="7">
        <f t="shared" si="42"/>
        <v>0</v>
      </c>
      <c r="O94" s="11"/>
      <c r="P94" s="6">
        <v>60</v>
      </c>
      <c r="Q94" s="2"/>
      <c r="R94" s="7">
        <f t="shared" si="43"/>
        <v>1.5527978039091216E-4</v>
      </c>
      <c r="S94" s="2"/>
      <c r="T94" s="6"/>
      <c r="U94" s="2"/>
      <c r="V94" s="7">
        <f t="shared" si="44"/>
        <v>0</v>
      </c>
      <c r="W94" s="2"/>
      <c r="X94" s="6">
        <f t="shared" si="45"/>
        <v>60</v>
      </c>
      <c r="Y94" s="2"/>
      <c r="Z94" s="7">
        <f t="shared" si="46"/>
        <v>0</v>
      </c>
    </row>
    <row r="95" spans="1:26" s="27" customFormat="1" outlineLevel="1" collapsed="1" x14ac:dyDescent="0.25">
      <c r="A95" s="26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SUM(OSRRefD22_10x_0)</f>
        <v>0</v>
      </c>
      <c r="E95" s="1"/>
      <c r="F95" s="5">
        <f t="shared" si="39"/>
        <v>0</v>
      </c>
      <c r="G95" s="1"/>
      <c r="H95" s="1">
        <f>SUM(OSRRefH22_10x_0)</f>
        <v>0</v>
      </c>
      <c r="I95" s="1"/>
      <c r="J95" s="5">
        <f t="shared" si="40"/>
        <v>0</v>
      </c>
      <c r="K95" s="1"/>
      <c r="L95" s="1">
        <f t="shared" si="41"/>
        <v>0</v>
      </c>
      <c r="M95" s="1"/>
      <c r="N95" s="5">
        <f t="shared" si="42"/>
        <v>0</v>
      </c>
      <c r="O95" s="13"/>
      <c r="P95" s="1">
        <f>SUM(OSRRefP22_10x_0)</f>
        <v>-323.01</v>
      </c>
      <c r="Q95" s="1"/>
      <c r="R95" s="5">
        <f t="shared" si="43"/>
        <v>-8.3594869773447565E-4</v>
      </c>
      <c r="S95" s="1"/>
      <c r="T95" s="1">
        <f>SUM(OSRRefT22_10x_0)</f>
        <v>0</v>
      </c>
      <c r="U95" s="1"/>
      <c r="V95" s="5">
        <f t="shared" si="44"/>
        <v>0</v>
      </c>
      <c r="W95" s="1"/>
      <c r="X95" s="1">
        <f t="shared" si="45"/>
        <v>-323.01</v>
      </c>
      <c r="Y95" s="1"/>
      <c r="Z95" s="5">
        <f t="shared" si="46"/>
        <v>0</v>
      </c>
    </row>
    <row r="96" spans="1:26" s="24" customFormat="1" hidden="1" outlineLevel="2" x14ac:dyDescent="0.25">
      <c r="A96" s="25"/>
      <c r="B96" s="11" t="str">
        <f>CONCATENATE("          ", "6292", " - ", "TRAVEL/CONFERENCE")</f>
        <v xml:space="preserve">          6292 - TRAVEL/CONFERENCE</v>
      </c>
      <c r="C96" s="11"/>
      <c r="D96" s="6"/>
      <c r="E96" s="2"/>
      <c r="F96" s="7">
        <f t="shared" si="39"/>
        <v>0</v>
      </c>
      <c r="G96" s="2"/>
      <c r="H96" s="6"/>
      <c r="I96" s="2"/>
      <c r="J96" s="7">
        <f t="shared" si="40"/>
        <v>0</v>
      </c>
      <c r="K96" s="2"/>
      <c r="L96" s="6">
        <f t="shared" si="41"/>
        <v>0</v>
      </c>
      <c r="M96" s="2"/>
      <c r="N96" s="7">
        <f t="shared" si="42"/>
        <v>0</v>
      </c>
      <c r="O96" s="11"/>
      <c r="P96" s="6">
        <v>-323.01</v>
      </c>
      <c r="Q96" s="2"/>
      <c r="R96" s="7">
        <f t="shared" si="43"/>
        <v>-8.3594869773447565E-4</v>
      </c>
      <c r="S96" s="2"/>
      <c r="T96" s="6"/>
      <c r="U96" s="2"/>
      <c r="V96" s="7">
        <f t="shared" si="44"/>
        <v>0</v>
      </c>
      <c r="W96" s="2"/>
      <c r="X96" s="6">
        <f t="shared" si="45"/>
        <v>-323.01</v>
      </c>
      <c r="Y96" s="2"/>
      <c r="Z96" s="7">
        <f t="shared" si="46"/>
        <v>0</v>
      </c>
    </row>
    <row r="97" spans="1:26" s="5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9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1">
        <f>+D54-D56+D98</f>
        <v>15495.249999999993</v>
      </c>
      <c r="E100" s="14"/>
      <c r="F100" s="22">
        <f>IF(D$12=0,0,D100/D$12)</f>
        <v>0.28959078557358409</v>
      </c>
      <c r="G100" s="14"/>
      <c r="H100" s="21">
        <f>+H54-H56+H98</f>
        <v>14936.29765645539</v>
      </c>
      <c r="I100" s="14"/>
      <c r="J100" s="22">
        <f>IF(H$12=0,0,H100/H$12)</f>
        <v>0.28996889257339137</v>
      </c>
      <c r="K100" s="15"/>
      <c r="L100" s="21">
        <f>+D100-H100</f>
        <v>558.95234354460263</v>
      </c>
      <c r="M100" s="15"/>
      <c r="N100" s="22">
        <f>IF(H100=0,0,L100/H100)</f>
        <v>3.7422415942750469E-2</v>
      </c>
      <c r="O100" s="29"/>
      <c r="P100" s="21">
        <f>+P54-P56+P98</f>
        <v>117380.18000000007</v>
      </c>
      <c r="Q100" s="14"/>
      <c r="R100" s="22">
        <f>IF(P$12=0,0,P100/P$12)</f>
        <v>0.30377947621076251</v>
      </c>
      <c r="S100" s="14"/>
      <c r="T100" s="21">
        <f>+T54-T56+T98</f>
        <v>120895.55994648465</v>
      </c>
      <c r="U100" s="14"/>
      <c r="V100" s="22">
        <f>IF(T$12=0,0,T100/T$12)</f>
        <v>0.29313059931887586</v>
      </c>
      <c r="W100" s="15"/>
      <c r="X100" s="21">
        <f>+P100-T100</f>
        <v>-3515.3799464845797</v>
      </c>
      <c r="Y100" s="15"/>
      <c r="Z100" s="22">
        <f>IF(T100=0,0,X100/T100)</f>
        <v>-2.9077825091679874E-2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4665.82</v>
      </c>
      <c r="E102" s="4"/>
      <c r="F102" s="12">
        <f>IF(D$12=0,0,D102/D$12)</f>
        <v>8.7199527541984845E-2</v>
      </c>
      <c r="G102" s="4"/>
      <c r="H102" s="4">
        <v>5157</v>
      </c>
      <c r="I102" s="4"/>
      <c r="J102" s="12">
        <f>IF(H$12=0,0,H102/H$12)</f>
        <v>0.10011648223645894</v>
      </c>
      <c r="K102" s="4"/>
      <c r="L102" s="4">
        <f>+D102-H102</f>
        <v>-491.18000000000029</v>
      </c>
      <c r="M102" s="4"/>
      <c r="N102" s="12">
        <f>IF(H102=0,0,L102/H102)</f>
        <v>-9.5245297653674676E-2</v>
      </c>
      <c r="O102" s="10"/>
      <c r="P102" s="4">
        <v>39381.729999999996</v>
      </c>
      <c r="Q102" s="4"/>
      <c r="R102" s="12">
        <f>IF(P$12=0,0,P102/P$12)</f>
        <v>0.10191977309690328</v>
      </c>
      <c r="S102" s="4"/>
      <c r="T102" s="4">
        <v>49593</v>
      </c>
      <c r="U102" s="4"/>
      <c r="V102" s="12">
        <f>IF(T$12=0,0,T102/T$12)</f>
        <v>0.12024615145879654</v>
      </c>
      <c r="W102" s="4"/>
      <c r="X102" s="4">
        <f>+P102-T102</f>
        <v>-10211.270000000004</v>
      </c>
      <c r="Y102" s="4"/>
      <c r="Z102" s="12">
        <f>IF(T102=0,0,X102/T102)</f>
        <v>-0.2059014377029017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10829.429999999993</v>
      </c>
      <c r="E104" s="14"/>
      <c r="F104" s="32">
        <f>IF(D$12=0,0,D104/D$12)</f>
        <v>0.20239125803159927</v>
      </c>
      <c r="G104" s="14"/>
      <c r="H104" s="31">
        <f>+H100-H102</f>
        <v>9779.2976564553901</v>
      </c>
      <c r="I104" s="14"/>
      <c r="J104" s="32">
        <f>IF(H$12=0,0,H104/H$12)</f>
        <v>0.18985241033693245</v>
      </c>
      <c r="K104" s="15"/>
      <c r="L104" s="31">
        <f>D104-H104</f>
        <v>1050.1323435446029</v>
      </c>
      <c r="M104" s="15"/>
      <c r="N104" s="32">
        <f>IF(H104=0,0,L104/H104)</f>
        <v>0.10738320689639735</v>
      </c>
      <c r="O104" s="29"/>
      <c r="P104" s="31">
        <f>+P100-P102</f>
        <v>77998.45000000007</v>
      </c>
      <c r="Q104" s="14"/>
      <c r="R104" s="32">
        <f>IF(P$12=0,0,P104/P$12)</f>
        <v>0.20185970311385923</v>
      </c>
      <c r="S104" s="14"/>
      <c r="T104" s="31">
        <f>+T100-T102</f>
        <v>71302.559946484645</v>
      </c>
      <c r="U104" s="14"/>
      <c r="V104" s="32">
        <f>IF(T$12=0,0,T104/T$12)</f>
        <v>0.17288444786007931</v>
      </c>
      <c r="W104" s="15"/>
      <c r="X104" s="31">
        <f>P104-T104</f>
        <v>6695.8900535154244</v>
      </c>
      <c r="Y104" s="15"/>
      <c r="Z104" s="32">
        <f>IF(T104=0,0,X104/T104)</f>
        <v>9.3908129785816266E-2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3">
        <f>SUM(D104:D106)</f>
        <v>10829.429999999993</v>
      </c>
      <c r="E107" s="14"/>
      <c r="F107" s="30">
        <f>IF(D$12=0,0,D107/D$12)</f>
        <v>0.20239125803159927</v>
      </c>
      <c r="G107" s="14"/>
      <c r="H107" s="33">
        <f>SUM(H104:H106)</f>
        <v>9779.2976564553901</v>
      </c>
      <c r="I107" s="14"/>
      <c r="J107" s="30">
        <f>IF(H$12=0,0,H107/H$12)</f>
        <v>0.18985241033693245</v>
      </c>
      <c r="K107" s="15"/>
      <c r="L107" s="33">
        <f>+D107-H107</f>
        <v>1050.1323435446029</v>
      </c>
      <c r="M107" s="15"/>
      <c r="N107" s="30">
        <f>IF(H107=0,0,L107/H107)</f>
        <v>0.10738320689639735</v>
      </c>
      <c r="O107" s="29"/>
      <c r="P107" s="33">
        <f>SUM(P104:P106)</f>
        <v>77998.45000000007</v>
      </c>
      <c r="Q107" s="14"/>
      <c r="R107" s="30">
        <f>IF(P$12=0,0,P107/P$12)</f>
        <v>0.20185970311385923</v>
      </c>
      <c r="S107" s="14"/>
      <c r="T107" s="33">
        <f>SUM(T104:T106)</f>
        <v>71302.559946484645</v>
      </c>
      <c r="U107" s="14"/>
      <c r="V107" s="30">
        <f>IF(T$12=0,0,T107/T$12)</f>
        <v>0.17288444786007931</v>
      </c>
      <c r="W107" s="15"/>
      <c r="X107" s="33">
        <f>+P107-T107</f>
        <v>6695.8900535154244</v>
      </c>
      <c r="Y107" s="15"/>
      <c r="Z107" s="30">
        <f>IF(T107=0,0,X107/T107)</f>
        <v>9.3908129785816266E-2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9">
        <v>43908.494717476853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3" t="s">
        <v>314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7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204035.03999999995</v>
      </c>
      <c r="E12" s="4"/>
      <c r="F12" s="12"/>
      <c r="G12" s="4"/>
      <c r="H12" s="4">
        <f>SUM(OSRRefH13x_0)</f>
        <v>189006</v>
      </c>
      <c r="I12" s="4"/>
      <c r="J12" s="12"/>
      <c r="K12" s="4"/>
      <c r="L12" s="4">
        <f t="shared" ref="L12:L40" si="0">+D12-H12</f>
        <v>15029.03999999995</v>
      </c>
      <c r="M12" s="4"/>
      <c r="N12" s="12">
        <f t="shared" ref="N12:N40" si="1">IF(H12=0,0,L12/H12)</f>
        <v>7.9516205834735135E-2</v>
      </c>
      <c r="O12" s="10"/>
      <c r="P12" s="4">
        <f>SUM(OSRRefP13x_0)</f>
        <v>4817356.7399999993</v>
      </c>
      <c r="Q12" s="4"/>
      <c r="R12" s="12"/>
      <c r="S12" s="4"/>
      <c r="T12" s="4">
        <f>SUM(OSRRefT13x_0)</f>
        <v>5322452</v>
      </c>
      <c r="U12" s="4"/>
      <c r="V12" s="12"/>
      <c r="W12" s="4"/>
      <c r="X12" s="4">
        <f t="shared" ref="X12:X40" si="2">+P12-T12</f>
        <v>-505095.26000000071</v>
      </c>
      <c r="Y12" s="4"/>
      <c r="Z12" s="12">
        <f t="shared" ref="Z12:Z40" si="3">IF(T12=0,0,X12/T12)</f>
        <v>-9.4898978891683888E-2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--104784.96</f>
        <v>104784.96000000001</v>
      </c>
      <c r="E13" s="2"/>
      <c r="F13" s="19"/>
      <c r="G13" s="2"/>
      <c r="H13" s="2"/>
      <c r="I13" s="2"/>
      <c r="J13" s="19"/>
      <c r="K13" s="2"/>
      <c r="L13" s="2">
        <f t="shared" si="0"/>
        <v>104784.96000000001</v>
      </c>
      <c r="M13" s="2"/>
      <c r="N13" s="19">
        <f t="shared" si="1"/>
        <v>0</v>
      </c>
      <c r="O13" s="11"/>
      <c r="P13" s="2">
        <f>--2390761.72</f>
        <v>2390761.7200000002</v>
      </c>
      <c r="Q13" s="2"/>
      <c r="R13" s="19"/>
      <c r="S13" s="2"/>
      <c r="T13" s="2"/>
      <c r="U13" s="2"/>
      <c r="V13" s="19"/>
      <c r="W13" s="2"/>
      <c r="X13" s="2">
        <f t="shared" si="2"/>
        <v>2390761.7200000002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--46558.78</f>
        <v>46558.78</v>
      </c>
      <c r="E14" s="2"/>
      <c r="F14" s="19"/>
      <c r="G14" s="2"/>
      <c r="H14" s="2"/>
      <c r="I14" s="2"/>
      <c r="J14" s="19"/>
      <c r="K14" s="2"/>
      <c r="L14" s="2">
        <f t="shared" si="0"/>
        <v>46558.78</v>
      </c>
      <c r="M14" s="2"/>
      <c r="N14" s="19">
        <f t="shared" si="1"/>
        <v>0</v>
      </c>
      <c r="O14" s="11"/>
      <c r="P14" s="2">
        <f>--1239973.19</f>
        <v>1239973.19</v>
      </c>
      <c r="Q14" s="2"/>
      <c r="R14" s="19"/>
      <c r="S14" s="2"/>
      <c r="T14" s="2"/>
      <c r="U14" s="2"/>
      <c r="V14" s="19"/>
      <c r="W14" s="2"/>
      <c r="X14" s="2">
        <f t="shared" si="2"/>
        <v>1239973.19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--1344.88</f>
        <v>1344.88</v>
      </c>
      <c r="E15" s="2"/>
      <c r="F15" s="19"/>
      <c r="G15" s="2"/>
      <c r="H15" s="2"/>
      <c r="I15" s="2"/>
      <c r="J15" s="19"/>
      <c r="K15" s="2"/>
      <c r="L15" s="2">
        <f t="shared" si="0"/>
        <v>1344.88</v>
      </c>
      <c r="M15" s="2"/>
      <c r="N15" s="19">
        <f t="shared" si="1"/>
        <v>0</v>
      </c>
      <c r="O15" s="11"/>
      <c r="P15" s="2">
        <f>--33616.89</f>
        <v>33616.89</v>
      </c>
      <c r="Q15" s="2"/>
      <c r="R15" s="19"/>
      <c r="S15" s="2"/>
      <c r="T15" s="2"/>
      <c r="U15" s="2"/>
      <c r="V15" s="19"/>
      <c r="W15" s="2"/>
      <c r="X15" s="2">
        <f t="shared" si="2"/>
        <v>33616.89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--993.89</f>
        <v>993.89</v>
      </c>
      <c r="E16" s="2"/>
      <c r="F16" s="19"/>
      <c r="G16" s="2"/>
      <c r="H16" s="2"/>
      <c r="I16" s="2"/>
      <c r="J16" s="19"/>
      <c r="K16" s="2"/>
      <c r="L16" s="2">
        <f t="shared" si="0"/>
        <v>993.89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--785.66</f>
        <v>785.66</v>
      </c>
      <c r="E17" s="2"/>
      <c r="F17" s="19"/>
      <c r="G17" s="2"/>
      <c r="H17" s="2"/>
      <c r="I17" s="2"/>
      <c r="J17" s="19"/>
      <c r="K17" s="2"/>
      <c r="L17" s="2">
        <f t="shared" si="0"/>
        <v>785.66</v>
      </c>
      <c r="M17" s="2"/>
      <c r="N17" s="19">
        <f t="shared" si="1"/>
        <v>0</v>
      </c>
      <c r="O17" s="11"/>
      <c r="P17" s="2">
        <f>--798.88</f>
        <v>798.88</v>
      </c>
      <c r="Q17" s="2"/>
      <c r="R17" s="19"/>
      <c r="S17" s="2"/>
      <c r="T17" s="2"/>
      <c r="U17" s="2"/>
      <c r="V17" s="19"/>
      <c r="W17" s="2"/>
      <c r="X17" s="2">
        <f t="shared" si="2"/>
        <v>798.88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--772.36</f>
        <v>772.36</v>
      </c>
      <c r="E18" s="2"/>
      <c r="F18" s="19"/>
      <c r="G18" s="2"/>
      <c r="H18" s="2"/>
      <c r="I18" s="2"/>
      <c r="J18" s="19"/>
      <c r="K18" s="2"/>
      <c r="L18" s="2">
        <f t="shared" si="0"/>
        <v>772.36</v>
      </c>
      <c r="M18" s="2"/>
      <c r="N18" s="19">
        <f t="shared" si="1"/>
        <v>0</v>
      </c>
      <c r="O18" s="11"/>
      <c r="P18" s="2">
        <f>--2282.25</f>
        <v>2282.25</v>
      </c>
      <c r="Q18" s="2"/>
      <c r="R18" s="19"/>
      <c r="S18" s="2"/>
      <c r="T18" s="2"/>
      <c r="U18" s="2"/>
      <c r="V18" s="19"/>
      <c r="W18" s="2"/>
      <c r="X18" s="2">
        <f t="shared" si="2"/>
        <v>2282.25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--51.77</f>
        <v>51.77</v>
      </c>
      <c r="E19" s="2"/>
      <c r="F19" s="19"/>
      <c r="G19" s="2"/>
      <c r="H19" s="2"/>
      <c r="I19" s="2"/>
      <c r="J19" s="19"/>
      <c r="K19" s="2"/>
      <c r="L19" s="2">
        <f t="shared" si="0"/>
        <v>51.77</v>
      </c>
      <c r="M19" s="2"/>
      <c r="N19" s="19">
        <f t="shared" si="1"/>
        <v>0</v>
      </c>
      <c r="O19" s="11"/>
      <c r="P19" s="2">
        <f>--1151.94</f>
        <v>1151.94</v>
      </c>
      <c r="Q19" s="2"/>
      <c r="R19" s="19"/>
      <c r="S19" s="2"/>
      <c r="T19" s="2"/>
      <c r="U19" s="2"/>
      <c r="V19" s="19"/>
      <c r="W19" s="2"/>
      <c r="X19" s="2">
        <f t="shared" si="2"/>
        <v>1151.94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--469.81</f>
        <v>469.81</v>
      </c>
      <c r="E20" s="2"/>
      <c r="F20" s="19"/>
      <c r="G20" s="2"/>
      <c r="H20" s="2"/>
      <c r="I20" s="2"/>
      <c r="J20" s="19"/>
      <c r="K20" s="2"/>
      <c r="L20" s="2">
        <f t="shared" si="0"/>
        <v>469.81</v>
      </c>
      <c r="M20" s="2"/>
      <c r="N20" s="19">
        <f t="shared" si="1"/>
        <v>0</v>
      </c>
      <c r="O20" s="11"/>
      <c r="P20" s="2">
        <f>--4097.71</f>
        <v>4097.71</v>
      </c>
      <c r="Q20" s="2"/>
      <c r="R20" s="19"/>
      <c r="S20" s="2"/>
      <c r="T20" s="2"/>
      <c r="U20" s="2"/>
      <c r="V20" s="19"/>
      <c r="W20" s="2"/>
      <c r="X20" s="2">
        <f t="shared" si="2"/>
        <v>4097.71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--22519.96</f>
        <v>22519.96</v>
      </c>
      <c r="E21" s="2"/>
      <c r="F21" s="19"/>
      <c r="G21" s="2"/>
      <c r="H21" s="2">
        <v>189006</v>
      </c>
      <c r="I21" s="2"/>
      <c r="J21" s="19"/>
      <c r="K21" s="2"/>
      <c r="L21" s="2">
        <f t="shared" si="0"/>
        <v>-166486.04</v>
      </c>
      <c r="M21" s="2"/>
      <c r="N21" s="19">
        <f t="shared" si="1"/>
        <v>-0.88085055500883569</v>
      </c>
      <c r="O21" s="11"/>
      <c r="P21" s="2">
        <f>--572740.12</f>
        <v>572740.12</v>
      </c>
      <c r="Q21" s="2"/>
      <c r="R21" s="19"/>
      <c r="S21" s="2"/>
      <c r="T21" s="2">
        <v>5322452</v>
      </c>
      <c r="U21" s="2"/>
      <c r="V21" s="19"/>
      <c r="W21" s="2"/>
      <c r="X21" s="2">
        <f t="shared" si="2"/>
        <v>-4749711.88</v>
      </c>
      <c r="Y21" s="2"/>
      <c r="Z21" s="19">
        <f t="shared" si="3"/>
        <v>-0.89239167962435362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--7332.54</f>
        <v>7332.54</v>
      </c>
      <c r="E22" s="2"/>
      <c r="F22" s="19"/>
      <c r="G22" s="2"/>
      <c r="H22" s="2"/>
      <c r="I22" s="2"/>
      <c r="J22" s="19"/>
      <c r="K22" s="2"/>
      <c r="L22" s="2">
        <f t="shared" si="0"/>
        <v>7332.54</v>
      </c>
      <c r="M22" s="2"/>
      <c r="N22" s="19">
        <f t="shared" si="1"/>
        <v>0</v>
      </c>
      <c r="O22" s="11"/>
      <c r="P22" s="2">
        <f>--139737.77</f>
        <v>139737.76999999999</v>
      </c>
      <c r="Q22" s="2"/>
      <c r="R22" s="19"/>
      <c r="S22" s="2"/>
      <c r="T22" s="2"/>
      <c r="U22" s="2"/>
      <c r="V22" s="19"/>
      <c r="W22" s="2"/>
      <c r="X22" s="2">
        <f t="shared" si="2"/>
        <v>139737.76999999999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--1850.06</f>
        <v>1850.06</v>
      </c>
      <c r="E23" s="2"/>
      <c r="F23" s="19"/>
      <c r="G23" s="2"/>
      <c r="H23" s="2"/>
      <c r="I23" s="2"/>
      <c r="J23" s="19"/>
      <c r="K23" s="2"/>
      <c r="L23" s="2">
        <f t="shared" si="0"/>
        <v>1850.06</v>
      </c>
      <c r="M23" s="2"/>
      <c r="N23" s="19">
        <f t="shared" si="1"/>
        <v>0</v>
      </c>
      <c r="O23" s="11"/>
      <c r="P23" s="2">
        <f>--68466.86</f>
        <v>68466.86</v>
      </c>
      <c r="Q23" s="2"/>
      <c r="R23" s="19"/>
      <c r="S23" s="2"/>
      <c r="T23" s="2"/>
      <c r="U23" s="2"/>
      <c r="V23" s="19"/>
      <c r="W23" s="2"/>
      <c r="X23" s="2">
        <f t="shared" si="2"/>
        <v>68466.86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--21322.38</f>
        <v>21322.38</v>
      </c>
      <c r="E25" s="2"/>
      <c r="F25" s="19"/>
      <c r="G25" s="2"/>
      <c r="H25" s="2"/>
      <c r="I25" s="2"/>
      <c r="J25" s="19"/>
      <c r="K25" s="2"/>
      <c r="L25" s="2">
        <f t="shared" si="0"/>
        <v>21322.38</v>
      </c>
      <c r="M25" s="2"/>
      <c r="N25" s="19">
        <f t="shared" si="1"/>
        <v>0</v>
      </c>
      <c r="O25" s="11"/>
      <c r="P25" s="2">
        <f>--523390.34</f>
        <v>523390.34</v>
      </c>
      <c r="Q25" s="2"/>
      <c r="R25" s="19"/>
      <c r="S25" s="2"/>
      <c r="T25" s="2"/>
      <c r="U25" s="2"/>
      <c r="V25" s="19"/>
      <c r="W25" s="2"/>
      <c r="X25" s="2">
        <f t="shared" si="2"/>
        <v>523390.34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--1651.49</f>
        <v>1651.49</v>
      </c>
      <c r="E26" s="2"/>
      <c r="F26" s="19"/>
      <c r="G26" s="2"/>
      <c r="H26" s="2"/>
      <c r="I26" s="2"/>
      <c r="J26" s="19"/>
      <c r="K26" s="2"/>
      <c r="L26" s="2">
        <f t="shared" si="0"/>
        <v>1651.49</v>
      </c>
      <c r="M26" s="2"/>
      <c r="N26" s="19">
        <f t="shared" si="1"/>
        <v>0</v>
      </c>
      <c r="O26" s="11"/>
      <c r="P26" s="2">
        <f>--14359.99</f>
        <v>14359.99</v>
      </c>
      <c r="Q26" s="2"/>
      <c r="R26" s="19"/>
      <c r="S26" s="2"/>
      <c r="T26" s="2"/>
      <c r="U26" s="2"/>
      <c r="V26" s="19"/>
      <c r="W26" s="2"/>
      <c r="X26" s="2">
        <f t="shared" si="2"/>
        <v>14359.99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--2215.2</f>
        <v>2215.1999999999998</v>
      </c>
      <c r="E27" s="2"/>
      <c r="F27" s="19"/>
      <c r="G27" s="2"/>
      <c r="H27" s="2"/>
      <c r="I27" s="2"/>
      <c r="J27" s="19"/>
      <c r="K27" s="2"/>
      <c r="L27" s="2">
        <f t="shared" si="0"/>
        <v>2215.1999999999998</v>
      </c>
      <c r="M27" s="2"/>
      <c r="N27" s="19">
        <f t="shared" si="1"/>
        <v>0</v>
      </c>
      <c r="O27" s="11"/>
      <c r="P27" s="2">
        <f>--3361.92</f>
        <v>3361.92</v>
      </c>
      <c r="Q27" s="2"/>
      <c r="R27" s="19"/>
      <c r="S27" s="2"/>
      <c r="T27" s="2"/>
      <c r="U27" s="2"/>
      <c r="V27" s="19"/>
      <c r="W27" s="2"/>
      <c r="X27" s="2">
        <f t="shared" si="2"/>
        <v>3361.92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--19.99</f>
        <v>19.989999999999998</v>
      </c>
      <c r="E28" s="2"/>
      <c r="F28" s="19"/>
      <c r="G28" s="2"/>
      <c r="H28" s="2"/>
      <c r="I28" s="2"/>
      <c r="J28" s="19"/>
      <c r="K28" s="2"/>
      <c r="L28" s="2">
        <f t="shared" si="0"/>
        <v>19.989999999999998</v>
      </c>
      <c r="M28" s="2"/>
      <c r="N28" s="19">
        <f t="shared" si="1"/>
        <v>0</v>
      </c>
      <c r="O28" s="11"/>
      <c r="P28" s="2">
        <f>--61.9</f>
        <v>61.9</v>
      </c>
      <c r="Q28" s="2"/>
      <c r="R28" s="19"/>
      <c r="S28" s="2"/>
      <c r="T28" s="2"/>
      <c r="U28" s="2"/>
      <c r="V28" s="19"/>
      <c r="W28" s="2"/>
      <c r="X28" s="2">
        <f t="shared" si="2"/>
        <v>61.9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-4114.56</f>
        <v>-4114.5600000000004</v>
      </c>
      <c r="E29" s="2"/>
      <c r="F29" s="19"/>
      <c r="G29" s="2"/>
      <c r="H29" s="2"/>
      <c r="I29" s="2"/>
      <c r="J29" s="19"/>
      <c r="K29" s="2"/>
      <c r="L29" s="2">
        <f t="shared" si="0"/>
        <v>-4114.5600000000004</v>
      </c>
      <c r="M29" s="2"/>
      <c r="N29" s="19">
        <f t="shared" si="1"/>
        <v>0</v>
      </c>
      <c r="O29" s="11"/>
      <c r="P29" s="2">
        <f>-120740.41</f>
        <v>-120740.41</v>
      </c>
      <c r="Q29" s="2"/>
      <c r="R29" s="19"/>
      <c r="S29" s="2"/>
      <c r="T29" s="2"/>
      <c r="U29" s="2"/>
      <c r="V29" s="19"/>
      <c r="W29" s="2"/>
      <c r="X29" s="2">
        <f t="shared" si="2"/>
        <v>-120740.41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-2008.16</f>
        <v>-2008.16</v>
      </c>
      <c r="E30" s="2"/>
      <c r="F30" s="19"/>
      <c r="G30" s="2"/>
      <c r="H30" s="2"/>
      <c r="I30" s="2"/>
      <c r="J30" s="19"/>
      <c r="K30" s="2"/>
      <c r="L30" s="2">
        <f t="shared" si="0"/>
        <v>-2008.16</v>
      </c>
      <c r="M30" s="2"/>
      <c r="N30" s="19">
        <f t="shared" si="1"/>
        <v>0</v>
      </c>
      <c r="O30" s="11"/>
      <c r="P30" s="2">
        <f>-45387.31</f>
        <v>-45387.31</v>
      </c>
      <c r="Q30" s="2"/>
      <c r="R30" s="19"/>
      <c r="S30" s="2"/>
      <c r="T30" s="2"/>
      <c r="U30" s="2"/>
      <c r="V30" s="19"/>
      <c r="W30" s="2"/>
      <c r="X30" s="2">
        <f t="shared" si="2"/>
        <v>-45387.31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-993.89</f>
        <v>-993.89</v>
      </c>
      <c r="E32" s="2"/>
      <c r="F32" s="19"/>
      <c r="G32" s="2"/>
      <c r="H32" s="2"/>
      <c r="I32" s="2"/>
      <c r="J32" s="19"/>
      <c r="K32" s="2"/>
      <c r="L32" s="2">
        <f t="shared" si="0"/>
        <v>-993.89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/>
      <c r="U32" s="2"/>
      <c r="V32" s="19"/>
      <c r="W32" s="2"/>
      <c r="X32" s="2">
        <f t="shared" si="2"/>
        <v>-17255.330000000002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-103.4</f>
        <v>-103.4</v>
      </c>
      <c r="E33" s="2"/>
      <c r="F33" s="19"/>
      <c r="G33" s="2"/>
      <c r="H33" s="2"/>
      <c r="I33" s="2"/>
      <c r="J33" s="19"/>
      <c r="K33" s="2"/>
      <c r="L33" s="2">
        <f t="shared" si="0"/>
        <v>-103.4</v>
      </c>
      <c r="M33" s="2"/>
      <c r="N33" s="19">
        <f t="shared" si="1"/>
        <v>0</v>
      </c>
      <c r="O33" s="11"/>
      <c r="P33" s="2">
        <f>-220.06</f>
        <v>-220.06</v>
      </c>
      <c r="Q33" s="2"/>
      <c r="R33" s="19"/>
      <c r="S33" s="2"/>
      <c r="T33" s="2"/>
      <c r="U33" s="2"/>
      <c r="V33" s="19"/>
      <c r="W33" s="2"/>
      <c r="X33" s="2">
        <f t="shared" si="2"/>
        <v>-220.06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8" si="4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-15221.62</f>
        <v>-15221.62</v>
      </c>
      <c r="Q36" s="2"/>
      <c r="R36" s="19"/>
      <c r="S36" s="2"/>
      <c r="T36" s="2"/>
      <c r="U36" s="2"/>
      <c r="V36" s="19"/>
      <c r="W36" s="2"/>
      <c r="X36" s="2">
        <f t="shared" si="2"/>
        <v>-15221.62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-1249.23</f>
        <v>-1249.23</v>
      </c>
      <c r="E39" s="2"/>
      <c r="F39" s="19"/>
      <c r="G39" s="2"/>
      <c r="H39" s="2"/>
      <c r="I39" s="2"/>
      <c r="J39" s="19"/>
      <c r="K39" s="2"/>
      <c r="L39" s="2">
        <f t="shared" si="0"/>
        <v>-1249.23</v>
      </c>
      <c r="M39" s="2"/>
      <c r="N39" s="19">
        <f t="shared" si="1"/>
        <v>0</v>
      </c>
      <c r="O39" s="11"/>
      <c r="P39" s="2">
        <f>-18991.98</f>
        <v>-18991.98</v>
      </c>
      <c r="Q39" s="2"/>
      <c r="R39" s="19"/>
      <c r="S39" s="2"/>
      <c r="T39" s="2"/>
      <c r="U39" s="2"/>
      <c r="V39" s="19"/>
      <c r="W39" s="2"/>
      <c r="X39" s="2">
        <f t="shared" si="2"/>
        <v>-18991.98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-169.45</f>
        <v>-169.45</v>
      </c>
      <c r="E40" s="2"/>
      <c r="F40" s="19"/>
      <c r="G40" s="2"/>
      <c r="H40" s="2"/>
      <c r="I40" s="2"/>
      <c r="J40" s="19"/>
      <c r="K40" s="2"/>
      <c r="L40" s="2">
        <f t="shared" si="0"/>
        <v>-169.45</v>
      </c>
      <c r="M40" s="2"/>
      <c r="N40" s="19">
        <f t="shared" si="1"/>
        <v>0</v>
      </c>
      <c r="O40" s="11"/>
      <c r="P40" s="2">
        <f>-794.76</f>
        <v>-794.76</v>
      </c>
      <c r="Q40" s="2"/>
      <c r="R40" s="19"/>
      <c r="S40" s="2"/>
      <c r="T40" s="2"/>
      <c r="U40" s="2"/>
      <c r="V40" s="19"/>
      <c r="W40" s="2"/>
      <c r="X40" s="2">
        <f t="shared" si="2"/>
        <v>-794.76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292924.21000000002</v>
      </c>
      <c r="E42" s="4"/>
      <c r="F42" s="12">
        <f t="shared" ref="F42:F59" si="5">IF(D$12=0,0,D42/D$12)</f>
        <v>1.4356563950976269</v>
      </c>
      <c r="G42" s="4"/>
      <c r="H42" s="4">
        <f>SUM(OSRRefH16x_0)</f>
        <v>136416.17000000001</v>
      </c>
      <c r="I42" s="4"/>
      <c r="J42" s="12">
        <f t="shared" ref="J42:J59" si="6">IF(H$12=0,0,H42/H$12)</f>
        <v>0.72175576436726885</v>
      </c>
      <c r="K42" s="4"/>
      <c r="L42" s="4">
        <f t="shared" ref="L42:L59" si="7">+D42-H42</f>
        <v>156508.04</v>
      </c>
      <c r="M42" s="4"/>
      <c r="N42" s="12">
        <f t="shared" ref="N42:N59" si="8">IF(H42=0,0,L42/H42)</f>
        <v>1.1472836394688402</v>
      </c>
      <c r="O42" s="10"/>
      <c r="P42" s="4">
        <f>SUM(OSRRefP16x_0)</f>
        <v>3451580.1900000009</v>
      </c>
      <c r="Q42" s="4"/>
      <c r="R42" s="12">
        <f t="shared" ref="R42:R59" si="9">IF(P$12=0,0,P42/P$12)</f>
        <v>0.71648839317637947</v>
      </c>
      <c r="S42" s="4"/>
      <c r="T42" s="4">
        <f>SUM(OSRRefT16x_0)</f>
        <v>3838955.1700000004</v>
      </c>
      <c r="U42" s="4"/>
      <c r="V42" s="12">
        <f t="shared" ref="V42:V59" si="10">IF(T$12=0,0,T42/T$12)</f>
        <v>0.72127567707515261</v>
      </c>
      <c r="W42" s="4"/>
      <c r="X42" s="4">
        <f t="shared" ref="X42:X59" si="11">+P42-T42</f>
        <v>-387374.97999999952</v>
      </c>
      <c r="Y42" s="4"/>
      <c r="Z42" s="12">
        <f t="shared" ref="Z42:Z59" si="12">IF(T42=0,0,X42/T42)</f>
        <v>-0.10090635676790137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5"/>
        <v>0</v>
      </c>
      <c r="G43" s="2"/>
      <c r="H43" s="2">
        <v>136416.17000000001</v>
      </c>
      <c r="I43" s="2"/>
      <c r="J43" s="19">
        <f t="shared" si="6"/>
        <v>0.72175576436726885</v>
      </c>
      <c r="K43" s="2"/>
      <c r="L43" s="2">
        <f t="shared" si="7"/>
        <v>-136416.17000000001</v>
      </c>
      <c r="M43" s="2"/>
      <c r="N43" s="19">
        <f t="shared" si="8"/>
        <v>-1</v>
      </c>
      <c r="O43" s="11"/>
      <c r="P43" s="2"/>
      <c r="Q43" s="2"/>
      <c r="R43" s="19">
        <f t="shared" si="9"/>
        <v>0</v>
      </c>
      <c r="S43" s="2"/>
      <c r="T43" s="2">
        <v>3838955.1700000004</v>
      </c>
      <c r="U43" s="2"/>
      <c r="V43" s="19">
        <f t="shared" si="10"/>
        <v>0.72127567707515261</v>
      </c>
      <c r="W43" s="2"/>
      <c r="X43" s="2">
        <f t="shared" si="11"/>
        <v>-3838955.1700000004</v>
      </c>
      <c r="Y43" s="2"/>
      <c r="Z43" s="19">
        <f t="shared" si="12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-110695.19</v>
      </c>
      <c r="E44" s="2"/>
      <c r="F44" s="19">
        <f t="shared" si="5"/>
        <v>-0.54253029283597576</v>
      </c>
      <c r="G44" s="2"/>
      <c r="H44" s="2"/>
      <c r="I44" s="2"/>
      <c r="J44" s="19">
        <f t="shared" si="6"/>
        <v>0</v>
      </c>
      <c r="K44" s="2"/>
      <c r="L44" s="2">
        <f t="shared" si="7"/>
        <v>-110695.19</v>
      </c>
      <c r="M44" s="2"/>
      <c r="N44" s="19">
        <f t="shared" si="8"/>
        <v>0</v>
      </c>
      <c r="O44" s="11"/>
      <c r="P44" s="2">
        <v>2516599.4700000002</v>
      </c>
      <c r="Q44" s="2"/>
      <c r="R44" s="19">
        <f t="shared" si="9"/>
        <v>0.52240255514064349</v>
      </c>
      <c r="S44" s="2"/>
      <c r="T44" s="2"/>
      <c r="U44" s="2"/>
      <c r="V44" s="19">
        <f t="shared" si="10"/>
        <v>0</v>
      </c>
      <c r="W44" s="2"/>
      <c r="X44" s="2">
        <f t="shared" si="11"/>
        <v>2516599.4700000002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11947.84</v>
      </c>
      <c r="E45" s="2"/>
      <c r="F45" s="19">
        <f t="shared" si="5"/>
        <v>5.8557784976541301E-2</v>
      </c>
      <c r="G45" s="2"/>
      <c r="H45" s="2"/>
      <c r="I45" s="2"/>
      <c r="J45" s="19">
        <f t="shared" si="6"/>
        <v>0</v>
      </c>
      <c r="K45" s="2"/>
      <c r="L45" s="2">
        <f t="shared" si="7"/>
        <v>11947.84</v>
      </c>
      <c r="M45" s="2"/>
      <c r="N45" s="19">
        <f t="shared" si="8"/>
        <v>0</v>
      </c>
      <c r="O45" s="11"/>
      <c r="P45" s="2">
        <v>524555.37</v>
      </c>
      <c r="Q45" s="2"/>
      <c r="R45" s="19">
        <f t="shared" si="9"/>
        <v>0.10888862882926127</v>
      </c>
      <c r="S45" s="2"/>
      <c r="T45" s="2"/>
      <c r="U45" s="2"/>
      <c r="V45" s="19">
        <f t="shared" si="10"/>
        <v>0</v>
      </c>
      <c r="W45" s="2"/>
      <c r="X45" s="2">
        <f t="shared" si="11"/>
        <v>524555.37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-78.400000000000006</v>
      </c>
      <c r="Q46" s="2"/>
      <c r="R46" s="19">
        <f t="shared" si="9"/>
        <v>-1.6274484999007986E-5</v>
      </c>
      <c r="S46" s="2"/>
      <c r="T46" s="2"/>
      <c r="U46" s="2"/>
      <c r="V46" s="19">
        <f t="shared" si="10"/>
        <v>0</v>
      </c>
      <c r="W46" s="2"/>
      <c r="X46" s="2">
        <f t="shared" si="11"/>
        <v>-78.400000000000006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61264.060000000005</v>
      </c>
      <c r="E47" s="2"/>
      <c r="F47" s="19">
        <f t="shared" si="5"/>
        <v>0.30026244511727013</v>
      </c>
      <c r="G47" s="2"/>
      <c r="H47" s="2"/>
      <c r="I47" s="2"/>
      <c r="J47" s="19">
        <f t="shared" si="6"/>
        <v>0</v>
      </c>
      <c r="K47" s="2"/>
      <c r="L47" s="2">
        <f t="shared" si="7"/>
        <v>61264.060000000005</v>
      </c>
      <c r="M47" s="2"/>
      <c r="N47" s="19">
        <f t="shared" si="8"/>
        <v>0</v>
      </c>
      <c r="O47" s="11"/>
      <c r="P47" s="2">
        <v>535157.82999999996</v>
      </c>
      <c r="Q47" s="2"/>
      <c r="R47" s="19">
        <f t="shared" si="9"/>
        <v>0.11108951628107991</v>
      </c>
      <c r="S47" s="2"/>
      <c r="T47" s="2"/>
      <c r="U47" s="2"/>
      <c r="V47" s="19">
        <f t="shared" si="10"/>
        <v>0</v>
      </c>
      <c r="W47" s="2"/>
      <c r="X47" s="2">
        <f t="shared" si="11"/>
        <v>535157.82999999996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258</v>
      </c>
      <c r="E48" s="2"/>
      <c r="F48" s="19">
        <f t="shared" si="5"/>
        <v>1.2644886878253857E-3</v>
      </c>
      <c r="G48" s="2"/>
      <c r="H48" s="2"/>
      <c r="I48" s="2"/>
      <c r="J48" s="19">
        <f t="shared" si="6"/>
        <v>0</v>
      </c>
      <c r="K48" s="2"/>
      <c r="L48" s="2">
        <f t="shared" si="7"/>
        <v>258</v>
      </c>
      <c r="M48" s="2"/>
      <c r="N48" s="19">
        <f t="shared" si="8"/>
        <v>0</v>
      </c>
      <c r="O48" s="11"/>
      <c r="P48" s="2">
        <v>5733</v>
      </c>
      <c r="Q48" s="2"/>
      <c r="R48" s="19">
        <f t="shared" si="9"/>
        <v>1.1900717155524589E-3</v>
      </c>
      <c r="S48" s="2"/>
      <c r="T48" s="2"/>
      <c r="U48" s="2"/>
      <c r="V48" s="19">
        <f t="shared" si="10"/>
        <v>0</v>
      </c>
      <c r="W48" s="2"/>
      <c r="X48" s="2">
        <f t="shared" si="11"/>
        <v>5733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2592.2600000000002</v>
      </c>
      <c r="E49" s="2"/>
      <c r="F49" s="19">
        <f t="shared" si="5"/>
        <v>1.2704974596520289E-2</v>
      </c>
      <c r="G49" s="2"/>
      <c r="H49" s="2"/>
      <c r="I49" s="2"/>
      <c r="J49" s="19">
        <f t="shared" si="6"/>
        <v>0</v>
      </c>
      <c r="K49" s="2"/>
      <c r="L49" s="2">
        <f t="shared" si="7"/>
        <v>2592.2600000000002</v>
      </c>
      <c r="M49" s="2"/>
      <c r="N49" s="19">
        <f t="shared" si="8"/>
        <v>0</v>
      </c>
      <c r="O49" s="11"/>
      <c r="P49" s="2">
        <v>3050.72</v>
      </c>
      <c r="Q49" s="2"/>
      <c r="R49" s="19">
        <f t="shared" si="9"/>
        <v>6.3327674586956175E-4</v>
      </c>
      <c r="S49" s="2"/>
      <c r="T49" s="2"/>
      <c r="U49" s="2"/>
      <c r="V49" s="19">
        <f t="shared" si="10"/>
        <v>0</v>
      </c>
      <c r="W49" s="2"/>
      <c r="X49" s="2">
        <f t="shared" si="11"/>
        <v>3050.72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17.78</v>
      </c>
      <c r="E50" s="2"/>
      <c r="F50" s="19">
        <f t="shared" si="5"/>
        <v>8.7141894843160303E-5</v>
      </c>
      <c r="G50" s="2"/>
      <c r="H50" s="2"/>
      <c r="I50" s="2"/>
      <c r="J50" s="19">
        <f t="shared" si="6"/>
        <v>0</v>
      </c>
      <c r="K50" s="2"/>
      <c r="L50" s="2">
        <f t="shared" si="7"/>
        <v>17.78</v>
      </c>
      <c r="M50" s="2"/>
      <c r="N50" s="19">
        <f t="shared" si="8"/>
        <v>0</v>
      </c>
      <c r="O50" s="11"/>
      <c r="P50" s="2">
        <v>586.71</v>
      </c>
      <c r="Q50" s="2"/>
      <c r="R50" s="19">
        <f t="shared" si="9"/>
        <v>1.2179085578785684E-4</v>
      </c>
      <c r="S50" s="2"/>
      <c r="T50" s="2"/>
      <c r="U50" s="2"/>
      <c r="V50" s="19">
        <f t="shared" si="10"/>
        <v>0</v>
      </c>
      <c r="W50" s="2"/>
      <c r="X50" s="2">
        <f t="shared" si="11"/>
        <v>586.71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237.28</v>
      </c>
      <c r="E51" s="2"/>
      <c r="F51" s="19">
        <f t="shared" si="5"/>
        <v>1.1629375032837499E-3</v>
      </c>
      <c r="G51" s="2"/>
      <c r="H51" s="2"/>
      <c r="I51" s="2"/>
      <c r="J51" s="19">
        <f t="shared" si="6"/>
        <v>0</v>
      </c>
      <c r="K51" s="2"/>
      <c r="L51" s="2">
        <f t="shared" si="7"/>
        <v>237.28</v>
      </c>
      <c r="M51" s="2"/>
      <c r="N51" s="19">
        <f t="shared" si="8"/>
        <v>0</v>
      </c>
      <c r="O51" s="11"/>
      <c r="P51" s="2">
        <v>2268.4299999999998</v>
      </c>
      <c r="Q51" s="2"/>
      <c r="R51" s="19">
        <f t="shared" si="9"/>
        <v>4.7088686232525103E-4</v>
      </c>
      <c r="S51" s="2"/>
      <c r="T51" s="2"/>
      <c r="U51" s="2"/>
      <c r="V51" s="19">
        <f t="shared" si="10"/>
        <v>0</v>
      </c>
      <c r="W51" s="2"/>
      <c r="X51" s="2">
        <f t="shared" si="11"/>
        <v>2268.4299999999998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52958</v>
      </c>
      <c r="E52" s="2"/>
      <c r="F52" s="19">
        <f t="shared" si="5"/>
        <v>0.25955345709246808</v>
      </c>
      <c r="G52" s="2"/>
      <c r="H52" s="2"/>
      <c r="I52" s="2"/>
      <c r="J52" s="19">
        <f t="shared" si="6"/>
        <v>0</v>
      </c>
      <c r="K52" s="2"/>
      <c r="L52" s="2">
        <f t="shared" si="7"/>
        <v>52958</v>
      </c>
      <c r="M52" s="2"/>
      <c r="N52" s="19">
        <f t="shared" si="8"/>
        <v>0</v>
      </c>
      <c r="O52" s="11"/>
      <c r="P52" s="2">
        <v>-2521582</v>
      </c>
      <c r="Q52" s="2"/>
      <c r="R52" s="19">
        <f t="shared" si="9"/>
        <v>-0.52343684225470088</v>
      </c>
      <c r="S52" s="2"/>
      <c r="T52" s="2"/>
      <c r="U52" s="2"/>
      <c r="V52" s="19">
        <f t="shared" si="10"/>
        <v>0</v>
      </c>
      <c r="W52" s="2"/>
      <c r="X52" s="2">
        <f t="shared" si="11"/>
        <v>-2521582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247383</v>
      </c>
      <c r="E53" s="2"/>
      <c r="F53" s="19">
        <f t="shared" si="5"/>
        <v>1.2124535079856875</v>
      </c>
      <c r="G53" s="2"/>
      <c r="H53" s="2"/>
      <c r="I53" s="2"/>
      <c r="J53" s="19">
        <f t="shared" si="6"/>
        <v>0</v>
      </c>
      <c r="K53" s="2"/>
      <c r="L53" s="2">
        <f t="shared" si="7"/>
        <v>247383</v>
      </c>
      <c r="M53" s="2"/>
      <c r="N53" s="19">
        <f t="shared" si="8"/>
        <v>0</v>
      </c>
      <c r="O53" s="11"/>
      <c r="P53" s="2">
        <v>2304316.4700000002</v>
      </c>
      <c r="Q53" s="2"/>
      <c r="R53" s="19">
        <f t="shared" si="9"/>
        <v>0.47833627326507699</v>
      </c>
      <c r="S53" s="2"/>
      <c r="T53" s="2"/>
      <c r="U53" s="2"/>
      <c r="V53" s="19">
        <f t="shared" si="10"/>
        <v>0</v>
      </c>
      <c r="W53" s="2"/>
      <c r="X53" s="2">
        <f t="shared" si="11"/>
        <v>2304316.4700000002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>
        <v>33.950000000000003</v>
      </c>
      <c r="E54" s="2"/>
      <c r="F54" s="19">
        <f t="shared" si="5"/>
        <v>1.6639298818477458E-4</v>
      </c>
      <c r="G54" s="2"/>
      <c r="H54" s="2"/>
      <c r="I54" s="2"/>
      <c r="J54" s="19">
        <f t="shared" si="6"/>
        <v>0</v>
      </c>
      <c r="K54" s="2"/>
      <c r="L54" s="2">
        <f t="shared" si="7"/>
        <v>33.950000000000003</v>
      </c>
      <c r="M54" s="2"/>
      <c r="N54" s="19">
        <f t="shared" si="8"/>
        <v>0</v>
      </c>
      <c r="O54" s="11"/>
      <c r="P54" s="2">
        <v>41.25</v>
      </c>
      <c r="Q54" s="2"/>
      <c r="R54" s="19">
        <f t="shared" si="9"/>
        <v>8.5627870689933593E-6</v>
      </c>
      <c r="S54" s="2"/>
      <c r="T54" s="2"/>
      <c r="U54" s="2"/>
      <c r="V54" s="19">
        <f t="shared" si="10"/>
        <v>0</v>
      </c>
      <c r="W54" s="2"/>
      <c r="X54" s="2">
        <f t="shared" si="11"/>
        <v>41.25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23947.37</v>
      </c>
      <c r="E55" s="2"/>
      <c r="F55" s="19">
        <f t="shared" si="5"/>
        <v>0.11736890879135273</v>
      </c>
      <c r="G55" s="2"/>
      <c r="H55" s="2"/>
      <c r="I55" s="2"/>
      <c r="J55" s="19">
        <f t="shared" si="6"/>
        <v>0</v>
      </c>
      <c r="K55" s="2"/>
      <c r="L55" s="2">
        <f t="shared" si="7"/>
        <v>23947.37</v>
      </c>
      <c r="M55" s="2"/>
      <c r="N55" s="19">
        <f t="shared" si="8"/>
        <v>0</v>
      </c>
      <c r="O55" s="11"/>
      <c r="P55" s="2">
        <v>66024.739999999991</v>
      </c>
      <c r="Q55" s="2"/>
      <c r="R55" s="19">
        <f t="shared" si="9"/>
        <v>1.3705594906803601E-2</v>
      </c>
      <c r="S55" s="2"/>
      <c r="T55" s="2"/>
      <c r="U55" s="2"/>
      <c r="V55" s="19">
        <f t="shared" si="10"/>
        <v>0</v>
      </c>
      <c r="W55" s="2"/>
      <c r="X55" s="2">
        <f t="shared" si="11"/>
        <v>66024.739999999991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2979.86</v>
      </c>
      <c r="E56" s="2"/>
      <c r="F56" s="19">
        <f t="shared" si="5"/>
        <v>1.4604648299625402E-2</v>
      </c>
      <c r="G56" s="2"/>
      <c r="H56" s="2"/>
      <c r="I56" s="2"/>
      <c r="J56" s="19">
        <f t="shared" si="6"/>
        <v>0</v>
      </c>
      <c r="K56" s="2"/>
      <c r="L56" s="2">
        <f t="shared" si="7"/>
        <v>2979.86</v>
      </c>
      <c r="M56" s="2"/>
      <c r="N56" s="19">
        <f t="shared" si="8"/>
        <v>0</v>
      </c>
      <c r="O56" s="11"/>
      <c r="P56" s="2">
        <v>14758.089999999998</v>
      </c>
      <c r="Q56" s="2"/>
      <c r="R56" s="19">
        <f t="shared" si="9"/>
        <v>3.0635244173343079E-3</v>
      </c>
      <c r="S56" s="2"/>
      <c r="T56" s="2"/>
      <c r="U56" s="2"/>
      <c r="V56" s="19">
        <f t="shared" si="10"/>
        <v>0</v>
      </c>
      <c r="W56" s="2"/>
      <c r="X56" s="2">
        <f t="shared" si="11"/>
        <v>14758.089999999998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105.97</v>
      </c>
      <c r="Q57" s="2"/>
      <c r="R57" s="19">
        <f t="shared" si="9"/>
        <v>2.1997540501847909E-5</v>
      </c>
      <c r="S57" s="2"/>
      <c r="T57" s="2"/>
      <c r="U57" s="2"/>
      <c r="V57" s="19">
        <f t="shared" si="10"/>
        <v>0</v>
      </c>
      <c r="W57" s="2"/>
      <c r="X57" s="2">
        <f t="shared" si="11"/>
        <v>105.97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21.41</v>
      </c>
      <c r="Q58" s="2"/>
      <c r="R58" s="19">
        <f t="shared" si="9"/>
        <v>4.4443459672035839E-6</v>
      </c>
      <c r="S58" s="2"/>
      <c r="T58" s="2"/>
      <c r="U58" s="2"/>
      <c r="V58" s="19">
        <f t="shared" si="10"/>
        <v>0</v>
      </c>
      <c r="W58" s="2"/>
      <c r="X58" s="2">
        <f t="shared" si="11"/>
        <v>21.41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21.13</v>
      </c>
      <c r="Q59" s="2"/>
      <c r="R59" s="19">
        <f t="shared" si="9"/>
        <v>4.3862228064928406E-6</v>
      </c>
      <c r="S59" s="2"/>
      <c r="T59" s="2"/>
      <c r="U59" s="2"/>
      <c r="V59" s="19">
        <f t="shared" si="10"/>
        <v>0</v>
      </c>
      <c r="W59" s="2"/>
      <c r="X59" s="2">
        <f t="shared" si="11"/>
        <v>21.13</v>
      </c>
      <c r="Y59" s="2"/>
      <c r="Z59" s="19">
        <f t="shared" si="12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6</v>
      </c>
      <c r="C61" s="28"/>
      <c r="D61" s="21">
        <f>D12-D42</f>
        <v>-88889.170000000071</v>
      </c>
      <c r="E61" s="14"/>
      <c r="F61" s="22">
        <f>IF(D$12=0,0,D61/D$12)</f>
        <v>-0.43565639509762683</v>
      </c>
      <c r="G61" s="14"/>
      <c r="H61" s="21">
        <f>H12-H42</f>
        <v>52589.829999999987</v>
      </c>
      <c r="I61" s="14"/>
      <c r="J61" s="22">
        <f>IF(H$12=0,0,H61/H$12)</f>
        <v>0.27824423563273115</v>
      </c>
      <c r="K61" s="15"/>
      <c r="L61" s="21">
        <f>+D61-H61</f>
        <v>-141479.00000000006</v>
      </c>
      <c r="M61" s="15"/>
      <c r="N61" s="22">
        <f>IF(H61=0,0,L61/H61)</f>
        <v>-2.6902349750892918</v>
      </c>
      <c r="O61" s="29"/>
      <c r="P61" s="21">
        <f>P12-P42</f>
        <v>1365776.5499999984</v>
      </c>
      <c r="Q61" s="14"/>
      <c r="R61" s="22">
        <f>IF(P$12=0,0,P61/P$12)</f>
        <v>0.28351160682362059</v>
      </c>
      <c r="S61" s="14"/>
      <c r="T61" s="21">
        <f>T12-T42</f>
        <v>1483496.8299999996</v>
      </c>
      <c r="U61" s="14"/>
      <c r="V61" s="22">
        <f>IF(T$12=0,0,T61/T$12)</f>
        <v>0.27872432292484733</v>
      </c>
      <c r="W61" s="15"/>
      <c r="X61" s="21">
        <f>+P61-T61</f>
        <v>-117720.28000000119</v>
      </c>
      <c r="Y61" s="15"/>
      <c r="Z61" s="22">
        <f>IF(T61=0,0,X61/T61)</f>
        <v>-7.9353240006587153E-2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9</v>
      </c>
      <c r="C63" s="10"/>
      <c r="D63" s="20">
        <f>SUM(OSRRefD22x_0)</f>
        <v>70554.160000000018</v>
      </c>
      <c r="E63" s="20"/>
      <c r="F63" s="34">
        <f t="shared" ref="F63:F74" si="13">IF(D$12=0,0,D63/D$12)</f>
        <v>0.34579433022876871</v>
      </c>
      <c r="G63" s="20"/>
      <c r="H63" s="20">
        <f>SUM(OSRRefH22x_0)</f>
        <v>54144.90561397787</v>
      </c>
      <c r="I63" s="20"/>
      <c r="J63" s="34">
        <f t="shared" ref="J63:J74" si="14">IF(H$12=0,0,H63/H$12)</f>
        <v>0.28647188773889648</v>
      </c>
      <c r="K63" s="4"/>
      <c r="L63" s="20">
        <f t="shared" ref="L63:L74" si="15">+D63-H63</f>
        <v>16409.254386022149</v>
      </c>
      <c r="M63" s="4"/>
      <c r="N63" s="34">
        <f t="shared" ref="N63:N74" si="16">IF(H63=0,0,L63/H63)</f>
        <v>0.30306183379486751</v>
      </c>
      <c r="O63" s="10"/>
      <c r="P63" s="20">
        <f>SUM(OSRRefP22x_0)</f>
        <v>377142.68000000011</v>
      </c>
      <c r="Q63" s="20"/>
      <c r="R63" s="34">
        <f t="shared" ref="R63:R74" si="17">IF(P$12=0,0,P63/P$12)</f>
        <v>7.8288302144715188E-2</v>
      </c>
      <c r="S63" s="20"/>
      <c r="T63" s="20">
        <f>SUM(OSRRefT22x_0)</f>
        <v>460453.15882600611</v>
      </c>
      <c r="U63" s="20"/>
      <c r="V63" s="34">
        <f t="shared" ref="V63:V74" si="18">IF(T$12=0,0,T63/T$12)</f>
        <v>8.6511472311259191E-2</v>
      </c>
      <c r="W63" s="4"/>
      <c r="X63" s="20">
        <f t="shared" ref="X63:X74" si="19">+P63-T63</f>
        <v>-83310.478826006001</v>
      </c>
      <c r="Y63" s="4"/>
      <c r="Z63" s="34">
        <f t="shared" ref="Z63:Z74" si="20">IF(T63=0,0,X63/T63)</f>
        <v>-0.18093149591680177</v>
      </c>
    </row>
    <row r="64" spans="1:26" s="27" customFormat="1" outlineLevel="1" collapsed="1" x14ac:dyDescent="0.25">
      <c r="A64" s="26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9906.17</v>
      </c>
      <c r="E64" s="1"/>
      <c r="F64" s="5">
        <f t="shared" si="13"/>
        <v>4.8551317459981397E-2</v>
      </c>
      <c r="G64" s="1"/>
      <c r="H64" s="1">
        <f>SUM(OSRRefH22_0x_0)</f>
        <v>11986.688598254772</v>
      </c>
      <c r="I64" s="1"/>
      <c r="J64" s="5">
        <f t="shared" si="14"/>
        <v>6.3419619473745664E-2</v>
      </c>
      <c r="K64" s="1"/>
      <c r="L64" s="1">
        <f t="shared" si="15"/>
        <v>-2080.5185982547719</v>
      </c>
      <c r="M64" s="1"/>
      <c r="N64" s="5">
        <f t="shared" si="16"/>
        <v>-0.17356908717539299</v>
      </c>
      <c r="O64" s="13"/>
      <c r="P64" s="1">
        <f>SUM(OSRRefP22_0x_0)</f>
        <v>81665.299999999988</v>
      </c>
      <c r="Q64" s="1"/>
      <c r="R64" s="5">
        <f t="shared" si="17"/>
        <v>1.6952304844253654E-2</v>
      </c>
      <c r="S64" s="1"/>
      <c r="T64" s="1">
        <f>SUM(OSRRefT22_0x_0)</f>
        <v>103052.50918842922</v>
      </c>
      <c r="U64" s="1"/>
      <c r="V64" s="5">
        <f t="shared" si="18"/>
        <v>1.9361848484200368E-2</v>
      </c>
      <c r="W64" s="1"/>
      <c r="X64" s="1">
        <f t="shared" si="19"/>
        <v>-21387.209188429231</v>
      </c>
      <c r="Y64" s="1"/>
      <c r="Z64" s="5">
        <f t="shared" si="20"/>
        <v>-0.20753700571543771</v>
      </c>
    </row>
    <row r="65" spans="1:26" s="24" customFormat="1" hidden="1" outlineLevel="2" x14ac:dyDescent="0.25">
      <c r="A65" s="25"/>
      <c r="B65" s="11" t="str">
        <f>CONCATENATE("          ", "6111", " - ", "F.I.C.A.")</f>
        <v xml:space="preserve">          6111 - F.I.C.A.</v>
      </c>
      <c r="C65" s="11"/>
      <c r="D65" s="6">
        <v>1721.42</v>
      </c>
      <c r="E65" s="2"/>
      <c r="F65" s="7">
        <f t="shared" si="13"/>
        <v>8.4368841744045554E-3</v>
      </c>
      <c r="G65" s="2"/>
      <c r="H65" s="6">
        <v>1602.9579046486201</v>
      </c>
      <c r="I65" s="2"/>
      <c r="J65" s="7">
        <f t="shared" si="14"/>
        <v>8.4809895169921604E-3</v>
      </c>
      <c r="K65" s="2"/>
      <c r="L65" s="6">
        <f t="shared" si="15"/>
        <v>118.46209535137996</v>
      </c>
      <c r="M65" s="2"/>
      <c r="N65" s="7">
        <f t="shared" si="16"/>
        <v>7.390218732995843E-2</v>
      </c>
      <c r="O65" s="11"/>
      <c r="P65" s="6">
        <v>14032.9</v>
      </c>
      <c r="Q65" s="2"/>
      <c r="R65" s="7">
        <f t="shared" si="17"/>
        <v>2.9129875069206523E-3</v>
      </c>
      <c r="S65" s="2"/>
      <c r="T65" s="6">
        <v>14927.48159567541</v>
      </c>
      <c r="U65" s="2"/>
      <c r="V65" s="7">
        <f t="shared" si="18"/>
        <v>2.804624935213208E-3</v>
      </c>
      <c r="W65" s="2"/>
      <c r="X65" s="6">
        <f t="shared" si="19"/>
        <v>-894.58159567541043</v>
      </c>
      <c r="Y65" s="2"/>
      <c r="Z65" s="7">
        <f t="shared" si="20"/>
        <v>-5.9928500996080721E-2</v>
      </c>
    </row>
    <row r="66" spans="1:26" s="24" customFormat="1" hidden="1" outlineLevel="2" x14ac:dyDescent="0.25">
      <c r="A66" s="25"/>
      <c r="B66" s="11" t="str">
        <f>CONCATENATE("          ", "6112", " - ", "COMPENSATION INSURANCE")</f>
        <v xml:space="preserve">          6112 - COMPENSATION INSURANCE</v>
      </c>
      <c r="C66" s="11"/>
      <c r="D66" s="6">
        <v>83.46</v>
      </c>
      <c r="E66" s="2"/>
      <c r="F66" s="7">
        <f t="shared" si="13"/>
        <v>4.0904738715467703E-4</v>
      </c>
      <c r="G66" s="2"/>
      <c r="H66" s="6">
        <v>543.54732570769204</v>
      </c>
      <c r="I66" s="2"/>
      <c r="J66" s="7">
        <f t="shared" si="14"/>
        <v>2.8758204803429098E-3</v>
      </c>
      <c r="K66" s="2"/>
      <c r="L66" s="6">
        <f t="shared" si="15"/>
        <v>-460.08732570769206</v>
      </c>
      <c r="M66" s="2"/>
      <c r="N66" s="7">
        <f t="shared" si="16"/>
        <v>-0.84645311263129464</v>
      </c>
      <c r="O66" s="11"/>
      <c r="P66" s="6">
        <v>556.78</v>
      </c>
      <c r="Q66" s="2"/>
      <c r="R66" s="7">
        <f t="shared" si="17"/>
        <v>1.1557790507331207E-4</v>
      </c>
      <c r="S66" s="2"/>
      <c r="T66" s="6">
        <v>4995.724114192305</v>
      </c>
      <c r="U66" s="2"/>
      <c r="V66" s="7">
        <f t="shared" si="18"/>
        <v>9.3861327714976194E-4</v>
      </c>
      <c r="W66" s="2"/>
      <c r="X66" s="6">
        <f t="shared" si="19"/>
        <v>-4438.9441141923053</v>
      </c>
      <c r="Y66" s="2"/>
      <c r="Z66" s="7">
        <f t="shared" si="20"/>
        <v>-0.88854868938453813</v>
      </c>
    </row>
    <row r="67" spans="1:26" s="24" customFormat="1" hidden="1" outlineLevel="2" x14ac:dyDescent="0.25">
      <c r="A67" s="25"/>
      <c r="B67" s="11" t="str">
        <f>CONCATENATE("          ", "6113", " - ", "GROUP INSURANCE")</f>
        <v xml:space="preserve">          6113 - GROUP INSURANCE</v>
      </c>
      <c r="C67" s="11"/>
      <c r="D67" s="6">
        <v>4248.21</v>
      </c>
      <c r="E67" s="2"/>
      <c r="F67" s="7">
        <f t="shared" si="13"/>
        <v>2.0820982513591789E-2</v>
      </c>
      <c r="G67" s="2"/>
      <c r="H67" s="6">
        <v>5311.7692307692296</v>
      </c>
      <c r="I67" s="2"/>
      <c r="J67" s="7">
        <f t="shared" si="14"/>
        <v>2.8103706923426924E-2</v>
      </c>
      <c r="K67" s="2"/>
      <c r="L67" s="6">
        <f t="shared" si="15"/>
        <v>-1063.5592307692295</v>
      </c>
      <c r="M67" s="2"/>
      <c r="N67" s="7">
        <f t="shared" si="16"/>
        <v>-0.20022692714291901</v>
      </c>
      <c r="O67" s="11"/>
      <c r="P67" s="6">
        <v>33507.839999999997</v>
      </c>
      <c r="Q67" s="2"/>
      <c r="R67" s="7">
        <f t="shared" si="17"/>
        <v>6.9556484621066282E-3</v>
      </c>
      <c r="S67" s="2"/>
      <c r="T67" s="6">
        <v>43909.230769230766</v>
      </c>
      <c r="U67" s="2"/>
      <c r="V67" s="7">
        <f t="shared" si="18"/>
        <v>8.2498124490800046E-3</v>
      </c>
      <c r="W67" s="2"/>
      <c r="X67" s="6">
        <f t="shared" si="19"/>
        <v>-10401.390769230769</v>
      </c>
      <c r="Y67" s="2"/>
      <c r="Z67" s="7">
        <f t="shared" si="20"/>
        <v>-0.23688392137626574</v>
      </c>
    </row>
    <row r="68" spans="1:26" s="24" customFormat="1" hidden="1" outlineLevel="2" x14ac:dyDescent="0.25">
      <c r="A68" s="25"/>
      <c r="B68" s="11" t="str">
        <f>CONCATENATE("          ", "6114", " - ", "STATE UNEMPLOYMENT INSURANCE")</f>
        <v xml:space="preserve">          6114 - STATE UNEMPLOYMENT INSURANCE</v>
      </c>
      <c r="C68" s="11"/>
      <c r="D68" s="6">
        <v>63.82</v>
      </c>
      <c r="E68" s="2"/>
      <c r="F68" s="7">
        <f t="shared" si="13"/>
        <v>3.1278941107370584E-4</v>
      </c>
      <c r="G68" s="2"/>
      <c r="H68" s="6">
        <v>74.380160360000005</v>
      </c>
      <c r="I68" s="2"/>
      <c r="J68" s="7">
        <f t="shared" si="14"/>
        <v>3.9353332888903E-4</v>
      </c>
      <c r="K68" s="2"/>
      <c r="L68" s="6">
        <f t="shared" si="15"/>
        <v>-10.560160360000005</v>
      </c>
      <c r="M68" s="2"/>
      <c r="N68" s="7">
        <f t="shared" si="16"/>
        <v>-0.14197549869331855</v>
      </c>
      <c r="O68" s="11"/>
      <c r="P68" s="6">
        <v>524.22</v>
      </c>
      <c r="Q68" s="2"/>
      <c r="R68" s="7">
        <f t="shared" si="17"/>
        <v>1.0881901181351999E-4</v>
      </c>
      <c r="S68" s="2"/>
      <c r="T68" s="6">
        <v>683.62540510000008</v>
      </c>
      <c r="U68" s="2"/>
      <c r="V68" s="7">
        <f t="shared" si="18"/>
        <v>1.284418168731254E-4</v>
      </c>
      <c r="W68" s="2"/>
      <c r="X68" s="6">
        <f t="shared" si="19"/>
        <v>-159.40540510000005</v>
      </c>
      <c r="Y68" s="2"/>
      <c r="Z68" s="7">
        <f t="shared" si="20"/>
        <v>-0.23317653778048575</v>
      </c>
    </row>
    <row r="69" spans="1:26" s="24" customFormat="1" hidden="1" outlineLevel="2" x14ac:dyDescent="0.25">
      <c r="A69" s="25"/>
      <c r="B69" s="11" t="str">
        <f>CONCATENATE("          ", "6115", " - ", "P.E.R.S.")</f>
        <v xml:space="preserve">          6115 - P.E.R.S.</v>
      </c>
      <c r="C69" s="11"/>
      <c r="D69" s="6">
        <v>1334.35</v>
      </c>
      <c r="E69" s="2"/>
      <c r="F69" s="7">
        <f t="shared" si="13"/>
        <v>6.5398080643403224E-3</v>
      </c>
      <c r="G69" s="2"/>
      <c r="H69" s="6">
        <v>1235.9586478769202</v>
      </c>
      <c r="I69" s="2"/>
      <c r="J69" s="7">
        <f t="shared" si="14"/>
        <v>6.5392561499471981E-3</v>
      </c>
      <c r="K69" s="2"/>
      <c r="L69" s="6">
        <f t="shared" si="15"/>
        <v>98.391352123079741</v>
      </c>
      <c r="M69" s="2"/>
      <c r="N69" s="7">
        <f t="shared" si="16"/>
        <v>7.9607317196325647E-2</v>
      </c>
      <c r="O69" s="11"/>
      <c r="P69" s="6">
        <v>11764.02</v>
      </c>
      <c r="Q69" s="2"/>
      <c r="R69" s="7">
        <f t="shared" si="17"/>
        <v>2.4420072323728306E-3</v>
      </c>
      <c r="S69" s="2"/>
      <c r="T69" s="6">
        <v>10814.638168923049</v>
      </c>
      <c r="U69" s="2"/>
      <c r="V69" s="7">
        <f t="shared" si="18"/>
        <v>2.0318902206958463E-3</v>
      </c>
      <c r="W69" s="2"/>
      <c r="X69" s="6">
        <f t="shared" si="19"/>
        <v>949.38183107695113</v>
      </c>
      <c r="Y69" s="2"/>
      <c r="Z69" s="7">
        <f t="shared" si="20"/>
        <v>8.7786740180091763E-2</v>
      </c>
    </row>
    <row r="70" spans="1:26" s="24" customFormat="1" hidden="1" outlineLevel="2" x14ac:dyDescent="0.25">
      <c r="A70" s="25"/>
      <c r="B70" s="11" t="str">
        <f>CONCATENATE("          ", "6116", " - ", "EDUCATIONAL BENEFITS")</f>
        <v xml:space="preserve">          6116 - EDUCATIONAL BENEFITS</v>
      </c>
      <c r="C70" s="11"/>
      <c r="D70" s="6"/>
      <c r="E70" s="2"/>
      <c r="F70" s="7">
        <f t="shared" si="13"/>
        <v>0</v>
      </c>
      <c r="G70" s="2"/>
      <c r="H70" s="6">
        <v>0</v>
      </c>
      <c r="I70" s="2"/>
      <c r="J70" s="7">
        <f t="shared" si="14"/>
        <v>0</v>
      </c>
      <c r="K70" s="2"/>
      <c r="L70" s="6">
        <f t="shared" si="15"/>
        <v>0</v>
      </c>
      <c r="M70" s="2"/>
      <c r="N70" s="7">
        <f t="shared" si="16"/>
        <v>0</v>
      </c>
      <c r="O70" s="11"/>
      <c r="P70" s="6"/>
      <c r="Q70" s="2"/>
      <c r="R70" s="7">
        <f t="shared" si="17"/>
        <v>0</v>
      </c>
      <c r="S70" s="2"/>
      <c r="T70" s="6">
        <v>0</v>
      </c>
      <c r="U70" s="2"/>
      <c r="V70" s="7">
        <f t="shared" si="18"/>
        <v>0</v>
      </c>
      <c r="W70" s="2"/>
      <c r="X70" s="6">
        <f t="shared" si="19"/>
        <v>0</v>
      </c>
      <c r="Y70" s="2"/>
      <c r="Z70" s="7">
        <f t="shared" si="20"/>
        <v>0</v>
      </c>
    </row>
    <row r="71" spans="1:26" s="24" customFormat="1" hidden="1" outlineLevel="2" x14ac:dyDescent="0.25">
      <c r="A71" s="25"/>
      <c r="B71" s="11" t="str">
        <f>CONCATENATE("          ", "6117", " - ", "RETIREMENT STAFF HOURLY")</f>
        <v xml:space="preserve">          6117 - RETIREMENT STAFF HOURLY</v>
      </c>
      <c r="C71" s="11"/>
      <c r="D71" s="6">
        <v>111.34</v>
      </c>
      <c r="E71" s="2"/>
      <c r="F71" s="7">
        <f t="shared" si="13"/>
        <v>5.4569058334293964E-4</v>
      </c>
      <c r="G71" s="2"/>
      <c r="H71" s="6"/>
      <c r="I71" s="2"/>
      <c r="J71" s="7">
        <f t="shared" si="14"/>
        <v>0</v>
      </c>
      <c r="K71" s="2"/>
      <c r="L71" s="6">
        <f t="shared" si="15"/>
        <v>111.34</v>
      </c>
      <c r="M71" s="2"/>
      <c r="N71" s="7">
        <f t="shared" si="16"/>
        <v>0</v>
      </c>
      <c r="O71" s="11"/>
      <c r="P71" s="6">
        <v>1063.57</v>
      </c>
      <c r="Q71" s="2"/>
      <c r="R71" s="7">
        <f t="shared" si="17"/>
        <v>2.2077875013258829E-4</v>
      </c>
      <c r="S71" s="2"/>
      <c r="T71" s="6"/>
      <c r="U71" s="2"/>
      <c r="V71" s="7">
        <f t="shared" si="18"/>
        <v>0</v>
      </c>
      <c r="W71" s="2"/>
      <c r="X71" s="6">
        <f t="shared" si="19"/>
        <v>1063.57</v>
      </c>
      <c r="Y71" s="2"/>
      <c r="Z71" s="7">
        <f t="shared" si="20"/>
        <v>0</v>
      </c>
    </row>
    <row r="72" spans="1:26" s="24" customFormat="1" hidden="1" outlineLevel="2" x14ac:dyDescent="0.25">
      <c r="A72" s="25"/>
      <c r="B72" s="11" t="str">
        <f>CONCATENATE("          ", "6118", " - ", "VACATION")</f>
        <v xml:space="preserve">          6118 - VACATION</v>
      </c>
      <c r="C72" s="11"/>
      <c r="D72" s="6">
        <v>629.08000000000004</v>
      </c>
      <c r="E72" s="2"/>
      <c r="F72" s="7">
        <f t="shared" si="13"/>
        <v>3.0831959059581149E-3</v>
      </c>
      <c r="G72" s="2"/>
      <c r="H72" s="6">
        <v>1427.9603583999999</v>
      </c>
      <c r="I72" s="2"/>
      <c r="J72" s="7">
        <f t="shared" si="14"/>
        <v>7.5551059670063382E-3</v>
      </c>
      <c r="K72" s="2"/>
      <c r="L72" s="6">
        <f t="shared" si="15"/>
        <v>-798.88035839999986</v>
      </c>
      <c r="M72" s="2"/>
      <c r="N72" s="7">
        <f t="shared" si="16"/>
        <v>-0.55945555750240072</v>
      </c>
      <c r="O72" s="11"/>
      <c r="P72" s="6">
        <v>7046.72</v>
      </c>
      <c r="Q72" s="2"/>
      <c r="R72" s="7">
        <f t="shared" si="17"/>
        <v>1.4627772822985914E-3</v>
      </c>
      <c r="S72" s="2"/>
      <c r="T72" s="6">
        <v>12494.653136000001</v>
      </c>
      <c r="U72" s="2"/>
      <c r="V72" s="7">
        <f t="shared" si="18"/>
        <v>2.3475370254161052E-3</v>
      </c>
      <c r="W72" s="2"/>
      <c r="X72" s="6">
        <f t="shared" si="19"/>
        <v>-5447.9331360000006</v>
      </c>
      <c r="Y72" s="2"/>
      <c r="Z72" s="7">
        <f t="shared" si="20"/>
        <v>-0.43602115854686985</v>
      </c>
    </row>
    <row r="73" spans="1:26" s="24" customFormat="1" hidden="1" outlineLevel="2" x14ac:dyDescent="0.25">
      <c r="A73" s="25"/>
      <c r="B73" s="11" t="str">
        <f>CONCATENATE("          ", "6119", " - ", "SICK LEAVE")</f>
        <v xml:space="preserve">          6119 - SICK LEAVE</v>
      </c>
      <c r="C73" s="11"/>
      <c r="D73" s="6">
        <v>925.42</v>
      </c>
      <c r="E73" s="2"/>
      <c r="F73" s="7">
        <f t="shared" si="13"/>
        <v>4.5355934941370864E-3</v>
      </c>
      <c r="G73" s="2"/>
      <c r="H73" s="6">
        <v>1040.11497049231</v>
      </c>
      <c r="I73" s="2"/>
      <c r="J73" s="7">
        <f t="shared" si="14"/>
        <v>5.503079111204459E-3</v>
      </c>
      <c r="K73" s="2"/>
      <c r="L73" s="6">
        <f t="shared" si="15"/>
        <v>-114.69497049231006</v>
      </c>
      <c r="M73" s="2"/>
      <c r="N73" s="7">
        <f t="shared" si="16"/>
        <v>-0.11027143512608258</v>
      </c>
      <c r="O73" s="11"/>
      <c r="P73" s="6">
        <v>7970.95</v>
      </c>
      <c r="Q73" s="2"/>
      <c r="R73" s="7">
        <f t="shared" si="17"/>
        <v>1.654631456668912E-3</v>
      </c>
      <c r="S73" s="2"/>
      <c r="T73" s="6">
        <v>9227.1559993076917</v>
      </c>
      <c r="U73" s="2"/>
      <c r="V73" s="7">
        <f t="shared" si="18"/>
        <v>1.7336287860008305E-3</v>
      </c>
      <c r="W73" s="2"/>
      <c r="X73" s="6">
        <f t="shared" si="19"/>
        <v>-1256.2059993076919</v>
      </c>
      <c r="Y73" s="2"/>
      <c r="Z73" s="7">
        <f t="shared" si="20"/>
        <v>-0.13614227389262135</v>
      </c>
    </row>
    <row r="74" spans="1:26" s="24" customFormat="1" hidden="1" outlineLevel="2" x14ac:dyDescent="0.25">
      <c r="A74" s="25"/>
      <c r="B74" s="11" t="str">
        <f>CONCATENATE("          ", "6156", " - ", "EMPLOYEE MEALS")</f>
        <v xml:space="preserve">          6156 - EMPLOYEE MEALS</v>
      </c>
      <c r="C74" s="11"/>
      <c r="D74" s="6">
        <v>789.07</v>
      </c>
      <c r="E74" s="2"/>
      <c r="F74" s="7">
        <f t="shared" si="13"/>
        <v>3.8673259259782056E-3</v>
      </c>
      <c r="G74" s="2"/>
      <c r="H74" s="6">
        <v>750</v>
      </c>
      <c r="I74" s="2"/>
      <c r="J74" s="7">
        <f t="shared" si="14"/>
        <v>3.9681279959366371E-3</v>
      </c>
      <c r="K74" s="2"/>
      <c r="L74" s="6">
        <f t="shared" si="15"/>
        <v>39.07000000000005</v>
      </c>
      <c r="M74" s="2"/>
      <c r="N74" s="7">
        <f t="shared" si="16"/>
        <v>5.2093333333333401E-2</v>
      </c>
      <c r="O74" s="11"/>
      <c r="P74" s="6">
        <v>5198.3</v>
      </c>
      <c r="Q74" s="2"/>
      <c r="R74" s="7">
        <f t="shared" si="17"/>
        <v>1.0790772368666226E-3</v>
      </c>
      <c r="S74" s="2"/>
      <c r="T74" s="6">
        <v>6000</v>
      </c>
      <c r="U74" s="2"/>
      <c r="V74" s="7">
        <f t="shared" si="18"/>
        <v>1.1272999737714873E-3</v>
      </c>
      <c r="W74" s="2"/>
      <c r="X74" s="6">
        <f t="shared" si="19"/>
        <v>-801.69999999999982</v>
      </c>
      <c r="Y74" s="2"/>
      <c r="Z74" s="7">
        <f t="shared" si="20"/>
        <v>-0.13361666666666663</v>
      </c>
    </row>
    <row r="75" spans="1:26" s="27" customFormat="1" outlineLevel="1" collapsed="1" x14ac:dyDescent="0.25">
      <c r="A75" s="26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55278.33</v>
      </c>
      <c r="E75" s="1"/>
      <c r="F75" s="5">
        <f t="shared" ref="F75:F85" si="21">IF(D$12=0,0,D75/D$12)</f>
        <v>0.27092567041425836</v>
      </c>
      <c r="G75" s="1"/>
      <c r="H75" s="1">
        <f>SUM(OSRRefH22_1x_0)</f>
        <v>26293.217015723101</v>
      </c>
      <c r="I75" s="1"/>
      <c r="J75" s="5">
        <f t="shared" ref="J75:J85" si="22">IF(H$12=0,0,H75/H$12)</f>
        <v>0.13911313405777118</v>
      </c>
      <c r="K75" s="1"/>
      <c r="L75" s="1">
        <f t="shared" ref="L75:L85" si="23">+D75-H75</f>
        <v>28985.112984276901</v>
      </c>
      <c r="M75" s="1"/>
      <c r="N75" s="5">
        <f t="shared" ref="N75:N85" si="24">IF(H75=0,0,L75/H75)</f>
        <v>1.1023798634812951</v>
      </c>
      <c r="O75" s="13"/>
      <c r="P75" s="1">
        <f>SUM(OSRRefP22_1x_0)</f>
        <v>232963.76</v>
      </c>
      <c r="Q75" s="1"/>
      <c r="R75" s="5">
        <f t="shared" ref="R75:R85" si="25">IF(P$12=0,0,P75/P$12)</f>
        <v>4.8359250222353274E-2</v>
      </c>
      <c r="S75" s="1"/>
      <c r="T75" s="1">
        <f>SUM(OSRRefT22_1x_0)</f>
        <v>242680.64963757689</v>
      </c>
      <c r="U75" s="1"/>
      <c r="V75" s="5">
        <f t="shared" ref="V75:V85" si="26">IF(T$12=0,0,T75/T$12)</f>
        <v>4.559564832854799E-2</v>
      </c>
      <c r="W75" s="1"/>
      <c r="X75" s="1">
        <f t="shared" ref="X75:X85" si="27">+P75-T75</f>
        <v>-9716.8896375768818</v>
      </c>
      <c r="Y75" s="1"/>
      <c r="Z75" s="5">
        <f t="shared" ref="Z75:Z85" si="28">IF(T75=0,0,X75/T75)</f>
        <v>-4.0039820447523272E-2</v>
      </c>
    </row>
    <row r="76" spans="1:26" s="24" customFormat="1" hidden="1" outlineLevel="2" x14ac:dyDescent="0.25">
      <c r="A76" s="25"/>
      <c r="B76" s="11" t="str">
        <f>CONCATENATE("          ", "6001", " - ", "ADMINISTRATIVE SALARIES")</f>
        <v xml:space="preserve">          6001 - ADMINISTRATIVE SALARIES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"6002", " - ", "STAFF SALARIES")</f>
        <v xml:space="preserve">          6002 - STAFF SALARIES</v>
      </c>
      <c r="C77" s="11"/>
      <c r="D77" s="6">
        <v>22827.9</v>
      </c>
      <c r="E77" s="2"/>
      <c r="F77" s="7">
        <f t="shared" si="21"/>
        <v>0.11188225316592683</v>
      </c>
      <c r="G77" s="2"/>
      <c r="H77" s="6">
        <v>12765.0123437231</v>
      </c>
      <c r="I77" s="2"/>
      <c r="J77" s="7">
        <f t="shared" si="22"/>
        <v>6.7537603799472504E-2</v>
      </c>
      <c r="K77" s="2"/>
      <c r="L77" s="6">
        <f t="shared" si="23"/>
        <v>10062.887656276902</v>
      </c>
      <c r="M77" s="2"/>
      <c r="N77" s="7">
        <f t="shared" si="24"/>
        <v>0.78831789467286295</v>
      </c>
      <c r="O77" s="11"/>
      <c r="P77" s="6">
        <v>129964.14</v>
      </c>
      <c r="Q77" s="2"/>
      <c r="R77" s="7">
        <f t="shared" si="25"/>
        <v>2.6978309270905276E-2</v>
      </c>
      <c r="S77" s="2"/>
      <c r="T77" s="6">
        <v>111693.8580075769</v>
      </c>
      <c r="U77" s="2"/>
      <c r="V77" s="7">
        <f t="shared" si="26"/>
        <v>2.0985413867062944E-2</v>
      </c>
      <c r="W77" s="2"/>
      <c r="X77" s="6">
        <f t="shared" si="27"/>
        <v>18270.281992423101</v>
      </c>
      <c r="Y77" s="2"/>
      <c r="Z77" s="7">
        <f t="shared" si="28"/>
        <v>0.16357463443678086</v>
      </c>
    </row>
    <row r="78" spans="1:26" s="24" customFormat="1" hidden="1" outlineLevel="2" x14ac:dyDescent="0.25">
      <c r="A78" s="25"/>
      <c r="B78" s="11" t="str">
        <f>CONCATENATE("          ", "6003", " - ", "STAFF HOURLY-9 MONTH")</f>
        <v xml:space="preserve">          6003 - STAFF HOURLY-9 MONTH</v>
      </c>
      <c r="C78" s="11"/>
      <c r="D78" s="6"/>
      <c r="E78" s="2"/>
      <c r="F78" s="7">
        <f t="shared" si="21"/>
        <v>0</v>
      </c>
      <c r="G78" s="2"/>
      <c r="H78" s="6">
        <v>0</v>
      </c>
      <c r="I78" s="2"/>
      <c r="J78" s="7">
        <f t="shared" si="22"/>
        <v>0</v>
      </c>
      <c r="K78" s="2"/>
      <c r="L78" s="6">
        <f t="shared" si="23"/>
        <v>0</v>
      </c>
      <c r="M78" s="2"/>
      <c r="N78" s="7">
        <f t="shared" si="24"/>
        <v>0</v>
      </c>
      <c r="O78" s="11"/>
      <c r="P78" s="6"/>
      <c r="Q78" s="2"/>
      <c r="R78" s="7">
        <f t="shared" si="25"/>
        <v>0</v>
      </c>
      <c r="S78" s="2"/>
      <c r="T78" s="6">
        <v>0</v>
      </c>
      <c r="U78" s="2"/>
      <c r="V78" s="7">
        <f t="shared" si="26"/>
        <v>0</v>
      </c>
      <c r="W78" s="2"/>
      <c r="X78" s="6">
        <f t="shared" si="27"/>
        <v>0</v>
      </c>
      <c r="Y78" s="2"/>
      <c r="Z78" s="7">
        <f t="shared" si="28"/>
        <v>0</v>
      </c>
    </row>
    <row r="79" spans="1:26" s="24" customFormat="1" hidden="1" outlineLevel="2" x14ac:dyDescent="0.25">
      <c r="A79" s="25"/>
      <c r="B79" s="11" t="str">
        <f>CONCATENATE("          ", "6004", " - ", "STAFF HOURLY")</f>
        <v xml:space="preserve">          6004 - STAFF HOURLY</v>
      </c>
      <c r="C79" s="11"/>
      <c r="D79" s="6">
        <v>4401.38</v>
      </c>
      <c r="E79" s="2"/>
      <c r="F79" s="7">
        <f t="shared" si="21"/>
        <v>2.1571686902406573E-2</v>
      </c>
      <c r="G79" s="2"/>
      <c r="H79" s="6">
        <v>5865.9348719999998</v>
      </c>
      <c r="I79" s="2"/>
      <c r="J79" s="7">
        <f t="shared" si="22"/>
        <v>3.1035707183898923E-2</v>
      </c>
      <c r="K79" s="2"/>
      <c r="L79" s="6">
        <f t="shared" si="23"/>
        <v>-1464.5548719999997</v>
      </c>
      <c r="M79" s="2"/>
      <c r="N79" s="7">
        <f t="shared" si="24"/>
        <v>-0.24967117841536099</v>
      </c>
      <c r="O79" s="11"/>
      <c r="P79" s="6">
        <v>26297.27</v>
      </c>
      <c r="Q79" s="2"/>
      <c r="R79" s="7">
        <f t="shared" si="25"/>
        <v>5.4588587516564121E-3</v>
      </c>
      <c r="S79" s="2"/>
      <c r="T79" s="6">
        <v>51326.930130000001</v>
      </c>
      <c r="U79" s="2"/>
      <c r="V79" s="7">
        <f t="shared" si="26"/>
        <v>9.6434744982199939E-3</v>
      </c>
      <c r="W79" s="2"/>
      <c r="X79" s="6">
        <f t="shared" si="27"/>
        <v>-25029.66013</v>
      </c>
      <c r="Y79" s="2"/>
      <c r="Z79" s="7">
        <f t="shared" si="28"/>
        <v>-0.48765161030681731</v>
      </c>
    </row>
    <row r="80" spans="1:26" s="24" customFormat="1" hidden="1" outlineLevel="2" x14ac:dyDescent="0.25">
      <c r="A80" s="25"/>
      <c r="B80" s="11" t="str">
        <f>CONCATENATE("          ", "6005", " - ", "TEMPORARY WAGES-HOURLY")</f>
        <v xml:space="preserve">          6005 - TEMPORARY WAGES-HOURLY</v>
      </c>
      <c r="C80" s="11"/>
      <c r="D80" s="6">
        <v>2953.29</v>
      </c>
      <c r="E80" s="2"/>
      <c r="F80" s="7">
        <f t="shared" si="21"/>
        <v>1.4474425569255166E-2</v>
      </c>
      <c r="G80" s="2"/>
      <c r="H80" s="6">
        <v>2903.68</v>
      </c>
      <c r="I80" s="2"/>
      <c r="J80" s="7">
        <f t="shared" si="22"/>
        <v>1.5362898532321725E-2</v>
      </c>
      <c r="K80" s="2"/>
      <c r="L80" s="6">
        <f t="shared" si="23"/>
        <v>49.610000000000127</v>
      </c>
      <c r="M80" s="2"/>
      <c r="N80" s="7">
        <f t="shared" si="24"/>
        <v>1.7085216001763326E-2</v>
      </c>
      <c r="O80" s="11"/>
      <c r="P80" s="6">
        <v>20778.34</v>
      </c>
      <c r="Q80" s="2"/>
      <c r="R80" s="7">
        <f t="shared" si="25"/>
        <v>4.3132242682944848E-3</v>
      </c>
      <c r="S80" s="2"/>
      <c r="T80" s="6">
        <v>27333.68</v>
      </c>
      <c r="U80" s="2"/>
      <c r="V80" s="7">
        <f t="shared" si="26"/>
        <v>5.1355427911797041E-3</v>
      </c>
      <c r="W80" s="2"/>
      <c r="X80" s="6">
        <f t="shared" si="27"/>
        <v>-6555.34</v>
      </c>
      <c r="Y80" s="2"/>
      <c r="Z80" s="7">
        <f t="shared" si="28"/>
        <v>-0.23982647049354497</v>
      </c>
    </row>
    <row r="81" spans="1:26" s="24" customFormat="1" hidden="1" outlineLevel="2" x14ac:dyDescent="0.25">
      <c r="A81" s="25"/>
      <c r="B81" s="11" t="str">
        <f>CONCATENATE("          ", "6006", " - ", "TEMPORARY PART TIME")</f>
        <v xml:space="preserve">          6006 - TEMPORARY PART TIME</v>
      </c>
      <c r="C81" s="11"/>
      <c r="D81" s="6">
        <v>826.88</v>
      </c>
      <c r="E81" s="2"/>
      <c r="F81" s="7">
        <f t="shared" si="21"/>
        <v>4.0526372332909105E-3</v>
      </c>
      <c r="G81" s="2"/>
      <c r="H81" s="6">
        <v>0</v>
      </c>
      <c r="I81" s="2"/>
      <c r="J81" s="7">
        <f t="shared" si="22"/>
        <v>0</v>
      </c>
      <c r="K81" s="2"/>
      <c r="L81" s="6">
        <f t="shared" si="23"/>
        <v>826.88</v>
      </c>
      <c r="M81" s="2"/>
      <c r="N81" s="7">
        <f t="shared" si="24"/>
        <v>0</v>
      </c>
      <c r="O81" s="11"/>
      <c r="P81" s="6">
        <v>826.88</v>
      </c>
      <c r="Q81" s="2"/>
      <c r="R81" s="7">
        <f t="shared" si="25"/>
        <v>1.7164599688749646E-4</v>
      </c>
      <c r="S81" s="2"/>
      <c r="T81" s="6">
        <v>0</v>
      </c>
      <c r="U81" s="2"/>
      <c r="V81" s="7">
        <f t="shared" si="26"/>
        <v>0</v>
      </c>
      <c r="W81" s="2"/>
      <c r="X81" s="6">
        <f t="shared" si="27"/>
        <v>826.88</v>
      </c>
      <c r="Y81" s="2"/>
      <c r="Z81" s="7">
        <f t="shared" si="28"/>
        <v>0</v>
      </c>
    </row>
    <row r="82" spans="1:26" s="24" customFormat="1" hidden="1" outlineLevel="2" x14ac:dyDescent="0.25">
      <c r="A82" s="25"/>
      <c r="B82" s="11" t="str">
        <f>CONCATENATE("          ", "6007", " - ", "STUDENT HOURLY")</f>
        <v xml:space="preserve">          6007 - STUDENT HOURLY</v>
      </c>
      <c r="C82" s="11"/>
      <c r="D82" s="6">
        <v>24268.880000000001</v>
      </c>
      <c r="E82" s="2"/>
      <c r="F82" s="7">
        <f t="shared" si="21"/>
        <v>0.11894466754337886</v>
      </c>
      <c r="G82" s="2"/>
      <c r="H82" s="6">
        <v>0</v>
      </c>
      <c r="I82" s="2"/>
      <c r="J82" s="7">
        <f t="shared" si="22"/>
        <v>0</v>
      </c>
      <c r="K82" s="2"/>
      <c r="L82" s="6">
        <f t="shared" si="23"/>
        <v>24268.880000000001</v>
      </c>
      <c r="M82" s="2"/>
      <c r="N82" s="7">
        <f t="shared" si="24"/>
        <v>0</v>
      </c>
      <c r="O82" s="11"/>
      <c r="P82" s="6">
        <v>55097.13</v>
      </c>
      <c r="Q82" s="2"/>
      <c r="R82" s="7">
        <f t="shared" si="25"/>
        <v>1.1437211934609602E-2</v>
      </c>
      <c r="S82" s="2"/>
      <c r="T82" s="6">
        <v>11781</v>
      </c>
      <c r="U82" s="2"/>
      <c r="V82" s="7">
        <f t="shared" si="26"/>
        <v>2.2134534985003155E-3</v>
      </c>
      <c r="W82" s="2"/>
      <c r="X82" s="6">
        <f t="shared" si="27"/>
        <v>43316.13</v>
      </c>
      <c r="Y82" s="2"/>
      <c r="Z82" s="7">
        <f t="shared" si="28"/>
        <v>3.6767787114845936</v>
      </c>
    </row>
    <row r="83" spans="1:26" s="24" customFormat="1" hidden="1" outlineLevel="2" x14ac:dyDescent="0.25">
      <c r="A83" s="25"/>
      <c r="B83" s="11" t="str">
        <f>CONCATENATE("          ", "6008", " - ", "STUDENT HOURLY-FICA EXEMPT")</f>
        <v xml:space="preserve">          6008 - STUDENT HOURLY-FICA EXEMPT</v>
      </c>
      <c r="C83" s="11"/>
      <c r="D83" s="6"/>
      <c r="E83" s="2"/>
      <c r="F83" s="7">
        <f t="shared" si="21"/>
        <v>0</v>
      </c>
      <c r="G83" s="2"/>
      <c r="H83" s="6">
        <v>4758.5897999999997</v>
      </c>
      <c r="I83" s="2"/>
      <c r="J83" s="7">
        <f t="shared" si="22"/>
        <v>2.5176924542078028E-2</v>
      </c>
      <c r="K83" s="2"/>
      <c r="L83" s="6">
        <f t="shared" si="23"/>
        <v>-4758.5897999999997</v>
      </c>
      <c r="M83" s="2"/>
      <c r="N83" s="7">
        <f t="shared" si="24"/>
        <v>-1</v>
      </c>
      <c r="O83" s="11"/>
      <c r="P83" s="6"/>
      <c r="Q83" s="2"/>
      <c r="R83" s="7">
        <f t="shared" si="25"/>
        <v>0</v>
      </c>
      <c r="S83" s="2"/>
      <c r="T83" s="6">
        <v>40545.181499999999</v>
      </c>
      <c r="U83" s="2"/>
      <c r="V83" s="7">
        <f t="shared" si="26"/>
        <v>7.617763673585032E-3</v>
      </c>
      <c r="W83" s="2"/>
      <c r="X83" s="6">
        <f t="shared" si="27"/>
        <v>-40545.181499999999</v>
      </c>
      <c r="Y83" s="2"/>
      <c r="Z83" s="7">
        <f t="shared" si="28"/>
        <v>-1</v>
      </c>
    </row>
    <row r="84" spans="1:26" s="24" customFormat="1" hidden="1" outlineLevel="2" x14ac:dyDescent="0.25">
      <c r="A84" s="25"/>
      <c r="B84" s="11" t="str">
        <f>CONCATENATE("          ", "6009", " - ", "TEMPORARY-SEASONAL")</f>
        <v xml:space="preserve">          6009 - TEMPORARY-SEASONAL</v>
      </c>
      <c r="C84" s="11"/>
      <c r="D84" s="6"/>
      <c r="E84" s="2"/>
      <c r="F84" s="7">
        <f t="shared" si="21"/>
        <v>0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0</v>
      </c>
      <c r="M84" s="2"/>
      <c r="N84" s="7">
        <f t="shared" si="24"/>
        <v>0</v>
      </c>
      <c r="O84" s="11"/>
      <c r="P84" s="6"/>
      <c r="Q84" s="2"/>
      <c r="R84" s="7">
        <f t="shared" si="25"/>
        <v>0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0</v>
      </c>
      <c r="Y84" s="2"/>
      <c r="Z84" s="7">
        <f t="shared" si="28"/>
        <v>0</v>
      </c>
    </row>
    <row r="85" spans="1:26" s="24" customFormat="1" hidden="1" outlineLevel="2" x14ac:dyDescent="0.25">
      <c r="A85" s="25"/>
      <c r="B85" s="11" t="str">
        <f>CONCATENATE("          ", "6010", " - ", "GRATUITY")</f>
        <v xml:space="preserve">          6010 - GRATUITY</v>
      </c>
      <c r="C85" s="11"/>
      <c r="D85" s="6"/>
      <c r="E85" s="2"/>
      <c r="F85" s="7">
        <f t="shared" si="21"/>
        <v>0</v>
      </c>
      <c r="G85" s="2"/>
      <c r="H85" s="6">
        <v>0</v>
      </c>
      <c r="I85" s="2"/>
      <c r="J85" s="7">
        <f t="shared" si="22"/>
        <v>0</v>
      </c>
      <c r="K85" s="2"/>
      <c r="L85" s="6">
        <f t="shared" si="23"/>
        <v>0</v>
      </c>
      <c r="M85" s="2"/>
      <c r="N85" s="7">
        <f t="shared" si="24"/>
        <v>0</v>
      </c>
      <c r="O85" s="11"/>
      <c r="P85" s="6"/>
      <c r="Q85" s="2"/>
      <c r="R85" s="7">
        <f t="shared" si="25"/>
        <v>0</v>
      </c>
      <c r="S85" s="2"/>
      <c r="T85" s="6">
        <v>0</v>
      </c>
      <c r="U85" s="2"/>
      <c r="V85" s="7">
        <f t="shared" si="26"/>
        <v>0</v>
      </c>
      <c r="W85" s="2"/>
      <c r="X85" s="6">
        <f t="shared" si="27"/>
        <v>0</v>
      </c>
      <c r="Y85" s="2"/>
      <c r="Z85" s="7">
        <f t="shared" si="28"/>
        <v>0</v>
      </c>
    </row>
    <row r="86" spans="1:26" s="27" customFormat="1" outlineLevel="1" collapsed="1" x14ac:dyDescent="0.25">
      <c r="A86" s="26"/>
      <c r="B86" s="13" t="str">
        <f>CONCATENATE("     ","Advertising/Promo                                 ")</f>
        <v xml:space="preserve">     Advertising/Promo                                 </v>
      </c>
      <c r="C86" s="13"/>
      <c r="D86" s="1">
        <f>SUM(OSRRefD22_2x_0)</f>
        <v>0.5</v>
      </c>
      <c r="E86" s="1"/>
      <c r="F86" s="5">
        <f t="shared" ref="F86:F90" si="29">IF(D$12=0,0,D86/D$12)</f>
        <v>2.4505594725298172E-6</v>
      </c>
      <c r="G86" s="1"/>
      <c r="H86" s="1">
        <f>SUM(OSRRefH22_2x_0)</f>
        <v>200</v>
      </c>
      <c r="I86" s="1"/>
      <c r="J86" s="5">
        <f t="shared" ref="J86:J90" si="30">IF(H$12=0,0,H86/H$12)</f>
        <v>1.0581674655831032E-3</v>
      </c>
      <c r="K86" s="1"/>
      <c r="L86" s="1">
        <f t="shared" ref="L86:L90" si="31">+D86-H86</f>
        <v>-199.5</v>
      </c>
      <c r="M86" s="1"/>
      <c r="N86" s="5">
        <f t="shared" ref="N86:N90" si="32">IF(H86=0,0,L86/H86)</f>
        <v>-0.99750000000000005</v>
      </c>
      <c r="O86" s="13"/>
      <c r="P86" s="1">
        <f>SUM(OSRRefP22_2x_0)</f>
        <v>3981.59</v>
      </c>
      <c r="Q86" s="1"/>
      <c r="R86" s="5">
        <f t="shared" ref="R86:R90" si="33">IF(P$12=0,0,P86/P$12)</f>
        <v>8.2650926947959447E-4</v>
      </c>
      <c r="S86" s="1"/>
      <c r="T86" s="1">
        <f>SUM(OSRRefT22_2x_0)</f>
        <v>4600</v>
      </c>
      <c r="U86" s="1"/>
      <c r="V86" s="5">
        <f t="shared" ref="V86:V90" si="34">IF(T$12=0,0,T86/T$12)</f>
        <v>8.6426331322480687E-4</v>
      </c>
      <c r="W86" s="1"/>
      <c r="X86" s="1">
        <f t="shared" ref="X86:X90" si="35">+P86-T86</f>
        <v>-618.40999999999985</v>
      </c>
      <c r="Y86" s="1"/>
      <c r="Z86" s="5">
        <f t="shared" ref="Z86:Z90" si="36">IF(T86=0,0,X86/T86)</f>
        <v>-0.13443695652173909</v>
      </c>
    </row>
    <row r="87" spans="1:26" s="24" customFormat="1" hidden="1" outlineLevel="2" x14ac:dyDescent="0.25">
      <c r="A87" s="25"/>
      <c r="B87" s="11" t="str">
        <f>CONCATENATE("          ", "6362", " - ", "ADVERTISING EXPENSE")</f>
        <v xml:space="preserve">          6362 - ADVERTISING EXPENSE</v>
      </c>
      <c r="C87" s="11"/>
      <c r="D87" s="6">
        <v>0.5</v>
      </c>
      <c r="E87" s="2"/>
      <c r="F87" s="7">
        <f t="shared" si="29"/>
        <v>2.4505594725298172E-6</v>
      </c>
      <c r="G87" s="2"/>
      <c r="H87" s="6">
        <v>200</v>
      </c>
      <c r="I87" s="2"/>
      <c r="J87" s="7">
        <f t="shared" si="30"/>
        <v>1.0581674655831032E-3</v>
      </c>
      <c r="K87" s="2"/>
      <c r="L87" s="6">
        <f t="shared" si="31"/>
        <v>-199.5</v>
      </c>
      <c r="M87" s="2"/>
      <c r="N87" s="7">
        <f t="shared" si="32"/>
        <v>-0.99750000000000005</v>
      </c>
      <c r="O87" s="11"/>
      <c r="P87" s="6">
        <v>3981.59</v>
      </c>
      <c r="Q87" s="2"/>
      <c r="R87" s="7">
        <f t="shared" si="33"/>
        <v>8.2650926947959447E-4</v>
      </c>
      <c r="S87" s="2"/>
      <c r="T87" s="6">
        <v>4600</v>
      </c>
      <c r="U87" s="2"/>
      <c r="V87" s="7">
        <f t="shared" si="34"/>
        <v>8.6426331322480687E-4</v>
      </c>
      <c r="W87" s="2"/>
      <c r="X87" s="6">
        <f t="shared" si="35"/>
        <v>-618.40999999999985</v>
      </c>
      <c r="Y87" s="2"/>
      <c r="Z87" s="7">
        <f t="shared" si="36"/>
        <v>-0.13443695652173909</v>
      </c>
    </row>
    <row r="88" spans="1:26" s="27" customFormat="1" outlineLevel="1" collapsed="1" x14ac:dyDescent="0.25">
      <c r="A88" s="26"/>
      <c r="B88" s="13" t="str">
        <f>CONCATENATE("     ","Discounts and Markdowns                           ")</f>
        <v xml:space="preserve">     Discounts and Markdowns                           </v>
      </c>
      <c r="C88" s="13"/>
      <c r="D88" s="1">
        <f>SUM(OSRRefD22_3x_0)</f>
        <v>-160.26</v>
      </c>
      <c r="E88" s="1"/>
      <c r="F88" s="5">
        <f t="shared" si="29"/>
        <v>-7.8545332213525692E-4</v>
      </c>
      <c r="G88" s="1"/>
      <c r="H88" s="1">
        <f>SUM(OSRRefH22_3x_0)</f>
        <v>1425</v>
      </c>
      <c r="I88" s="1"/>
      <c r="J88" s="5">
        <f t="shared" si="30"/>
        <v>7.5394431922796105E-3</v>
      </c>
      <c r="K88" s="1"/>
      <c r="L88" s="1">
        <f t="shared" si="31"/>
        <v>-1585.26</v>
      </c>
      <c r="M88" s="1"/>
      <c r="N88" s="5">
        <f t="shared" si="32"/>
        <v>-1.1124631578947368</v>
      </c>
      <c r="O88" s="13"/>
      <c r="P88" s="1">
        <f>SUM(OSRRefP22_3x_0)</f>
        <v>331.68000000000006</v>
      </c>
      <c r="Q88" s="1"/>
      <c r="R88" s="5">
        <f t="shared" si="33"/>
        <v>6.8851035516211346E-5</v>
      </c>
      <c r="S88" s="1"/>
      <c r="T88" s="1">
        <f>SUM(OSRRefT22_3x_0)</f>
        <v>20700</v>
      </c>
      <c r="U88" s="1"/>
      <c r="V88" s="5">
        <f t="shared" si="34"/>
        <v>3.8891849095116309E-3</v>
      </c>
      <c r="W88" s="1"/>
      <c r="X88" s="1">
        <f t="shared" si="35"/>
        <v>-20368.32</v>
      </c>
      <c r="Y88" s="1"/>
      <c r="Z88" s="5">
        <f t="shared" si="36"/>
        <v>-0.98397681159420292</v>
      </c>
    </row>
    <row r="89" spans="1:26" s="24" customFormat="1" hidden="1" outlineLevel="2" x14ac:dyDescent="0.25">
      <c r="A89" s="25"/>
      <c r="B89" s="11" t="str">
        <f>CONCATENATE("          ", "6382", " - ", "DISCOUNTS/MARK DOWNS")</f>
        <v xml:space="preserve">          6382 - DISCOUNTS/MARK DOWNS</v>
      </c>
      <c r="C89" s="11"/>
      <c r="D89" s="6">
        <v>-141.62</v>
      </c>
      <c r="E89" s="2"/>
      <c r="F89" s="7">
        <f t="shared" si="29"/>
        <v>-6.940964649993454E-4</v>
      </c>
      <c r="G89" s="2"/>
      <c r="H89" s="6">
        <v>1425</v>
      </c>
      <c r="I89" s="2"/>
      <c r="J89" s="7">
        <f t="shared" si="30"/>
        <v>7.5394431922796105E-3</v>
      </c>
      <c r="K89" s="2"/>
      <c r="L89" s="6">
        <f t="shared" si="31"/>
        <v>-1566.62</v>
      </c>
      <c r="M89" s="2"/>
      <c r="N89" s="7">
        <f t="shared" si="32"/>
        <v>-1.0993824561403509</v>
      </c>
      <c r="O89" s="11"/>
      <c r="P89" s="6">
        <v>783.95</v>
      </c>
      <c r="Q89" s="2"/>
      <c r="R89" s="7">
        <f t="shared" si="33"/>
        <v>1.6273447085423865E-4</v>
      </c>
      <c r="S89" s="2"/>
      <c r="T89" s="6">
        <v>20700</v>
      </c>
      <c r="U89" s="2"/>
      <c r="V89" s="7">
        <f t="shared" si="34"/>
        <v>3.8891849095116309E-3</v>
      </c>
      <c r="W89" s="2"/>
      <c r="X89" s="6">
        <f t="shared" si="35"/>
        <v>-19916.05</v>
      </c>
      <c r="Y89" s="2"/>
      <c r="Z89" s="7">
        <f t="shared" si="36"/>
        <v>-0.96212801932367142</v>
      </c>
    </row>
    <row r="90" spans="1:26" s="24" customFormat="1" hidden="1" outlineLevel="2" x14ac:dyDescent="0.25">
      <c r="A90" s="25"/>
      <c r="B90" s="11" t="str">
        <f>CONCATENATE("          ", "9175", " - ", "EARNED DISCOUNTS")</f>
        <v xml:space="preserve">          9175 - EARNED DISCOUNTS</v>
      </c>
      <c r="C90" s="11"/>
      <c r="D90" s="6">
        <v>-18.64</v>
      </c>
      <c r="E90" s="2"/>
      <c r="F90" s="7">
        <f t="shared" si="29"/>
        <v>-9.1356857135911588E-5</v>
      </c>
      <c r="G90" s="2"/>
      <c r="H90" s="6"/>
      <c r="I90" s="2"/>
      <c r="J90" s="7">
        <f t="shared" si="30"/>
        <v>0</v>
      </c>
      <c r="K90" s="2"/>
      <c r="L90" s="6">
        <f t="shared" si="31"/>
        <v>-18.64</v>
      </c>
      <c r="M90" s="2"/>
      <c r="N90" s="7">
        <f t="shared" si="32"/>
        <v>0</v>
      </c>
      <c r="O90" s="11"/>
      <c r="P90" s="6">
        <v>-452.27</v>
      </c>
      <c r="Q90" s="2"/>
      <c r="R90" s="7">
        <f t="shared" si="33"/>
        <v>-9.3883435338027314E-5</v>
      </c>
      <c r="S90" s="2"/>
      <c r="T90" s="6"/>
      <c r="U90" s="2"/>
      <c r="V90" s="7">
        <f t="shared" si="34"/>
        <v>0</v>
      </c>
      <c r="W90" s="2"/>
      <c r="X90" s="6">
        <f t="shared" si="35"/>
        <v>-452.27</v>
      </c>
      <c r="Y90" s="2"/>
      <c r="Z90" s="7">
        <f t="shared" si="36"/>
        <v>0</v>
      </c>
    </row>
    <row r="91" spans="1:26" s="27" customFormat="1" outlineLevel="1" collapsed="1" x14ac:dyDescent="0.25">
      <c r="A91" s="26"/>
      <c r="B91" s="13" t="str">
        <f>CONCATENATE("     ","Employees' Appreciation                           ")</f>
        <v xml:space="preserve">     Employees' Appreciation                           </v>
      </c>
      <c r="C91" s="13"/>
      <c r="D91" s="1">
        <f>SUM(OSRRefD22_4x_0)</f>
        <v>0</v>
      </c>
      <c r="E91" s="1"/>
      <c r="F91" s="5">
        <f t="shared" ref="F91:F97" si="37">IF(D$12=0,0,D91/D$12)</f>
        <v>0</v>
      </c>
      <c r="G91" s="1"/>
      <c r="H91" s="1">
        <f>SUM(OSRRefH22_4x_0)</f>
        <v>100</v>
      </c>
      <c r="I91" s="1"/>
      <c r="J91" s="5">
        <f t="shared" ref="J91:J97" si="38">IF(H$12=0,0,H91/H$12)</f>
        <v>5.2908373279155158E-4</v>
      </c>
      <c r="K91" s="1"/>
      <c r="L91" s="1">
        <f t="shared" ref="L91:L97" si="39">+D91-H91</f>
        <v>-100</v>
      </c>
      <c r="M91" s="1"/>
      <c r="N91" s="5">
        <f t="shared" ref="N91:N97" si="40">IF(H91=0,0,L91/H91)</f>
        <v>-1</v>
      </c>
      <c r="O91" s="13"/>
      <c r="P91" s="1">
        <f>SUM(OSRRefP22_4x_0)</f>
        <v>37.880000000000003</v>
      </c>
      <c r="Q91" s="1"/>
      <c r="R91" s="5">
        <f t="shared" ref="R91:R97" si="41">IF(P$12=0,0,P91/P$12)</f>
        <v>7.8632333132962061E-6</v>
      </c>
      <c r="S91" s="1"/>
      <c r="T91" s="1">
        <f>SUM(OSRRefT22_4x_0)</f>
        <v>800</v>
      </c>
      <c r="U91" s="1"/>
      <c r="V91" s="5">
        <f t="shared" ref="V91:V97" si="42">IF(T$12=0,0,T91/T$12)</f>
        <v>1.5030666316953164E-4</v>
      </c>
      <c r="W91" s="1"/>
      <c r="X91" s="1">
        <f t="shared" ref="X91:X97" si="43">+P91-T91</f>
        <v>-762.12</v>
      </c>
      <c r="Y91" s="1"/>
      <c r="Z91" s="5">
        <f t="shared" ref="Z91:Z97" si="44">IF(T91=0,0,X91/T91)</f>
        <v>-0.95265</v>
      </c>
    </row>
    <row r="92" spans="1:26" s="24" customFormat="1" hidden="1" outlineLevel="2" x14ac:dyDescent="0.25">
      <c r="A92" s="25"/>
      <c r="B92" s="11" t="str">
        <f>CONCATENATE("          ", "6277", " - ", "EMPLOYEE APPRECIATION")</f>
        <v xml:space="preserve">          6277 - EMPLOYEE APPRECIATION</v>
      </c>
      <c r="C92" s="11"/>
      <c r="D92" s="6"/>
      <c r="E92" s="2"/>
      <c r="F92" s="7">
        <f t="shared" si="37"/>
        <v>0</v>
      </c>
      <c r="G92" s="2"/>
      <c r="H92" s="6">
        <v>100</v>
      </c>
      <c r="I92" s="2"/>
      <c r="J92" s="7">
        <f t="shared" si="38"/>
        <v>5.2908373279155158E-4</v>
      </c>
      <c r="K92" s="2"/>
      <c r="L92" s="6">
        <f t="shared" si="39"/>
        <v>-100</v>
      </c>
      <c r="M92" s="2"/>
      <c r="N92" s="7">
        <f t="shared" si="40"/>
        <v>-1</v>
      </c>
      <c r="O92" s="11"/>
      <c r="P92" s="6">
        <v>37.880000000000003</v>
      </c>
      <c r="Q92" s="2"/>
      <c r="R92" s="7">
        <f t="shared" si="41"/>
        <v>7.8632333132962061E-6</v>
      </c>
      <c r="S92" s="2"/>
      <c r="T92" s="6">
        <v>800</v>
      </c>
      <c r="U92" s="2"/>
      <c r="V92" s="7">
        <f t="shared" si="42"/>
        <v>1.5030666316953164E-4</v>
      </c>
      <c r="W92" s="2"/>
      <c r="X92" s="6">
        <f t="shared" si="43"/>
        <v>-762.12</v>
      </c>
      <c r="Y92" s="2"/>
      <c r="Z92" s="7">
        <f t="shared" si="44"/>
        <v>-0.95265</v>
      </c>
    </row>
    <row r="93" spans="1:26" s="27" customFormat="1" outlineLevel="1" collapsed="1" x14ac:dyDescent="0.25">
      <c r="A93" s="26"/>
      <c r="B93" s="13" t="str">
        <f>CONCATENATE("     ","Equipment Rental                                  ")</f>
        <v xml:space="preserve">     Equipment Rental                                  </v>
      </c>
      <c r="C93" s="13"/>
      <c r="D93" s="1">
        <f>SUM(OSRRefD22_5x_0)</f>
        <v>91.26</v>
      </c>
      <c r="E93" s="1"/>
      <c r="F93" s="5">
        <f t="shared" si="37"/>
        <v>4.4727611492614226E-4</v>
      </c>
      <c r="G93" s="1"/>
      <c r="H93" s="1">
        <f>SUM(OSRRefH22_5x_0)</f>
        <v>100</v>
      </c>
      <c r="I93" s="1"/>
      <c r="J93" s="5">
        <f t="shared" si="38"/>
        <v>5.2908373279155158E-4</v>
      </c>
      <c r="K93" s="1"/>
      <c r="L93" s="1">
        <f t="shared" si="39"/>
        <v>-8.7399999999999949</v>
      </c>
      <c r="M93" s="1"/>
      <c r="N93" s="5">
        <f t="shared" si="40"/>
        <v>-8.739999999999995E-2</v>
      </c>
      <c r="O93" s="13"/>
      <c r="P93" s="1">
        <f>SUM(OSRRefP22_5x_0)</f>
        <v>730.08</v>
      </c>
      <c r="Q93" s="1"/>
      <c r="R93" s="5">
        <f t="shared" si="41"/>
        <v>1.515519898989254E-4</v>
      </c>
      <c r="S93" s="1"/>
      <c r="T93" s="1">
        <f>SUM(OSRRefT22_5x_0)</f>
        <v>800</v>
      </c>
      <c r="U93" s="1"/>
      <c r="V93" s="5">
        <f t="shared" si="42"/>
        <v>1.5030666316953164E-4</v>
      </c>
      <c r="W93" s="1"/>
      <c r="X93" s="1">
        <f t="shared" si="43"/>
        <v>-69.919999999999959</v>
      </c>
      <c r="Y93" s="1"/>
      <c r="Z93" s="5">
        <f t="shared" si="44"/>
        <v>-8.739999999999995E-2</v>
      </c>
    </row>
    <row r="94" spans="1:26" s="24" customFormat="1" hidden="1" outlineLevel="2" x14ac:dyDescent="0.25">
      <c r="A94" s="25"/>
      <c r="B94" s="11" t="str">
        <f>CONCATENATE("          ", "6351", " - ", "EQUIPMENT RENTAL")</f>
        <v xml:space="preserve">          6351 - EQUIPMENT RENTAL</v>
      </c>
      <c r="C94" s="11"/>
      <c r="D94" s="6">
        <v>91.26</v>
      </c>
      <c r="E94" s="2"/>
      <c r="F94" s="7">
        <f t="shared" si="37"/>
        <v>4.4727611492614226E-4</v>
      </c>
      <c r="G94" s="2"/>
      <c r="H94" s="6">
        <v>100</v>
      </c>
      <c r="I94" s="2"/>
      <c r="J94" s="7">
        <f t="shared" si="38"/>
        <v>5.2908373279155158E-4</v>
      </c>
      <c r="K94" s="2"/>
      <c r="L94" s="6">
        <f t="shared" si="39"/>
        <v>-8.7399999999999949</v>
      </c>
      <c r="M94" s="2"/>
      <c r="N94" s="7">
        <f t="shared" si="40"/>
        <v>-8.739999999999995E-2</v>
      </c>
      <c r="O94" s="11"/>
      <c r="P94" s="6">
        <v>730.08</v>
      </c>
      <c r="Q94" s="2"/>
      <c r="R94" s="7">
        <f t="shared" si="41"/>
        <v>1.515519898989254E-4</v>
      </c>
      <c r="S94" s="2"/>
      <c r="T94" s="6">
        <v>800</v>
      </c>
      <c r="U94" s="2"/>
      <c r="V94" s="7">
        <f t="shared" si="42"/>
        <v>1.5030666316953164E-4</v>
      </c>
      <c r="W94" s="2"/>
      <c r="X94" s="6">
        <f t="shared" si="43"/>
        <v>-69.919999999999959</v>
      </c>
      <c r="Y94" s="2"/>
      <c r="Z94" s="7">
        <f t="shared" si="44"/>
        <v>-8.739999999999995E-2</v>
      </c>
    </row>
    <row r="95" spans="1:26" s="27" customFormat="1" outlineLevel="1" collapsed="1" x14ac:dyDescent="0.25">
      <c r="A95" s="26"/>
      <c r="B95" s="13" t="str">
        <f>CONCATENATE("     ","Freight out/Postage                               ")</f>
        <v xml:space="preserve">     Freight out/Postage                               </v>
      </c>
      <c r="C95" s="13"/>
      <c r="D95" s="1">
        <f>SUM(OSRRefD22_6x_0)</f>
        <v>335.51</v>
      </c>
      <c r="E95" s="1"/>
      <c r="F95" s="5">
        <f t="shared" si="37"/>
        <v>1.6443744172569578E-3</v>
      </c>
      <c r="G95" s="1"/>
      <c r="H95" s="1">
        <f>SUM(OSRRefH22_6x_0)</f>
        <v>7000</v>
      </c>
      <c r="I95" s="1"/>
      <c r="J95" s="5">
        <f t="shared" si="38"/>
        <v>3.7035861295408611E-2</v>
      </c>
      <c r="K95" s="1"/>
      <c r="L95" s="1">
        <f t="shared" si="39"/>
        <v>-6664.49</v>
      </c>
      <c r="M95" s="1"/>
      <c r="N95" s="5">
        <f t="shared" si="40"/>
        <v>-0.95206999999999997</v>
      </c>
      <c r="O95" s="13"/>
      <c r="P95" s="1">
        <f>SUM(OSRRefP22_6x_0)</f>
        <v>12288.900000000001</v>
      </c>
      <c r="Q95" s="1"/>
      <c r="R95" s="5">
        <f t="shared" si="41"/>
        <v>2.5509632487794548E-3</v>
      </c>
      <c r="S95" s="1"/>
      <c r="T95" s="1">
        <f>SUM(OSRRefT22_6x_0)</f>
        <v>22800</v>
      </c>
      <c r="U95" s="1"/>
      <c r="V95" s="5">
        <f t="shared" si="42"/>
        <v>4.2837399003316521E-3</v>
      </c>
      <c r="W95" s="1"/>
      <c r="X95" s="1">
        <f t="shared" si="43"/>
        <v>-10511.099999999999</v>
      </c>
      <c r="Y95" s="1"/>
      <c r="Z95" s="5">
        <f t="shared" si="44"/>
        <v>-0.46101315789473679</v>
      </c>
    </row>
    <row r="96" spans="1:26" s="24" customFormat="1" hidden="1" outlineLevel="2" x14ac:dyDescent="0.25">
      <c r="A96" s="25"/>
      <c r="B96" s="11" t="str">
        <f>CONCATENATE("          ", "6305", " - ", "FREIGHT OUT")</f>
        <v xml:space="preserve">          6305 - FREIGHT OUT</v>
      </c>
      <c r="C96" s="11"/>
      <c r="D96" s="6">
        <v>335.51</v>
      </c>
      <c r="E96" s="2"/>
      <c r="F96" s="7">
        <f t="shared" si="37"/>
        <v>1.6443744172569578E-3</v>
      </c>
      <c r="G96" s="2"/>
      <c r="H96" s="6">
        <v>7000</v>
      </c>
      <c r="I96" s="2"/>
      <c r="J96" s="7">
        <f t="shared" si="38"/>
        <v>3.7035861295408611E-2</v>
      </c>
      <c r="K96" s="2"/>
      <c r="L96" s="6">
        <f t="shared" si="39"/>
        <v>-6664.49</v>
      </c>
      <c r="M96" s="2"/>
      <c r="N96" s="7">
        <f t="shared" si="40"/>
        <v>-0.95206999999999997</v>
      </c>
      <c r="O96" s="11"/>
      <c r="P96" s="6">
        <v>12287.45</v>
      </c>
      <c r="Q96" s="2"/>
      <c r="R96" s="7">
        <f t="shared" si="41"/>
        <v>2.5506622538400596E-3</v>
      </c>
      <c r="S96" s="2"/>
      <c r="T96" s="6">
        <v>22800</v>
      </c>
      <c r="U96" s="2"/>
      <c r="V96" s="7">
        <f t="shared" si="42"/>
        <v>4.2837399003316521E-3</v>
      </c>
      <c r="W96" s="2"/>
      <c r="X96" s="6">
        <f t="shared" si="43"/>
        <v>-10512.55</v>
      </c>
      <c r="Y96" s="2"/>
      <c r="Z96" s="7">
        <f t="shared" si="44"/>
        <v>-0.4610767543859649</v>
      </c>
    </row>
    <row r="97" spans="1:26" s="24" customFormat="1" hidden="1" outlineLevel="2" x14ac:dyDescent="0.25">
      <c r="A97" s="25"/>
      <c r="B97" s="11" t="str">
        <f>CONCATENATE("          ", "6307", " - ", "POSTAGE")</f>
        <v xml:space="preserve">          6307 - POSTAGE</v>
      </c>
      <c r="C97" s="11"/>
      <c r="D97" s="6"/>
      <c r="E97" s="2"/>
      <c r="F97" s="7">
        <f t="shared" si="37"/>
        <v>0</v>
      </c>
      <c r="G97" s="2"/>
      <c r="H97" s="6"/>
      <c r="I97" s="2"/>
      <c r="J97" s="7">
        <f t="shared" si="38"/>
        <v>0</v>
      </c>
      <c r="K97" s="2"/>
      <c r="L97" s="6">
        <f t="shared" si="39"/>
        <v>0</v>
      </c>
      <c r="M97" s="2"/>
      <c r="N97" s="7">
        <f t="shared" si="40"/>
        <v>0</v>
      </c>
      <c r="O97" s="11"/>
      <c r="P97" s="6">
        <v>1.45</v>
      </c>
      <c r="Q97" s="2"/>
      <c r="R97" s="7">
        <f t="shared" si="41"/>
        <v>3.0099493939491807E-7</v>
      </c>
      <c r="S97" s="2"/>
      <c r="T97" s="6"/>
      <c r="U97" s="2"/>
      <c r="V97" s="7">
        <f t="shared" si="42"/>
        <v>0</v>
      </c>
      <c r="W97" s="2"/>
      <c r="X97" s="6">
        <f t="shared" si="43"/>
        <v>1.45</v>
      </c>
      <c r="Y97" s="2"/>
      <c r="Z97" s="7">
        <f t="shared" si="44"/>
        <v>0</v>
      </c>
    </row>
    <row r="98" spans="1:26" s="27" customFormat="1" outlineLevel="1" collapsed="1" x14ac:dyDescent="0.25">
      <c r="A98" s="26"/>
      <c r="B98" s="13" t="str">
        <f>CONCATENATE("     ","General                                           ")</f>
        <v xml:space="preserve">     General                                           </v>
      </c>
      <c r="C98" s="13"/>
      <c r="D98" s="1">
        <f>SUM(OSRRefD22_7x_0)</f>
        <v>0</v>
      </c>
      <c r="E98" s="1"/>
      <c r="F98" s="5">
        <f t="shared" ref="F98:F105" si="45">IF(D$12=0,0,D98/D$12)</f>
        <v>0</v>
      </c>
      <c r="G98" s="1"/>
      <c r="H98" s="1">
        <f>SUM(OSRRefH22_7x_0)</f>
        <v>0</v>
      </c>
      <c r="I98" s="1"/>
      <c r="J98" s="5">
        <f t="shared" ref="J98:J105" si="46">IF(H$12=0,0,H98/H$12)</f>
        <v>0</v>
      </c>
      <c r="K98" s="1"/>
      <c r="L98" s="1">
        <f t="shared" ref="L98:L105" si="47">+D98-H98</f>
        <v>0</v>
      </c>
      <c r="M98" s="1"/>
      <c r="N98" s="5">
        <f t="shared" ref="N98:N105" si="48">IF(H98=0,0,L98/H98)</f>
        <v>0</v>
      </c>
      <c r="O98" s="13"/>
      <c r="P98" s="1">
        <f>SUM(OSRRefP22_7x_0)</f>
        <v>8253.06</v>
      </c>
      <c r="Q98" s="1"/>
      <c r="R98" s="5">
        <f t="shared" ref="R98:R105" si="49">IF(P$12=0,0,P98/P$12)</f>
        <v>1.7131926169121534E-3</v>
      </c>
      <c r="S98" s="1"/>
      <c r="T98" s="1">
        <f>SUM(OSRRefT22_7x_0)</f>
        <v>13000</v>
      </c>
      <c r="U98" s="1"/>
      <c r="V98" s="5">
        <f t="shared" ref="V98:V105" si="50">IF(T$12=0,0,T98/T$12)</f>
        <v>2.4424832765048889E-3</v>
      </c>
      <c r="W98" s="1"/>
      <c r="X98" s="1">
        <f t="shared" ref="X98:X105" si="51">+P98-T98</f>
        <v>-4746.9400000000005</v>
      </c>
      <c r="Y98" s="1"/>
      <c r="Z98" s="5">
        <f t="shared" ref="Z98:Z105" si="52">IF(T98=0,0,X98/T98)</f>
        <v>-0.36514923076923078</v>
      </c>
    </row>
    <row r="99" spans="1:26" s="24" customFormat="1" hidden="1" outlineLevel="2" x14ac:dyDescent="0.25">
      <c r="A99" s="25"/>
      <c r="B99" s="11" t="str">
        <f>CONCATENATE("          ", "6279", " - ", "GENERAL EXPENSE")</f>
        <v xml:space="preserve">          6279 - GENERAL EXPENSE</v>
      </c>
      <c r="C99" s="11"/>
      <c r="D99" s="6"/>
      <c r="E99" s="2"/>
      <c r="F99" s="7">
        <f t="shared" si="45"/>
        <v>0</v>
      </c>
      <c r="G99" s="2"/>
      <c r="H99" s="6"/>
      <c r="I99" s="2"/>
      <c r="J99" s="7">
        <f t="shared" si="46"/>
        <v>0</v>
      </c>
      <c r="K99" s="2"/>
      <c r="L99" s="6">
        <f t="shared" si="47"/>
        <v>0</v>
      </c>
      <c r="M99" s="2"/>
      <c r="N99" s="7">
        <f t="shared" si="48"/>
        <v>0</v>
      </c>
      <c r="O99" s="11"/>
      <c r="P99" s="6">
        <v>8253.06</v>
      </c>
      <c r="Q99" s="2"/>
      <c r="R99" s="7">
        <f t="shared" si="49"/>
        <v>1.7131926169121534E-3</v>
      </c>
      <c r="S99" s="2"/>
      <c r="T99" s="6">
        <v>13000</v>
      </c>
      <c r="U99" s="2"/>
      <c r="V99" s="7">
        <f t="shared" si="50"/>
        <v>2.4424832765048889E-3</v>
      </c>
      <c r="W99" s="2"/>
      <c r="X99" s="6">
        <f t="shared" si="51"/>
        <v>-4746.9400000000005</v>
      </c>
      <c r="Y99" s="2"/>
      <c r="Z99" s="7">
        <f t="shared" si="52"/>
        <v>-0.36514923076923078</v>
      </c>
    </row>
    <row r="100" spans="1:26" s="27" customFormat="1" outlineLevel="1" collapsed="1" x14ac:dyDescent="0.25">
      <c r="A100" s="26"/>
      <c r="B100" s="13" t="str">
        <f>CONCATENATE("     ","Inventory Adjustment                              ")</f>
        <v xml:space="preserve">     Inventory Adjustment                              </v>
      </c>
      <c r="C100" s="13"/>
      <c r="D100" s="1">
        <f>SUM(OSRRefD22_8x_0)</f>
        <v>1000</v>
      </c>
      <c r="E100" s="1"/>
      <c r="F100" s="5">
        <f t="shared" si="45"/>
        <v>4.9011189450596342E-3</v>
      </c>
      <c r="G100" s="1"/>
      <c r="H100" s="1">
        <f>SUM(OSRRefH22_8x_0)</f>
        <v>1000</v>
      </c>
      <c r="I100" s="1"/>
      <c r="J100" s="5">
        <f t="shared" si="46"/>
        <v>5.2908373279155155E-3</v>
      </c>
      <c r="K100" s="1"/>
      <c r="L100" s="1">
        <f t="shared" si="47"/>
        <v>0</v>
      </c>
      <c r="M100" s="1"/>
      <c r="N100" s="5">
        <f t="shared" si="48"/>
        <v>0</v>
      </c>
      <c r="O100" s="13"/>
      <c r="P100" s="1">
        <f>SUM(OSRRefP22_8x_0)</f>
        <v>13800</v>
      </c>
      <c r="Q100" s="1"/>
      <c r="R100" s="5">
        <f t="shared" si="49"/>
        <v>2.864641492172324E-3</v>
      </c>
      <c r="S100" s="1"/>
      <c r="T100" s="1">
        <f>SUM(OSRRefT22_8x_0)</f>
        <v>13800</v>
      </c>
      <c r="U100" s="1"/>
      <c r="V100" s="5">
        <f t="shared" si="50"/>
        <v>2.5927899396744206E-3</v>
      </c>
      <c r="W100" s="1"/>
      <c r="X100" s="1">
        <f t="shared" si="51"/>
        <v>0</v>
      </c>
      <c r="Y100" s="1"/>
      <c r="Z100" s="5">
        <f t="shared" si="52"/>
        <v>0</v>
      </c>
    </row>
    <row r="101" spans="1:26" s="24" customFormat="1" hidden="1" outlineLevel="2" x14ac:dyDescent="0.25">
      <c r="A101" s="25"/>
      <c r="B101" s="11" t="str">
        <f>CONCATENATE("          ", "6408", " - ", "INVENTORY ADJUSTMENT")</f>
        <v xml:space="preserve">          6408 - INVENTORY ADJUSTMENT</v>
      </c>
      <c r="C101" s="11"/>
      <c r="D101" s="6">
        <v>1000</v>
      </c>
      <c r="E101" s="2"/>
      <c r="F101" s="7">
        <f t="shared" si="45"/>
        <v>4.9011189450596342E-3</v>
      </c>
      <c r="G101" s="2"/>
      <c r="H101" s="6">
        <v>1000</v>
      </c>
      <c r="I101" s="2"/>
      <c r="J101" s="7">
        <f t="shared" si="46"/>
        <v>5.2908373279155155E-3</v>
      </c>
      <c r="K101" s="2"/>
      <c r="L101" s="6">
        <f t="shared" si="47"/>
        <v>0</v>
      </c>
      <c r="M101" s="2"/>
      <c r="N101" s="7">
        <f t="shared" si="48"/>
        <v>0</v>
      </c>
      <c r="O101" s="11"/>
      <c r="P101" s="6">
        <v>13800</v>
      </c>
      <c r="Q101" s="2"/>
      <c r="R101" s="7">
        <f t="shared" si="49"/>
        <v>2.864641492172324E-3</v>
      </c>
      <c r="S101" s="2"/>
      <c r="T101" s="6">
        <v>13800</v>
      </c>
      <c r="U101" s="2"/>
      <c r="V101" s="7">
        <f t="shared" si="50"/>
        <v>2.5927899396744206E-3</v>
      </c>
      <c r="W101" s="2"/>
      <c r="X101" s="6">
        <f t="shared" si="51"/>
        <v>0</v>
      </c>
      <c r="Y101" s="2"/>
      <c r="Z101" s="7">
        <f t="shared" si="52"/>
        <v>0</v>
      </c>
    </row>
    <row r="102" spans="1:26" s="27" customFormat="1" outlineLevel="1" collapsed="1" x14ac:dyDescent="0.25">
      <c r="A102" s="26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43.62</v>
      </c>
      <c r="E102" s="1"/>
      <c r="F102" s="5">
        <f t="shared" si="45"/>
        <v>2.1378680838350121E-4</v>
      </c>
      <c r="G102" s="1"/>
      <c r="H102" s="1">
        <f>SUM(OSRRefH22_9x_0)</f>
        <v>140</v>
      </c>
      <c r="I102" s="1"/>
      <c r="J102" s="5">
        <f t="shared" si="46"/>
        <v>7.4071722590817227E-4</v>
      </c>
      <c r="K102" s="1"/>
      <c r="L102" s="1">
        <f t="shared" si="47"/>
        <v>-96.38</v>
      </c>
      <c r="M102" s="1"/>
      <c r="N102" s="5">
        <f t="shared" si="48"/>
        <v>-0.68842857142857139</v>
      </c>
      <c r="O102" s="13"/>
      <c r="P102" s="1">
        <f>SUM(OSRRefP22_9x_0)</f>
        <v>186.78</v>
      </c>
      <c r="Q102" s="1"/>
      <c r="R102" s="5">
        <f t="shared" si="49"/>
        <v>3.8772299848401934E-5</v>
      </c>
      <c r="S102" s="1"/>
      <c r="T102" s="1">
        <f>SUM(OSRRefT22_9x_0)</f>
        <v>3120</v>
      </c>
      <c r="U102" s="1"/>
      <c r="V102" s="5">
        <f t="shared" si="50"/>
        <v>5.8619598636117337E-4</v>
      </c>
      <c r="W102" s="1"/>
      <c r="X102" s="1">
        <f t="shared" si="51"/>
        <v>-2933.22</v>
      </c>
      <c r="Y102" s="1"/>
      <c r="Z102" s="5">
        <f t="shared" si="52"/>
        <v>-0.94013461538461529</v>
      </c>
    </row>
    <row r="103" spans="1:26" s="24" customFormat="1" hidden="1" outlineLevel="2" x14ac:dyDescent="0.25">
      <c r="A103" s="25"/>
      <c r="B103" s="11" t="str">
        <f>CONCATENATE("          ", "6372", " - ", "COMPUTER HARDWARE MAINTENANCE")</f>
        <v xml:space="preserve">          6372 - COMPUTER HARDWARE MAINTENANCE</v>
      </c>
      <c r="C103" s="11"/>
      <c r="D103" s="6"/>
      <c r="E103" s="2"/>
      <c r="F103" s="7">
        <f t="shared" si="45"/>
        <v>0</v>
      </c>
      <c r="G103" s="2"/>
      <c r="H103" s="6"/>
      <c r="I103" s="2"/>
      <c r="J103" s="7">
        <f t="shared" si="46"/>
        <v>0</v>
      </c>
      <c r="K103" s="2"/>
      <c r="L103" s="6">
        <f t="shared" si="47"/>
        <v>0</v>
      </c>
      <c r="M103" s="2"/>
      <c r="N103" s="7">
        <f t="shared" si="48"/>
        <v>0</v>
      </c>
      <c r="O103" s="11"/>
      <c r="P103" s="6"/>
      <c r="Q103" s="2"/>
      <c r="R103" s="7">
        <f t="shared" si="49"/>
        <v>0</v>
      </c>
      <c r="S103" s="2"/>
      <c r="T103" s="6">
        <v>2000</v>
      </c>
      <c r="U103" s="2"/>
      <c r="V103" s="7">
        <f t="shared" si="50"/>
        <v>3.7576665792382911E-4</v>
      </c>
      <c r="W103" s="2"/>
      <c r="X103" s="6">
        <f t="shared" si="51"/>
        <v>-2000</v>
      </c>
      <c r="Y103" s="2"/>
      <c r="Z103" s="7">
        <f t="shared" si="52"/>
        <v>-1</v>
      </c>
    </row>
    <row r="104" spans="1:26" s="24" customFormat="1" hidden="1" outlineLevel="2" x14ac:dyDescent="0.25">
      <c r="A104" s="25"/>
      <c r="B104" s="11" t="str">
        <f>CONCATENATE("          ", "6373", " - ", "MAINTENANCE CONTRACTS")</f>
        <v xml:space="preserve">          6373 - MAINTENANCE CONTRACTS</v>
      </c>
      <c r="C104" s="11"/>
      <c r="D104" s="6">
        <v>43.62</v>
      </c>
      <c r="E104" s="2"/>
      <c r="F104" s="7">
        <f t="shared" si="45"/>
        <v>2.1378680838350121E-4</v>
      </c>
      <c r="G104" s="2"/>
      <c r="H104" s="6">
        <v>40</v>
      </c>
      <c r="I104" s="2"/>
      <c r="J104" s="7">
        <f t="shared" si="46"/>
        <v>2.1163349311662064E-4</v>
      </c>
      <c r="K104" s="2"/>
      <c r="L104" s="6">
        <f t="shared" si="47"/>
        <v>3.6199999999999974</v>
      </c>
      <c r="M104" s="2"/>
      <c r="N104" s="7">
        <f t="shared" si="48"/>
        <v>9.0499999999999942E-2</v>
      </c>
      <c r="O104" s="11"/>
      <c r="P104" s="6">
        <v>186.78</v>
      </c>
      <c r="Q104" s="2"/>
      <c r="R104" s="7">
        <f t="shared" si="49"/>
        <v>3.8772299848401934E-5</v>
      </c>
      <c r="S104" s="2"/>
      <c r="T104" s="6">
        <v>320</v>
      </c>
      <c r="U104" s="2"/>
      <c r="V104" s="7">
        <f t="shared" si="50"/>
        <v>6.0122665267812652E-5</v>
      </c>
      <c r="W104" s="2"/>
      <c r="X104" s="6">
        <f t="shared" si="51"/>
        <v>-133.22</v>
      </c>
      <c r="Y104" s="2"/>
      <c r="Z104" s="7">
        <f t="shared" si="52"/>
        <v>-0.41631249999999997</v>
      </c>
    </row>
    <row r="105" spans="1:26" s="24" customFormat="1" hidden="1" outlineLevel="2" x14ac:dyDescent="0.25">
      <c r="A105" s="25"/>
      <c r="B105" s="11" t="str">
        <f>CONCATENATE("          ", "6375", " - ", "OUTSIDE REPAIRS &amp; MAINTENANCE")</f>
        <v xml:space="preserve">          6375 - OUTSIDE REPAIRS &amp; MAINTENANCE</v>
      </c>
      <c r="C105" s="11"/>
      <c r="D105" s="6"/>
      <c r="E105" s="2"/>
      <c r="F105" s="7">
        <f t="shared" si="45"/>
        <v>0</v>
      </c>
      <c r="G105" s="2"/>
      <c r="H105" s="6">
        <v>100</v>
      </c>
      <c r="I105" s="2"/>
      <c r="J105" s="7">
        <f t="shared" si="46"/>
        <v>5.2908373279155158E-4</v>
      </c>
      <c r="K105" s="2"/>
      <c r="L105" s="6">
        <f t="shared" si="47"/>
        <v>-100</v>
      </c>
      <c r="M105" s="2"/>
      <c r="N105" s="7">
        <f t="shared" si="48"/>
        <v>-1</v>
      </c>
      <c r="O105" s="11"/>
      <c r="P105" s="6"/>
      <c r="Q105" s="2"/>
      <c r="R105" s="7">
        <f t="shared" si="49"/>
        <v>0</v>
      </c>
      <c r="S105" s="2"/>
      <c r="T105" s="6">
        <v>800</v>
      </c>
      <c r="U105" s="2"/>
      <c r="V105" s="7">
        <f t="shared" si="50"/>
        <v>1.5030666316953164E-4</v>
      </c>
      <c r="W105" s="2"/>
      <c r="X105" s="6">
        <f t="shared" si="51"/>
        <v>-800</v>
      </c>
      <c r="Y105" s="2"/>
      <c r="Z105" s="7">
        <f t="shared" si="52"/>
        <v>-1</v>
      </c>
    </row>
    <row r="106" spans="1:26" s="27" customFormat="1" outlineLevel="1" collapsed="1" x14ac:dyDescent="0.25">
      <c r="A106" s="26"/>
      <c r="B106" s="13" t="str">
        <f>CONCATENATE("     ","Subscriptions &amp; Dues                              ")</f>
        <v xml:space="preserve">     Subscriptions &amp; Dues                              </v>
      </c>
      <c r="C106" s="13"/>
      <c r="D106" s="1">
        <f>SUM(OSRRefD22_10x_0)</f>
        <v>506.44</v>
      </c>
      <c r="E106" s="1"/>
      <c r="F106" s="5">
        <f t="shared" ref="F106:F111" si="53">IF(D$12=0,0,D106/D$12)</f>
        <v>2.4821226785360011E-3</v>
      </c>
      <c r="G106" s="1"/>
      <c r="H106" s="1">
        <f>SUM(OSRRefH22_10x_0)</f>
        <v>300</v>
      </c>
      <c r="I106" s="1"/>
      <c r="J106" s="5">
        <f t="shared" ref="J106:J111" si="54">IF(H$12=0,0,H106/H$12)</f>
        <v>1.5872511983746548E-3</v>
      </c>
      <c r="K106" s="1"/>
      <c r="L106" s="1">
        <f t="shared" ref="L106:L111" si="55">+D106-H106</f>
        <v>206.44</v>
      </c>
      <c r="M106" s="1"/>
      <c r="N106" s="5">
        <f t="shared" ref="N106:N111" si="56">IF(H106=0,0,L106/H106)</f>
        <v>0.68813333333333337</v>
      </c>
      <c r="O106" s="13"/>
      <c r="P106" s="1">
        <f>SUM(OSRRefP22_10x_0)</f>
        <v>2321.94</v>
      </c>
      <c r="Q106" s="1"/>
      <c r="R106" s="5">
        <f t="shared" ref="R106:R111" si="57">IF(P$12=0,0,P106/P$12)</f>
        <v>4.8199461350250766E-4</v>
      </c>
      <c r="S106" s="1"/>
      <c r="T106" s="1">
        <f>SUM(OSRRefT22_10x_0)</f>
        <v>6700</v>
      </c>
      <c r="U106" s="1"/>
      <c r="V106" s="5">
        <f t="shared" ref="V106:V111" si="58">IF(T$12=0,0,T106/T$12)</f>
        <v>1.2588183040448274E-3</v>
      </c>
      <c r="W106" s="1"/>
      <c r="X106" s="1">
        <f t="shared" ref="X106:X111" si="59">+P106-T106</f>
        <v>-4378.0599999999995</v>
      </c>
      <c r="Y106" s="1"/>
      <c r="Z106" s="5">
        <f t="shared" ref="Z106:Z111" si="60">IF(T106=0,0,X106/T106)</f>
        <v>-0.65344179104477607</v>
      </c>
    </row>
    <row r="107" spans="1:26" s="24" customFormat="1" hidden="1" outlineLevel="2" x14ac:dyDescent="0.25">
      <c r="A107" s="25"/>
      <c r="B107" s="11" t="str">
        <f>CONCATENATE("          ", "6258", " - ", "MEMBERSHIP DUES")</f>
        <v xml:space="preserve">          6258 - MEMBERSHIP DUES</v>
      </c>
      <c r="C107" s="11"/>
      <c r="D107" s="6">
        <v>506.44</v>
      </c>
      <c r="E107" s="2"/>
      <c r="F107" s="7">
        <f t="shared" si="53"/>
        <v>2.4821226785360011E-3</v>
      </c>
      <c r="G107" s="2"/>
      <c r="H107" s="6">
        <v>300</v>
      </c>
      <c r="I107" s="2"/>
      <c r="J107" s="7">
        <f t="shared" si="54"/>
        <v>1.5872511983746548E-3</v>
      </c>
      <c r="K107" s="2"/>
      <c r="L107" s="6">
        <f t="shared" si="55"/>
        <v>206.44</v>
      </c>
      <c r="M107" s="2"/>
      <c r="N107" s="7">
        <f t="shared" si="56"/>
        <v>0.68813333333333337</v>
      </c>
      <c r="O107" s="11"/>
      <c r="P107" s="6">
        <v>2321.94</v>
      </c>
      <c r="Q107" s="2"/>
      <c r="R107" s="7">
        <f t="shared" si="57"/>
        <v>4.8199461350250766E-4</v>
      </c>
      <c r="S107" s="2"/>
      <c r="T107" s="6">
        <v>6700</v>
      </c>
      <c r="U107" s="2"/>
      <c r="V107" s="7">
        <f t="shared" si="58"/>
        <v>1.2588183040448274E-3</v>
      </c>
      <c r="W107" s="2"/>
      <c r="X107" s="6">
        <f t="shared" si="59"/>
        <v>-4378.0599999999995</v>
      </c>
      <c r="Y107" s="2"/>
      <c r="Z107" s="7">
        <f t="shared" si="60"/>
        <v>-0.65344179104477607</v>
      </c>
    </row>
    <row r="108" spans="1:26" s="27" customFormat="1" outlineLevel="1" collapsed="1" x14ac:dyDescent="0.25">
      <c r="A108" s="26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1393.8600000000001</v>
      </c>
      <c r="E108" s="1"/>
      <c r="F108" s="5">
        <f t="shared" si="53"/>
        <v>6.8314736527608222E-3</v>
      </c>
      <c r="G108" s="1"/>
      <c r="H108" s="1">
        <f>SUM(OSRRefH22_11x_0)</f>
        <v>3600</v>
      </c>
      <c r="I108" s="1"/>
      <c r="J108" s="5">
        <f t="shared" si="54"/>
        <v>1.9047014380495858E-2</v>
      </c>
      <c r="K108" s="1"/>
      <c r="L108" s="1">
        <f t="shared" si="55"/>
        <v>-2206.14</v>
      </c>
      <c r="M108" s="1"/>
      <c r="N108" s="5">
        <f t="shared" si="56"/>
        <v>-0.61281666666666668</v>
      </c>
      <c r="O108" s="13"/>
      <c r="P108" s="1">
        <f>SUM(OSRRefP22_11x_0)</f>
        <v>11037.189999999999</v>
      </c>
      <c r="Q108" s="1"/>
      <c r="R108" s="5">
        <f t="shared" si="57"/>
        <v>2.2911298863035833E-3</v>
      </c>
      <c r="S108" s="1"/>
      <c r="T108" s="1">
        <f>SUM(OSRRefT22_11x_0)</f>
        <v>16850</v>
      </c>
      <c r="U108" s="1"/>
      <c r="V108" s="5">
        <f t="shared" si="58"/>
        <v>3.1658340930082601E-3</v>
      </c>
      <c r="W108" s="1"/>
      <c r="X108" s="1">
        <f t="shared" si="59"/>
        <v>-5812.8100000000013</v>
      </c>
      <c r="Y108" s="1"/>
      <c r="Z108" s="5">
        <f t="shared" si="60"/>
        <v>-0.34497388724035616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140.94</v>
      </c>
      <c r="E109" s="2"/>
      <c r="F109" s="7">
        <f t="shared" si="53"/>
        <v>6.9076370411670477E-4</v>
      </c>
      <c r="G109" s="2"/>
      <c r="H109" s="6">
        <v>2000</v>
      </c>
      <c r="I109" s="2"/>
      <c r="J109" s="7">
        <f t="shared" si="54"/>
        <v>1.0581674655831031E-2</v>
      </c>
      <c r="K109" s="2"/>
      <c r="L109" s="6">
        <f t="shared" si="55"/>
        <v>-1859.06</v>
      </c>
      <c r="M109" s="2"/>
      <c r="N109" s="7">
        <f t="shared" si="56"/>
        <v>-0.92952999999999997</v>
      </c>
      <c r="O109" s="11"/>
      <c r="P109" s="6">
        <v>3945.15</v>
      </c>
      <c r="Q109" s="2"/>
      <c r="R109" s="7">
        <f t="shared" si="57"/>
        <v>8.1894495527852496E-4</v>
      </c>
      <c r="S109" s="2"/>
      <c r="T109" s="6">
        <v>6950</v>
      </c>
      <c r="U109" s="2"/>
      <c r="V109" s="7">
        <f t="shared" si="58"/>
        <v>1.3057891362853061E-3</v>
      </c>
      <c r="W109" s="2"/>
      <c r="X109" s="6">
        <f t="shared" si="59"/>
        <v>-3004.85</v>
      </c>
      <c r="Y109" s="2"/>
      <c r="Z109" s="7">
        <f t="shared" si="60"/>
        <v>-0.43235251798561147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6"/>
      <c r="E110" s="2"/>
      <c r="F110" s="7">
        <f t="shared" si="53"/>
        <v>0</v>
      </c>
      <c r="G110" s="2"/>
      <c r="H110" s="6">
        <v>100</v>
      </c>
      <c r="I110" s="2"/>
      <c r="J110" s="7">
        <f t="shared" si="54"/>
        <v>5.2908373279155158E-4</v>
      </c>
      <c r="K110" s="2"/>
      <c r="L110" s="6">
        <f t="shared" si="55"/>
        <v>-100</v>
      </c>
      <c r="M110" s="2"/>
      <c r="N110" s="7">
        <f t="shared" si="56"/>
        <v>-1</v>
      </c>
      <c r="O110" s="11"/>
      <c r="P110" s="6">
        <v>4978.08</v>
      </c>
      <c r="Q110" s="2"/>
      <c r="R110" s="7">
        <f t="shared" si="57"/>
        <v>1.0333633709676234E-3</v>
      </c>
      <c r="S110" s="2"/>
      <c r="T110" s="6">
        <v>2000</v>
      </c>
      <c r="U110" s="2"/>
      <c r="V110" s="7">
        <f t="shared" si="58"/>
        <v>3.7576665792382911E-4</v>
      </c>
      <c r="W110" s="2"/>
      <c r="X110" s="6">
        <f t="shared" si="59"/>
        <v>2978.08</v>
      </c>
      <c r="Y110" s="2"/>
      <c r="Z110" s="7">
        <f t="shared" si="60"/>
        <v>1.4890399999999999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6">
        <v>1252.92</v>
      </c>
      <c r="E111" s="2"/>
      <c r="F111" s="7">
        <f t="shared" si="53"/>
        <v>6.1407099486441175E-3</v>
      </c>
      <c r="G111" s="2"/>
      <c r="H111" s="6">
        <v>1500</v>
      </c>
      <c r="I111" s="2"/>
      <c r="J111" s="7">
        <f t="shared" si="54"/>
        <v>7.9362559918732742E-3</v>
      </c>
      <c r="K111" s="2"/>
      <c r="L111" s="6">
        <f t="shared" si="55"/>
        <v>-247.07999999999993</v>
      </c>
      <c r="M111" s="2"/>
      <c r="N111" s="7">
        <f t="shared" si="56"/>
        <v>-0.16471999999999995</v>
      </c>
      <c r="O111" s="11"/>
      <c r="P111" s="6">
        <v>2113.96</v>
      </c>
      <c r="Q111" s="2"/>
      <c r="R111" s="7">
        <f t="shared" si="57"/>
        <v>4.3882156005743521E-4</v>
      </c>
      <c r="S111" s="2"/>
      <c r="T111" s="6">
        <v>7900</v>
      </c>
      <c r="U111" s="2"/>
      <c r="V111" s="7">
        <f t="shared" si="58"/>
        <v>1.4842782987991249E-3</v>
      </c>
      <c r="W111" s="2"/>
      <c r="X111" s="6">
        <f t="shared" si="59"/>
        <v>-5786.04</v>
      </c>
      <c r="Y111" s="2"/>
      <c r="Z111" s="7">
        <f t="shared" si="60"/>
        <v>-0.73241012658227844</v>
      </c>
    </row>
    <row r="112" spans="1:26" s="27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SUM(OSRRefD22_12x_0)</f>
        <v>289.85000000000002</v>
      </c>
      <c r="E112" s="1"/>
      <c r="F112" s="5">
        <f t="shared" ref="F112:F114" si="61">IF(D$12=0,0,D112/D$12)</f>
        <v>1.420589326225535E-3</v>
      </c>
      <c r="G112" s="1"/>
      <c r="H112" s="1">
        <f>SUM(OSRRefH22_12x_0)</f>
        <v>600</v>
      </c>
      <c r="I112" s="1"/>
      <c r="J112" s="5">
        <f t="shared" ref="J112:J114" si="62">IF(H$12=0,0,H112/H$12)</f>
        <v>3.1745023967493097E-3</v>
      </c>
      <c r="K112" s="1"/>
      <c r="L112" s="1">
        <f t="shared" ref="L112:L114" si="63">+D112-H112</f>
        <v>-310.14999999999998</v>
      </c>
      <c r="M112" s="1"/>
      <c r="N112" s="5">
        <f t="shared" ref="N112:N114" si="64">IF(H112=0,0,L112/H112)</f>
        <v>-0.51691666666666658</v>
      </c>
      <c r="O112" s="13"/>
      <c r="P112" s="1">
        <f>SUM(OSRRefP22_12x_0)</f>
        <v>6200.24</v>
      </c>
      <c r="Q112" s="1"/>
      <c r="R112" s="5">
        <f t="shared" ref="R112:R114" si="65">IF(P$12=0,0,P112/P$12)</f>
        <v>1.2870626641613427E-3</v>
      </c>
      <c r="S112" s="1"/>
      <c r="T112" s="1">
        <f>SUM(OSRRefT22_12x_0)</f>
        <v>7100</v>
      </c>
      <c r="U112" s="1"/>
      <c r="V112" s="5">
        <f t="shared" ref="V112:V114" si="66">IF(T$12=0,0,T112/T$12)</f>
        <v>1.3339716356295932E-3</v>
      </c>
      <c r="W112" s="1"/>
      <c r="X112" s="1">
        <f t="shared" ref="X112:X114" si="67">+P112-T112</f>
        <v>-899.76000000000022</v>
      </c>
      <c r="Y112" s="1"/>
      <c r="Z112" s="5">
        <f t="shared" ref="Z112:Z114" si="68">IF(T112=0,0,X112/T112)</f>
        <v>-0.12672676056338031</v>
      </c>
    </row>
    <row r="113" spans="1:26" s="24" customFormat="1" hidden="1" outlineLevel="2" x14ac:dyDescent="0.25">
      <c r="A113" s="25"/>
      <c r="B113" s="11" t="str">
        <f>CONCATENATE("          ", "6303", " - ", "DATA PHONE LINES")</f>
        <v xml:space="preserve">          6303 - DATA PHONE LINES</v>
      </c>
      <c r="C113" s="11"/>
      <c r="D113" s="6">
        <v>295</v>
      </c>
      <c r="E113" s="2"/>
      <c r="F113" s="7">
        <f t="shared" si="61"/>
        <v>1.4458300887925921E-3</v>
      </c>
      <c r="G113" s="2"/>
      <c r="H113" s="6">
        <v>300</v>
      </c>
      <c r="I113" s="2"/>
      <c r="J113" s="7">
        <f t="shared" si="62"/>
        <v>1.5872511983746548E-3</v>
      </c>
      <c r="K113" s="2"/>
      <c r="L113" s="6">
        <f t="shared" si="63"/>
        <v>-5</v>
      </c>
      <c r="M113" s="2"/>
      <c r="N113" s="7">
        <f t="shared" si="64"/>
        <v>-1.6666666666666666E-2</v>
      </c>
      <c r="O113" s="11"/>
      <c r="P113" s="6">
        <v>2360</v>
      </c>
      <c r="Q113" s="2"/>
      <c r="R113" s="7">
        <f t="shared" si="65"/>
        <v>4.8989521170483222E-4</v>
      </c>
      <c r="S113" s="2"/>
      <c r="T113" s="6">
        <v>2400</v>
      </c>
      <c r="U113" s="2"/>
      <c r="V113" s="7">
        <f t="shared" si="66"/>
        <v>4.5091998950859489E-4</v>
      </c>
      <c r="W113" s="2"/>
      <c r="X113" s="6">
        <f t="shared" si="67"/>
        <v>-40</v>
      </c>
      <c r="Y113" s="2"/>
      <c r="Z113" s="7">
        <f t="shared" si="68"/>
        <v>-1.6666666666666666E-2</v>
      </c>
    </row>
    <row r="114" spans="1:26" s="24" customFormat="1" hidden="1" outlineLevel="2" x14ac:dyDescent="0.25">
      <c r="A114" s="25"/>
      <c r="B114" s="11" t="str">
        <f>CONCATENATE("          ", "6309", " - ", "TELEPHONE")</f>
        <v xml:space="preserve">          6309 - TELEPHONE</v>
      </c>
      <c r="C114" s="11"/>
      <c r="D114" s="6">
        <v>-5.15</v>
      </c>
      <c r="E114" s="2"/>
      <c r="F114" s="7">
        <f t="shared" si="61"/>
        <v>-2.5240762567057116E-5</v>
      </c>
      <c r="G114" s="2"/>
      <c r="H114" s="6">
        <v>300</v>
      </c>
      <c r="I114" s="2"/>
      <c r="J114" s="7">
        <f t="shared" si="62"/>
        <v>1.5872511983746548E-3</v>
      </c>
      <c r="K114" s="2"/>
      <c r="L114" s="6">
        <f t="shared" si="63"/>
        <v>-305.14999999999998</v>
      </c>
      <c r="M114" s="2"/>
      <c r="N114" s="7">
        <f t="shared" si="64"/>
        <v>-1.0171666666666666</v>
      </c>
      <c r="O114" s="11"/>
      <c r="P114" s="6">
        <v>3840.24</v>
      </c>
      <c r="Q114" s="2"/>
      <c r="R114" s="7">
        <f t="shared" si="65"/>
        <v>7.9716745245651051E-4</v>
      </c>
      <c r="S114" s="2"/>
      <c r="T114" s="6">
        <v>4700</v>
      </c>
      <c r="U114" s="2"/>
      <c r="V114" s="7">
        <f t="shared" si="66"/>
        <v>8.8305164612099832E-4</v>
      </c>
      <c r="W114" s="2"/>
      <c r="X114" s="6">
        <f t="shared" si="67"/>
        <v>-859.76000000000022</v>
      </c>
      <c r="Y114" s="2"/>
      <c r="Z114" s="7">
        <f t="shared" si="68"/>
        <v>-0.18292765957446813</v>
      </c>
    </row>
    <row r="115" spans="1:26" s="27" customFormat="1" outlineLevel="1" collapsed="1" x14ac:dyDescent="0.25">
      <c r="A115" s="26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SUM(OSRRefD22_13x_0)</f>
        <v>1868.88</v>
      </c>
      <c r="E115" s="1"/>
      <c r="F115" s="5">
        <f t="shared" ref="F115:F119" si="69">IF(D$12=0,0,D115/D$12)</f>
        <v>9.1596031740430496E-3</v>
      </c>
      <c r="G115" s="1"/>
      <c r="H115" s="1">
        <f>SUM(OSRRefH22_13x_0)</f>
        <v>1300</v>
      </c>
      <c r="I115" s="1"/>
      <c r="J115" s="5">
        <f t="shared" ref="J115:J119" si="70">IF(H$12=0,0,H115/H$12)</f>
        <v>6.8780885262901704E-3</v>
      </c>
      <c r="K115" s="1"/>
      <c r="L115" s="1">
        <f t="shared" ref="L115:L119" si="71">+D115-H115</f>
        <v>568.88000000000011</v>
      </c>
      <c r="M115" s="1"/>
      <c r="N115" s="5">
        <f t="shared" ref="N115:N119" si="72">IF(H115=0,0,L115/H115)</f>
        <v>0.4376000000000001</v>
      </c>
      <c r="O115" s="13"/>
      <c r="P115" s="1">
        <f>SUM(OSRRefP22_13x_0)</f>
        <v>3260.35</v>
      </c>
      <c r="Q115" s="1"/>
      <c r="R115" s="5">
        <f t="shared" ref="R115:R119" si="73">IF(P$12=0,0,P115/P$12)</f>
        <v>6.7679231079739396E-4</v>
      </c>
      <c r="S115" s="1"/>
      <c r="T115" s="1">
        <f>SUM(OSRRefT22_13x_0)</f>
        <v>3900</v>
      </c>
      <c r="U115" s="1"/>
      <c r="V115" s="5">
        <f t="shared" ref="V115:V119" si="74">IF(T$12=0,0,T115/T$12)</f>
        <v>7.3274498295146677E-4</v>
      </c>
      <c r="W115" s="1"/>
      <c r="X115" s="1">
        <f t="shared" ref="X115:X119" si="75">+P115-T115</f>
        <v>-639.65000000000009</v>
      </c>
      <c r="Y115" s="1"/>
      <c r="Z115" s="5">
        <f t="shared" ref="Z115:Z119" si="76">IF(T115=0,0,X115/T115)</f>
        <v>-0.16401282051282054</v>
      </c>
    </row>
    <row r="116" spans="1:26" s="24" customFormat="1" hidden="1" outlineLevel="2" x14ac:dyDescent="0.25">
      <c r="A116" s="25"/>
      <c r="B116" s="11" t="str">
        <f>CONCATENATE("          ", "6376", " - ", "TRAINING")</f>
        <v xml:space="preserve">          6376 - TRAINING</v>
      </c>
      <c r="C116" s="11"/>
      <c r="D116" s="6">
        <v>1868.88</v>
      </c>
      <c r="E116" s="2"/>
      <c r="F116" s="7">
        <f t="shared" si="69"/>
        <v>9.1596031740430496E-3</v>
      </c>
      <c r="G116" s="2"/>
      <c r="H116" s="6">
        <v>1300</v>
      </c>
      <c r="I116" s="2"/>
      <c r="J116" s="7">
        <f t="shared" si="70"/>
        <v>6.8780885262901704E-3</v>
      </c>
      <c r="K116" s="2"/>
      <c r="L116" s="6">
        <f t="shared" si="71"/>
        <v>568.88000000000011</v>
      </c>
      <c r="M116" s="2"/>
      <c r="N116" s="7">
        <f t="shared" si="72"/>
        <v>0.4376000000000001</v>
      </c>
      <c r="O116" s="11"/>
      <c r="P116" s="6">
        <v>3260.35</v>
      </c>
      <c r="Q116" s="2"/>
      <c r="R116" s="7">
        <f t="shared" si="73"/>
        <v>6.7679231079739396E-4</v>
      </c>
      <c r="S116" s="2"/>
      <c r="T116" s="6">
        <v>3900</v>
      </c>
      <c r="U116" s="2"/>
      <c r="V116" s="7">
        <f t="shared" si="74"/>
        <v>7.3274498295146677E-4</v>
      </c>
      <c r="W116" s="2"/>
      <c r="X116" s="6">
        <f t="shared" si="75"/>
        <v>-639.65000000000009</v>
      </c>
      <c r="Y116" s="2"/>
      <c r="Z116" s="7">
        <f t="shared" si="76"/>
        <v>-0.16401282051282054</v>
      </c>
    </row>
    <row r="117" spans="1:26" s="27" customFormat="1" outlineLevel="1" collapsed="1" x14ac:dyDescent="0.25">
      <c r="A117" s="26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SUM(OSRRefD22_14x_0)</f>
        <v>0</v>
      </c>
      <c r="E117" s="1"/>
      <c r="F117" s="5">
        <f t="shared" si="69"/>
        <v>0</v>
      </c>
      <c r="G117" s="1"/>
      <c r="H117" s="1">
        <f>SUM(OSRRefH22_14x_0)</f>
        <v>100</v>
      </c>
      <c r="I117" s="1"/>
      <c r="J117" s="5">
        <f t="shared" si="70"/>
        <v>5.2908373279155158E-4</v>
      </c>
      <c r="K117" s="1"/>
      <c r="L117" s="1">
        <f t="shared" si="71"/>
        <v>-100</v>
      </c>
      <c r="M117" s="1"/>
      <c r="N117" s="5">
        <f t="shared" si="72"/>
        <v>-1</v>
      </c>
      <c r="O117" s="13"/>
      <c r="P117" s="1">
        <f>SUM(OSRRefP22_14x_0)</f>
        <v>83.93</v>
      </c>
      <c r="Q117" s="1"/>
      <c r="R117" s="5">
        <f t="shared" si="73"/>
        <v>1.7422417423045158E-5</v>
      </c>
      <c r="S117" s="1"/>
      <c r="T117" s="1">
        <f>SUM(OSRRefT22_14x_0)</f>
        <v>550</v>
      </c>
      <c r="U117" s="1"/>
      <c r="V117" s="5">
        <f t="shared" si="74"/>
        <v>1.0333583092905299E-4</v>
      </c>
      <c r="W117" s="1"/>
      <c r="X117" s="1">
        <f t="shared" si="75"/>
        <v>-466.07</v>
      </c>
      <c r="Y117" s="1"/>
      <c r="Z117" s="5">
        <f t="shared" si="76"/>
        <v>-0.84740000000000004</v>
      </c>
    </row>
    <row r="118" spans="1:26" s="24" customFormat="1" hidden="1" outlineLevel="2" x14ac:dyDescent="0.25">
      <c r="A118" s="25"/>
      <c r="B118" s="11" t="str">
        <f>CONCATENATE("          ", "6292", " - ", "TRAVEL/CONFERENCE")</f>
        <v xml:space="preserve">          6292 - TRAVEL/CONFERENCE</v>
      </c>
      <c r="C118" s="11"/>
      <c r="D118" s="6"/>
      <c r="E118" s="2"/>
      <c r="F118" s="7">
        <f t="shared" si="69"/>
        <v>0</v>
      </c>
      <c r="G118" s="2"/>
      <c r="H118" s="6"/>
      <c r="I118" s="2"/>
      <c r="J118" s="7">
        <f t="shared" si="70"/>
        <v>0</v>
      </c>
      <c r="K118" s="2"/>
      <c r="L118" s="6">
        <f t="shared" si="71"/>
        <v>0</v>
      </c>
      <c r="M118" s="2"/>
      <c r="N118" s="7">
        <f t="shared" si="72"/>
        <v>0</v>
      </c>
      <c r="O118" s="11"/>
      <c r="P118" s="6">
        <v>83.93</v>
      </c>
      <c r="Q118" s="2"/>
      <c r="R118" s="7">
        <f t="shared" si="73"/>
        <v>1.7422417423045158E-5</v>
      </c>
      <c r="S118" s="2"/>
      <c r="T118" s="6"/>
      <c r="U118" s="2"/>
      <c r="V118" s="7">
        <f t="shared" si="74"/>
        <v>0</v>
      </c>
      <c r="W118" s="2"/>
      <c r="X118" s="6">
        <f t="shared" si="75"/>
        <v>83.93</v>
      </c>
      <c r="Y118" s="2"/>
      <c r="Z118" s="7">
        <f t="shared" si="76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6"/>
      <c r="E119" s="2"/>
      <c r="F119" s="7">
        <f t="shared" si="69"/>
        <v>0</v>
      </c>
      <c r="G119" s="2"/>
      <c r="H119" s="6">
        <v>100</v>
      </c>
      <c r="I119" s="2"/>
      <c r="J119" s="7">
        <f t="shared" si="70"/>
        <v>5.2908373279155158E-4</v>
      </c>
      <c r="K119" s="2"/>
      <c r="L119" s="6">
        <f t="shared" si="71"/>
        <v>-100</v>
      </c>
      <c r="M119" s="2"/>
      <c r="N119" s="7">
        <f t="shared" si="72"/>
        <v>-1</v>
      </c>
      <c r="O119" s="11"/>
      <c r="P119" s="6"/>
      <c r="Q119" s="2"/>
      <c r="R119" s="7">
        <f t="shared" si="73"/>
        <v>0</v>
      </c>
      <c r="S119" s="2"/>
      <c r="T119" s="6">
        <v>550</v>
      </c>
      <c r="U119" s="2"/>
      <c r="V119" s="7">
        <f t="shared" si="74"/>
        <v>1.0333583092905299E-4</v>
      </c>
      <c r="W119" s="2"/>
      <c r="X119" s="6">
        <f t="shared" si="75"/>
        <v>-550</v>
      </c>
      <c r="Y119" s="2"/>
      <c r="Z119" s="7">
        <f t="shared" si="76"/>
        <v>-1</v>
      </c>
    </row>
    <row r="120" spans="1:26" s="5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9" t="s">
        <v>0</v>
      </c>
      <c r="C121" s="10"/>
      <c r="D121" s="4">
        <f>SUM(OSRRefD25x_0)</f>
        <v>78928.62000000001</v>
      </c>
      <c r="E121" s="4"/>
      <c r="F121" s="12">
        <f t="shared" ref="F121:F125" si="77">IF(D$12=0,0,D121/D$12)</f>
        <v>0.38683855478941276</v>
      </c>
      <c r="G121" s="4"/>
      <c r="H121" s="4">
        <f>SUM(OSRRefH25x_0)</f>
        <v>75000</v>
      </c>
      <c r="I121" s="4"/>
      <c r="J121" s="12">
        <f t="shared" ref="J121:J125" si="78">IF(H$12=0,0,H121/H$12)</f>
        <v>0.39681279959366367</v>
      </c>
      <c r="K121" s="4"/>
      <c r="L121" s="4">
        <f t="shared" ref="L121:L125" si="79">+D121-H121</f>
        <v>3928.6200000000099</v>
      </c>
      <c r="M121" s="4"/>
      <c r="N121" s="12">
        <f t="shared" ref="N121:N125" si="80">IF(H121=0,0,L121/H121)</f>
        <v>5.2381600000000132E-2</v>
      </c>
      <c r="O121" s="10"/>
      <c r="P121" s="4">
        <f>SUM(OSRRefP25x_0)</f>
        <v>187739.28999999998</v>
      </c>
      <c r="Q121" s="4"/>
      <c r="R121" s="12">
        <f t="shared" ref="R121:R125" si="81">IF(P$12=0,0,P121/P$12)</f>
        <v>3.8971431872824099E-2</v>
      </c>
      <c r="S121" s="4"/>
      <c r="T121" s="4">
        <f>SUM(OSRRefT25x_0)</f>
        <v>173150</v>
      </c>
      <c r="U121" s="4"/>
      <c r="V121" s="12">
        <f t="shared" ref="V121:V125" si="82">IF(T$12=0,0,T121/T$12)</f>
        <v>3.2531998409755507E-2</v>
      </c>
      <c r="W121" s="4"/>
      <c r="X121" s="4">
        <f t="shared" ref="X121:X125" si="83">+P121-T121</f>
        <v>14589.289999999979</v>
      </c>
      <c r="Y121" s="4"/>
      <c r="Z121" s="12">
        <f t="shared" ref="Z121:Z125" si="84">IF(T121=0,0,X121/T121)</f>
        <v>8.4258099913369786E-2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--3860.52</f>
        <v>3860.52</v>
      </c>
      <c r="E122" s="2"/>
      <c r="F122" s="19">
        <f t="shared" si="77"/>
        <v>1.892086770978162E-2</v>
      </c>
      <c r="G122" s="2"/>
      <c r="H122" s="2"/>
      <c r="I122" s="2"/>
      <c r="J122" s="19">
        <f t="shared" si="78"/>
        <v>0</v>
      </c>
      <c r="K122" s="2"/>
      <c r="L122" s="2">
        <f t="shared" si="79"/>
        <v>3860.52</v>
      </c>
      <c r="M122" s="2"/>
      <c r="N122" s="19">
        <f t="shared" si="80"/>
        <v>0</v>
      </c>
      <c r="O122" s="11"/>
      <c r="P122" s="2">
        <f>--20295.13</f>
        <v>20295.13</v>
      </c>
      <c r="Q122" s="2"/>
      <c r="R122" s="19">
        <f t="shared" si="81"/>
        <v>4.21291822369792E-3</v>
      </c>
      <c r="S122" s="2"/>
      <c r="T122" s="2"/>
      <c r="U122" s="2"/>
      <c r="V122" s="19">
        <f t="shared" si="82"/>
        <v>0</v>
      </c>
      <c r="W122" s="2"/>
      <c r="X122" s="2">
        <f t="shared" si="83"/>
        <v>20295.13</v>
      </c>
      <c r="Y122" s="2"/>
      <c r="Z122" s="19">
        <f t="shared" si="84"/>
        <v>0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>--75068.1</f>
        <v>75068.100000000006</v>
      </c>
      <c r="E123" s="2"/>
      <c r="F123" s="19">
        <f t="shared" si="77"/>
        <v>0.36791768707963113</v>
      </c>
      <c r="G123" s="2"/>
      <c r="H123" s="2"/>
      <c r="I123" s="2"/>
      <c r="J123" s="19">
        <f t="shared" si="78"/>
        <v>0</v>
      </c>
      <c r="K123" s="2"/>
      <c r="L123" s="2">
        <f t="shared" si="79"/>
        <v>75068.100000000006</v>
      </c>
      <c r="M123" s="2"/>
      <c r="N123" s="19">
        <f t="shared" si="80"/>
        <v>0</v>
      </c>
      <c r="O123" s="11"/>
      <c r="P123" s="2">
        <f>--162744.3</f>
        <v>162744.29999999999</v>
      </c>
      <c r="Q123" s="2"/>
      <c r="R123" s="19">
        <f t="shared" si="81"/>
        <v>3.3782903941633358E-2</v>
      </c>
      <c r="S123" s="2"/>
      <c r="T123" s="2"/>
      <c r="U123" s="2"/>
      <c r="V123" s="19">
        <f t="shared" si="82"/>
        <v>0</v>
      </c>
      <c r="W123" s="2"/>
      <c r="X123" s="2">
        <f t="shared" si="83"/>
        <v>162744.29999999999</v>
      </c>
      <c r="Y123" s="2"/>
      <c r="Z123" s="19">
        <f t="shared" si="84"/>
        <v>0</v>
      </c>
    </row>
    <row r="124" spans="1:26" s="24" customFormat="1" hidden="1" outlineLevel="1" x14ac:dyDescent="0.25">
      <c r="A124" s="44"/>
      <c r="B124" s="11" t="str">
        <f>CONCATENATE("          ", "9152", " - ", "MISC. INCOME")</f>
        <v xml:space="preserve">          9152 - MISC. INCOME</v>
      </c>
      <c r="C124" s="11"/>
      <c r="D124" s="2">
        <f t="shared" ref="D124:D125" si="85">0</f>
        <v>0</v>
      </c>
      <c r="E124" s="2"/>
      <c r="F124" s="19">
        <f t="shared" si="77"/>
        <v>0</v>
      </c>
      <c r="G124" s="2"/>
      <c r="H124" s="2"/>
      <c r="I124" s="2"/>
      <c r="J124" s="19">
        <f t="shared" si="78"/>
        <v>0</v>
      </c>
      <c r="K124" s="2"/>
      <c r="L124" s="2">
        <f t="shared" si="79"/>
        <v>0</v>
      </c>
      <c r="M124" s="2"/>
      <c r="N124" s="19">
        <f t="shared" si="80"/>
        <v>0</v>
      </c>
      <c r="O124" s="11"/>
      <c r="P124" s="2">
        <f>--4699.86</f>
        <v>4699.8599999999997</v>
      </c>
      <c r="Q124" s="2"/>
      <c r="R124" s="19">
        <f t="shared" si="81"/>
        <v>9.7560970749282735E-4</v>
      </c>
      <c r="S124" s="2"/>
      <c r="T124" s="2"/>
      <c r="U124" s="2"/>
      <c r="V124" s="19">
        <f t="shared" si="82"/>
        <v>0</v>
      </c>
      <c r="W124" s="2"/>
      <c r="X124" s="2">
        <f t="shared" si="83"/>
        <v>4699.8599999999997</v>
      </c>
      <c r="Y124" s="2"/>
      <c r="Z124" s="19">
        <f t="shared" si="84"/>
        <v>0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 t="shared" si="85"/>
        <v>0</v>
      </c>
      <c r="E125" s="2"/>
      <c r="F125" s="19">
        <f t="shared" si="77"/>
        <v>0</v>
      </c>
      <c r="G125" s="2"/>
      <c r="H125" s="2">
        <v>75000</v>
      </c>
      <c r="I125" s="2"/>
      <c r="J125" s="19">
        <f t="shared" si="78"/>
        <v>0.39681279959366367</v>
      </c>
      <c r="K125" s="2"/>
      <c r="L125" s="2">
        <f t="shared" si="79"/>
        <v>-75000</v>
      </c>
      <c r="M125" s="2"/>
      <c r="N125" s="19">
        <f t="shared" si="80"/>
        <v>-1</v>
      </c>
      <c r="O125" s="11"/>
      <c r="P125" s="2">
        <f>0</f>
        <v>0</v>
      </c>
      <c r="Q125" s="2"/>
      <c r="R125" s="19">
        <f t="shared" si="81"/>
        <v>0</v>
      </c>
      <c r="S125" s="2"/>
      <c r="T125" s="2">
        <v>173150</v>
      </c>
      <c r="U125" s="2"/>
      <c r="V125" s="19">
        <f t="shared" si="82"/>
        <v>3.2531998409755507E-2</v>
      </c>
      <c r="W125" s="2"/>
      <c r="X125" s="2">
        <f t="shared" si="83"/>
        <v>-173150</v>
      </c>
      <c r="Y125" s="2"/>
      <c r="Z125" s="19">
        <f t="shared" si="84"/>
        <v>-1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1">
        <f>+D61-D63+D121</f>
        <v>-80514.710000000065</v>
      </c>
      <c r="E127" s="14"/>
      <c r="F127" s="22">
        <f>IF(D$12=0,0,D127/D$12)</f>
        <v>-0.39461217053698266</v>
      </c>
      <c r="G127" s="14"/>
      <c r="H127" s="21">
        <f>+H61-H63+H121</f>
        <v>73444.924386022118</v>
      </c>
      <c r="I127" s="14"/>
      <c r="J127" s="22">
        <f>IF(H$12=0,0,H127/H$12)</f>
        <v>0.38858514748749839</v>
      </c>
      <c r="K127" s="15"/>
      <c r="L127" s="21">
        <f>+D127-H127</f>
        <v>-153959.63438602217</v>
      </c>
      <c r="M127" s="15"/>
      <c r="N127" s="22">
        <f>IF(H127=0,0,L127/H127)</f>
        <v>-2.0962596894622636</v>
      </c>
      <c r="O127" s="29"/>
      <c r="P127" s="21">
        <f>+P61-P63+P121</f>
        <v>1176373.1599999983</v>
      </c>
      <c r="Q127" s="14"/>
      <c r="R127" s="22">
        <f>IF(P$12=0,0,P127/P$12)</f>
        <v>0.24419473655172949</v>
      </c>
      <c r="S127" s="14"/>
      <c r="T127" s="21">
        <f>+T61-T63+T121</f>
        <v>1196193.6711739935</v>
      </c>
      <c r="U127" s="14"/>
      <c r="V127" s="22">
        <f>IF(T$12=0,0,T127/T$12)</f>
        <v>0.22474484902334366</v>
      </c>
      <c r="W127" s="15"/>
      <c r="X127" s="21">
        <f>+P127-T127</f>
        <v>-19820.511173995212</v>
      </c>
      <c r="Y127" s="15"/>
      <c r="Z127" s="22">
        <f>IF(T127=0,0,X127/T127)</f>
        <v>-1.6569650593906377E-2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9879.7999999999993</v>
      </c>
      <c r="E129" s="4"/>
      <c r="F129" s="12">
        <f>IF(D$12=0,0,D129/D$12)</f>
        <v>4.8422074953400167E-2</v>
      </c>
      <c r="G129" s="4"/>
      <c r="H129" s="4">
        <v>7979</v>
      </c>
      <c r="I129" s="4"/>
      <c r="J129" s="12">
        <f>IF(H$12=0,0,H129/H$12)</f>
        <v>4.2215591039437901E-2</v>
      </c>
      <c r="K129" s="4"/>
      <c r="L129" s="4">
        <f>+D129-H129</f>
        <v>1900.7999999999993</v>
      </c>
      <c r="M129" s="4"/>
      <c r="N129" s="12">
        <f>IF(H129=0,0,L129/H129)</f>
        <v>0.23822534152149383</v>
      </c>
      <c r="O129" s="10"/>
      <c r="P129" s="4">
        <v>490983.91000000003</v>
      </c>
      <c r="Q129" s="4"/>
      <c r="R129" s="12">
        <f>IF(P$12=0,0,P129/P$12)</f>
        <v>0.1019197739547103</v>
      </c>
      <c r="S129" s="4"/>
      <c r="T129" s="4">
        <v>640029</v>
      </c>
      <c r="U129" s="4"/>
      <c r="V129" s="12">
        <f>IF(T$12=0,0,T129/T$12)</f>
        <v>0.1202507791521652</v>
      </c>
      <c r="W129" s="4"/>
      <c r="X129" s="4">
        <f>+P129-T129</f>
        <v>-149045.08999999997</v>
      </c>
      <c r="Y129" s="4"/>
      <c r="Z129" s="12">
        <f>IF(T129=0,0,X129/T129)</f>
        <v>-0.23287240109432536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1">
        <f>+D127-D129</f>
        <v>-90394.510000000068</v>
      </c>
      <c r="E131" s="14"/>
      <c r="F131" s="32">
        <f>IF(D$12=0,0,D131/D$12)</f>
        <v>-0.44303424549038289</v>
      </c>
      <c r="G131" s="14"/>
      <c r="H131" s="31">
        <f>+H127-H129</f>
        <v>65465.924386022118</v>
      </c>
      <c r="I131" s="14"/>
      <c r="J131" s="32">
        <f>IF(H$12=0,0,H131/H$12)</f>
        <v>0.34636955644806044</v>
      </c>
      <c r="K131" s="15"/>
      <c r="L131" s="31">
        <f>D131-H131</f>
        <v>-155860.43438602219</v>
      </c>
      <c r="M131" s="15"/>
      <c r="N131" s="32">
        <f>IF(H131=0,0,L131/H131)</f>
        <v>-2.3807871934563343</v>
      </c>
      <c r="O131" s="29"/>
      <c r="P131" s="31">
        <f>+P127-P129</f>
        <v>685389.24999999825</v>
      </c>
      <c r="Q131" s="14"/>
      <c r="R131" s="32">
        <f>IF(P$12=0,0,P131/P$12)</f>
        <v>0.14227496259701919</v>
      </c>
      <c r="S131" s="14"/>
      <c r="T131" s="31">
        <f>+T127-T129</f>
        <v>556164.6711739935</v>
      </c>
      <c r="U131" s="14"/>
      <c r="V131" s="32">
        <f>IF(T$12=0,0,T131/T$12)</f>
        <v>0.10449406987117846</v>
      </c>
      <c r="W131" s="15"/>
      <c r="X131" s="31">
        <f>P131-T131</f>
        <v>129224.57882600476</v>
      </c>
      <c r="Y131" s="15"/>
      <c r="Z131" s="32">
        <f>IF(T131=0,0,X131/T131)</f>
        <v>0.23234949201866412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3">
        <f>SUM(D131:D133)</f>
        <v>-90394.510000000068</v>
      </c>
      <c r="E134" s="14"/>
      <c r="F134" s="30">
        <f>IF(D$12=0,0,D134/D$12)</f>
        <v>-0.44303424549038289</v>
      </c>
      <c r="G134" s="14"/>
      <c r="H134" s="33">
        <f>SUM(H131:H133)</f>
        <v>65465.924386022118</v>
      </c>
      <c r="I134" s="14"/>
      <c r="J134" s="30">
        <f>IF(H$12=0,0,H134/H$12)</f>
        <v>0.34636955644806044</v>
      </c>
      <c r="K134" s="15"/>
      <c r="L134" s="33">
        <f>+D134-H134</f>
        <v>-155860.43438602219</v>
      </c>
      <c r="M134" s="15"/>
      <c r="N134" s="30">
        <f>IF(H134=0,0,L134/H134)</f>
        <v>-2.3807871934563343</v>
      </c>
      <c r="O134" s="29"/>
      <c r="P134" s="33">
        <f>SUM(P131:P133)</f>
        <v>685389.24999999825</v>
      </c>
      <c r="Q134" s="14"/>
      <c r="R134" s="30">
        <f>IF(P$12=0,0,P134/P$12)</f>
        <v>0.14227496259701919</v>
      </c>
      <c r="S134" s="14"/>
      <c r="T134" s="33">
        <f>SUM(T131:T133)</f>
        <v>556164.6711739935</v>
      </c>
      <c r="U134" s="14"/>
      <c r="V134" s="30">
        <f>IF(T$12=0,0,T134/T$12)</f>
        <v>0.10449406987117846</v>
      </c>
      <c r="W134" s="15"/>
      <c r="X134" s="33">
        <f>+P134-T134</f>
        <v>129224.57882600476</v>
      </c>
      <c r="Y134" s="15"/>
      <c r="Z134" s="30">
        <f>IF(T134=0,0,X134/T134)</f>
        <v>0.23234949201866412</v>
      </c>
    </row>
    <row r="135" spans="1:26" ht="15.75" thickTop="1" x14ac:dyDescent="0.25">
      <c r="A135" s="9"/>
      <c r="C135" s="9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59">
        <v>43908.494120833333</v>
      </c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63" t="s">
        <v>314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7"/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143536.79999999996</v>
      </c>
      <c r="E12" s="4"/>
      <c r="F12" s="12"/>
      <c r="G12" s="4"/>
      <c r="H12" s="4">
        <f>SUM(OSRRefH13x_0)</f>
        <v>105506</v>
      </c>
      <c r="I12" s="4"/>
      <c r="J12" s="12"/>
      <c r="K12" s="4"/>
      <c r="L12" s="4">
        <f t="shared" ref="L12:L40" si="0">+D12-H12</f>
        <v>38030.799999999959</v>
      </c>
      <c r="M12" s="4"/>
      <c r="N12" s="12">
        <f t="shared" ref="N12:N40" si="1">IF(H12=0,0,L12/H12)</f>
        <v>0.36046101643508388</v>
      </c>
      <c r="O12" s="10"/>
      <c r="P12" s="4">
        <f>SUM(OSRRefP13x_0)</f>
        <v>3273724.6199999992</v>
      </c>
      <c r="Q12" s="4"/>
      <c r="R12" s="12"/>
      <c r="S12" s="4"/>
      <c r="T12" s="4">
        <f>SUM(OSRRefT13x_0)</f>
        <v>3302482</v>
      </c>
      <c r="U12" s="4"/>
      <c r="V12" s="12"/>
      <c r="W12" s="4"/>
      <c r="X12" s="4">
        <f t="shared" ref="X12:X40" si="2">+P12-T12</f>
        <v>-28757.38000000082</v>
      </c>
      <c r="Y12" s="4"/>
      <c r="Z12" s="12">
        <f t="shared" ref="Z12:Z40" si="3">IF(T12=0,0,X12/T12)</f>
        <v>-8.7078082484630705E-3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--85495.64</f>
        <v>85495.64</v>
      </c>
      <c r="E13" s="2"/>
      <c r="F13" s="19"/>
      <c r="G13" s="2"/>
      <c r="H13" s="2"/>
      <c r="I13" s="2"/>
      <c r="J13" s="19"/>
      <c r="K13" s="2"/>
      <c r="L13" s="2">
        <f t="shared" si="0"/>
        <v>85495.64</v>
      </c>
      <c r="M13" s="2"/>
      <c r="N13" s="19">
        <f t="shared" si="1"/>
        <v>0</v>
      </c>
      <c r="O13" s="11"/>
      <c r="P13" s="2">
        <f>--1983765.56</f>
        <v>1983765.56</v>
      </c>
      <c r="Q13" s="2"/>
      <c r="R13" s="19"/>
      <c r="S13" s="2"/>
      <c r="T13" s="2"/>
      <c r="U13" s="2"/>
      <c r="V13" s="19"/>
      <c r="W13" s="2"/>
      <c r="X13" s="2">
        <f t="shared" si="2"/>
        <v>1983765.56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--27869.82</f>
        <v>27869.82</v>
      </c>
      <c r="E14" s="2"/>
      <c r="F14" s="19"/>
      <c r="G14" s="2"/>
      <c r="H14" s="2"/>
      <c r="I14" s="2"/>
      <c r="J14" s="19"/>
      <c r="K14" s="2"/>
      <c r="L14" s="2">
        <f t="shared" si="0"/>
        <v>27869.82</v>
      </c>
      <c r="M14" s="2"/>
      <c r="N14" s="19">
        <f t="shared" si="1"/>
        <v>0</v>
      </c>
      <c r="O14" s="11"/>
      <c r="P14" s="2">
        <f>--676077.35</f>
        <v>676077.35</v>
      </c>
      <c r="Q14" s="2"/>
      <c r="R14" s="19"/>
      <c r="S14" s="2"/>
      <c r="T14" s="2"/>
      <c r="U14" s="2"/>
      <c r="V14" s="19"/>
      <c r="W14" s="2"/>
      <c r="X14" s="2">
        <f t="shared" si="2"/>
        <v>676077.35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--1344.88</f>
        <v>1344.88</v>
      </c>
      <c r="E15" s="2"/>
      <c r="F15" s="19"/>
      <c r="G15" s="2"/>
      <c r="H15" s="2"/>
      <c r="I15" s="2"/>
      <c r="J15" s="19"/>
      <c r="K15" s="2"/>
      <c r="L15" s="2">
        <f t="shared" si="0"/>
        <v>1344.88</v>
      </c>
      <c r="M15" s="2"/>
      <c r="N15" s="19">
        <f t="shared" si="1"/>
        <v>0</v>
      </c>
      <c r="O15" s="11"/>
      <c r="P15" s="2">
        <f>--33616.89</f>
        <v>33616.89</v>
      </c>
      <c r="Q15" s="2"/>
      <c r="R15" s="19"/>
      <c r="S15" s="2"/>
      <c r="T15" s="2"/>
      <c r="U15" s="2"/>
      <c r="V15" s="19"/>
      <c r="W15" s="2"/>
      <c r="X15" s="2">
        <f t="shared" si="2"/>
        <v>33616.89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--993.89</f>
        <v>993.89</v>
      </c>
      <c r="E16" s="2"/>
      <c r="F16" s="19"/>
      <c r="G16" s="2"/>
      <c r="H16" s="2"/>
      <c r="I16" s="2"/>
      <c r="J16" s="19"/>
      <c r="K16" s="2"/>
      <c r="L16" s="2">
        <f t="shared" si="0"/>
        <v>993.89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--785.66</f>
        <v>785.66</v>
      </c>
      <c r="E17" s="2"/>
      <c r="F17" s="19"/>
      <c r="G17" s="2"/>
      <c r="H17" s="2"/>
      <c r="I17" s="2"/>
      <c r="J17" s="19"/>
      <c r="K17" s="2"/>
      <c r="L17" s="2">
        <f t="shared" si="0"/>
        <v>785.66</v>
      </c>
      <c r="M17" s="2"/>
      <c r="N17" s="19">
        <f t="shared" si="1"/>
        <v>0</v>
      </c>
      <c r="O17" s="11"/>
      <c r="P17" s="2">
        <f>--798.88</f>
        <v>798.88</v>
      </c>
      <c r="Q17" s="2"/>
      <c r="R17" s="19"/>
      <c r="S17" s="2"/>
      <c r="T17" s="2"/>
      <c r="U17" s="2"/>
      <c r="V17" s="19"/>
      <c r="W17" s="2"/>
      <c r="X17" s="2">
        <f t="shared" si="2"/>
        <v>798.88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--772.36</f>
        <v>772.36</v>
      </c>
      <c r="E18" s="2"/>
      <c r="F18" s="19"/>
      <c r="G18" s="2"/>
      <c r="H18" s="2"/>
      <c r="I18" s="2"/>
      <c r="J18" s="19"/>
      <c r="K18" s="2"/>
      <c r="L18" s="2">
        <f t="shared" si="0"/>
        <v>772.36</v>
      </c>
      <c r="M18" s="2"/>
      <c r="N18" s="19">
        <f t="shared" si="1"/>
        <v>0</v>
      </c>
      <c r="O18" s="11"/>
      <c r="P18" s="2">
        <f>--2282.25</f>
        <v>2282.25</v>
      </c>
      <c r="Q18" s="2"/>
      <c r="R18" s="19"/>
      <c r="S18" s="2"/>
      <c r="T18" s="2"/>
      <c r="U18" s="2"/>
      <c r="V18" s="19"/>
      <c r="W18" s="2"/>
      <c r="X18" s="2">
        <f t="shared" si="2"/>
        <v>2282.25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--51.77</f>
        <v>51.77</v>
      </c>
      <c r="E19" s="2"/>
      <c r="F19" s="19"/>
      <c r="G19" s="2"/>
      <c r="H19" s="2"/>
      <c r="I19" s="2"/>
      <c r="J19" s="19"/>
      <c r="K19" s="2"/>
      <c r="L19" s="2">
        <f t="shared" si="0"/>
        <v>51.77</v>
      </c>
      <c r="M19" s="2"/>
      <c r="N19" s="19">
        <f t="shared" si="1"/>
        <v>0</v>
      </c>
      <c r="O19" s="11"/>
      <c r="P19" s="2">
        <f>--1151.94</f>
        <v>1151.94</v>
      </c>
      <c r="Q19" s="2"/>
      <c r="R19" s="19"/>
      <c r="S19" s="2"/>
      <c r="T19" s="2"/>
      <c r="U19" s="2"/>
      <c r="V19" s="19"/>
      <c r="W19" s="2"/>
      <c r="X19" s="2">
        <f t="shared" si="2"/>
        <v>1151.94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--469.81</f>
        <v>469.81</v>
      </c>
      <c r="E20" s="2"/>
      <c r="F20" s="19"/>
      <c r="G20" s="2"/>
      <c r="H20" s="2"/>
      <c r="I20" s="2"/>
      <c r="J20" s="19"/>
      <c r="K20" s="2"/>
      <c r="L20" s="2">
        <f t="shared" si="0"/>
        <v>469.81</v>
      </c>
      <c r="M20" s="2"/>
      <c r="N20" s="19">
        <f t="shared" si="1"/>
        <v>0</v>
      </c>
      <c r="O20" s="11"/>
      <c r="P20" s="2">
        <f>--4097.71</f>
        <v>4097.71</v>
      </c>
      <c r="Q20" s="2"/>
      <c r="R20" s="19"/>
      <c r="S20" s="2"/>
      <c r="T20" s="2"/>
      <c r="U20" s="2"/>
      <c r="V20" s="19"/>
      <c r="W20" s="2"/>
      <c r="X20" s="2">
        <f t="shared" si="2"/>
        <v>4097.71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105506</v>
      </c>
      <c r="I21" s="2"/>
      <c r="J21" s="19"/>
      <c r="K21" s="2"/>
      <c r="L21" s="2">
        <f t="shared" si="0"/>
        <v>-105506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3302482</v>
      </c>
      <c r="U21" s="2"/>
      <c r="V21" s="19"/>
      <c r="W21" s="2"/>
      <c r="X21" s="2">
        <f t="shared" si="2"/>
        <v>-3302482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--7332.54</f>
        <v>7332.54</v>
      </c>
      <c r="E22" s="2"/>
      <c r="F22" s="19"/>
      <c r="G22" s="2"/>
      <c r="H22" s="2"/>
      <c r="I22" s="2"/>
      <c r="J22" s="19"/>
      <c r="K22" s="2"/>
      <c r="L22" s="2">
        <f t="shared" si="0"/>
        <v>7332.54</v>
      </c>
      <c r="M22" s="2"/>
      <c r="N22" s="19">
        <f t="shared" si="1"/>
        <v>0</v>
      </c>
      <c r="O22" s="11"/>
      <c r="P22" s="2">
        <f>--139737.77</f>
        <v>139737.76999999999</v>
      </c>
      <c r="Q22" s="2"/>
      <c r="R22" s="19"/>
      <c r="S22" s="2"/>
      <c r="T22" s="2"/>
      <c r="U22" s="2"/>
      <c r="V22" s="19"/>
      <c r="W22" s="2"/>
      <c r="X22" s="2">
        <f t="shared" si="2"/>
        <v>139737.76999999999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--1850.06</f>
        <v>1850.06</v>
      </c>
      <c r="E23" s="2"/>
      <c r="F23" s="19"/>
      <c r="G23" s="2"/>
      <c r="H23" s="2"/>
      <c r="I23" s="2"/>
      <c r="J23" s="19"/>
      <c r="K23" s="2"/>
      <c r="L23" s="2">
        <f t="shared" si="0"/>
        <v>1850.06</v>
      </c>
      <c r="M23" s="2"/>
      <c r="N23" s="19">
        <f t="shared" si="1"/>
        <v>0</v>
      </c>
      <c r="O23" s="11"/>
      <c r="P23" s="2">
        <f>--68466.86</f>
        <v>68466.86</v>
      </c>
      <c r="Q23" s="2"/>
      <c r="R23" s="19"/>
      <c r="S23" s="2"/>
      <c r="T23" s="2"/>
      <c r="U23" s="2"/>
      <c r="V23" s="19"/>
      <c r="W23" s="2"/>
      <c r="X23" s="2">
        <f t="shared" si="2"/>
        <v>68466.86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--21322.38</f>
        <v>21322.38</v>
      </c>
      <c r="E25" s="2"/>
      <c r="F25" s="19"/>
      <c r="G25" s="2"/>
      <c r="H25" s="2"/>
      <c r="I25" s="2"/>
      <c r="J25" s="19"/>
      <c r="K25" s="2"/>
      <c r="L25" s="2">
        <f t="shared" si="0"/>
        <v>21322.38</v>
      </c>
      <c r="M25" s="2"/>
      <c r="N25" s="19">
        <f t="shared" si="1"/>
        <v>0</v>
      </c>
      <c r="O25" s="11"/>
      <c r="P25" s="2">
        <f>--523390.34</f>
        <v>523390.34</v>
      </c>
      <c r="Q25" s="2"/>
      <c r="R25" s="19"/>
      <c r="S25" s="2"/>
      <c r="T25" s="2"/>
      <c r="U25" s="2"/>
      <c r="V25" s="19"/>
      <c r="W25" s="2"/>
      <c r="X25" s="2">
        <f t="shared" si="2"/>
        <v>523390.34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--1651.49</f>
        <v>1651.49</v>
      </c>
      <c r="E26" s="2"/>
      <c r="F26" s="19"/>
      <c r="G26" s="2"/>
      <c r="H26" s="2"/>
      <c r="I26" s="2"/>
      <c r="J26" s="19"/>
      <c r="K26" s="2"/>
      <c r="L26" s="2">
        <f t="shared" si="0"/>
        <v>1651.49</v>
      </c>
      <c r="M26" s="2"/>
      <c r="N26" s="19">
        <f t="shared" si="1"/>
        <v>0</v>
      </c>
      <c r="O26" s="11"/>
      <c r="P26" s="2">
        <f>--14359.99</f>
        <v>14359.99</v>
      </c>
      <c r="Q26" s="2"/>
      <c r="R26" s="19"/>
      <c r="S26" s="2"/>
      <c r="T26" s="2"/>
      <c r="U26" s="2"/>
      <c r="V26" s="19"/>
      <c r="W26" s="2"/>
      <c r="X26" s="2">
        <f t="shared" si="2"/>
        <v>14359.99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--2215.2</f>
        <v>2215.1999999999998</v>
      </c>
      <c r="E27" s="2"/>
      <c r="F27" s="19"/>
      <c r="G27" s="2"/>
      <c r="H27" s="2"/>
      <c r="I27" s="2"/>
      <c r="J27" s="19"/>
      <c r="K27" s="2"/>
      <c r="L27" s="2">
        <f t="shared" si="0"/>
        <v>2215.1999999999998</v>
      </c>
      <c r="M27" s="2"/>
      <c r="N27" s="19">
        <f t="shared" si="1"/>
        <v>0</v>
      </c>
      <c r="O27" s="11"/>
      <c r="P27" s="2">
        <f>--3361.92</f>
        <v>3361.92</v>
      </c>
      <c r="Q27" s="2"/>
      <c r="R27" s="19"/>
      <c r="S27" s="2"/>
      <c r="T27" s="2"/>
      <c r="U27" s="2"/>
      <c r="V27" s="19"/>
      <c r="W27" s="2"/>
      <c r="X27" s="2">
        <f t="shared" si="2"/>
        <v>3361.92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--19.99</f>
        <v>19.989999999999998</v>
      </c>
      <c r="E28" s="2"/>
      <c r="F28" s="19"/>
      <c r="G28" s="2"/>
      <c r="H28" s="2"/>
      <c r="I28" s="2"/>
      <c r="J28" s="19"/>
      <c r="K28" s="2"/>
      <c r="L28" s="2">
        <f t="shared" si="0"/>
        <v>19.989999999999998</v>
      </c>
      <c r="M28" s="2"/>
      <c r="N28" s="19">
        <f t="shared" si="1"/>
        <v>0</v>
      </c>
      <c r="O28" s="11"/>
      <c r="P28" s="2">
        <f>--61.9</f>
        <v>61.9</v>
      </c>
      <c r="Q28" s="2"/>
      <c r="R28" s="19"/>
      <c r="S28" s="2"/>
      <c r="T28" s="2"/>
      <c r="U28" s="2"/>
      <c r="V28" s="19"/>
      <c r="W28" s="2"/>
      <c r="X28" s="2">
        <f t="shared" si="2"/>
        <v>61.9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-4114.56</f>
        <v>-4114.5600000000004</v>
      </c>
      <c r="E29" s="2"/>
      <c r="F29" s="19"/>
      <c r="G29" s="2"/>
      <c r="H29" s="2"/>
      <c r="I29" s="2"/>
      <c r="J29" s="19"/>
      <c r="K29" s="2"/>
      <c r="L29" s="2">
        <f t="shared" si="0"/>
        <v>-4114.5600000000004</v>
      </c>
      <c r="M29" s="2"/>
      <c r="N29" s="19">
        <f t="shared" si="1"/>
        <v>0</v>
      </c>
      <c r="O29" s="11"/>
      <c r="P29" s="2">
        <f>-120740.41</f>
        <v>-120740.41</v>
      </c>
      <c r="Q29" s="2"/>
      <c r="R29" s="19"/>
      <c r="S29" s="2"/>
      <c r="T29" s="2"/>
      <c r="U29" s="2"/>
      <c r="V29" s="19"/>
      <c r="W29" s="2"/>
      <c r="X29" s="2">
        <f t="shared" si="2"/>
        <v>-120740.41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-2008.16</f>
        <v>-2008.16</v>
      </c>
      <c r="E30" s="2"/>
      <c r="F30" s="19"/>
      <c r="G30" s="2"/>
      <c r="H30" s="2"/>
      <c r="I30" s="2"/>
      <c r="J30" s="19"/>
      <c r="K30" s="2"/>
      <c r="L30" s="2">
        <f t="shared" si="0"/>
        <v>-2008.16</v>
      </c>
      <c r="M30" s="2"/>
      <c r="N30" s="19">
        <f t="shared" si="1"/>
        <v>0</v>
      </c>
      <c r="O30" s="11"/>
      <c r="P30" s="2">
        <f>-45387.31</f>
        <v>-45387.31</v>
      </c>
      <c r="Q30" s="2"/>
      <c r="R30" s="19"/>
      <c r="S30" s="2"/>
      <c r="T30" s="2"/>
      <c r="U30" s="2"/>
      <c r="V30" s="19"/>
      <c r="W30" s="2"/>
      <c r="X30" s="2">
        <f t="shared" si="2"/>
        <v>-45387.31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-993.89</f>
        <v>-993.89</v>
      </c>
      <c r="E32" s="2"/>
      <c r="F32" s="19"/>
      <c r="G32" s="2"/>
      <c r="H32" s="2"/>
      <c r="I32" s="2"/>
      <c r="J32" s="19"/>
      <c r="K32" s="2"/>
      <c r="L32" s="2">
        <f t="shared" si="0"/>
        <v>-993.89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/>
      <c r="U32" s="2"/>
      <c r="V32" s="19"/>
      <c r="W32" s="2"/>
      <c r="X32" s="2">
        <f t="shared" si="2"/>
        <v>-17255.330000000002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-103.4</f>
        <v>-103.4</v>
      </c>
      <c r="E33" s="2"/>
      <c r="F33" s="19"/>
      <c r="G33" s="2"/>
      <c r="H33" s="2"/>
      <c r="I33" s="2"/>
      <c r="J33" s="19"/>
      <c r="K33" s="2"/>
      <c r="L33" s="2">
        <f t="shared" si="0"/>
        <v>-103.4</v>
      </c>
      <c r="M33" s="2"/>
      <c r="N33" s="19">
        <f t="shared" si="1"/>
        <v>0</v>
      </c>
      <c r="O33" s="11"/>
      <c r="P33" s="2">
        <f>-220.06</f>
        <v>-220.06</v>
      </c>
      <c r="Q33" s="2"/>
      <c r="R33" s="19"/>
      <c r="S33" s="2"/>
      <c r="T33" s="2"/>
      <c r="U33" s="2"/>
      <c r="V33" s="19"/>
      <c r="W33" s="2"/>
      <c r="X33" s="2">
        <f t="shared" si="2"/>
        <v>-220.06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8" si="4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-15221.62</f>
        <v>-15221.62</v>
      </c>
      <c r="Q36" s="2"/>
      <c r="R36" s="19"/>
      <c r="S36" s="2"/>
      <c r="T36" s="2"/>
      <c r="U36" s="2"/>
      <c r="V36" s="19"/>
      <c r="W36" s="2"/>
      <c r="X36" s="2">
        <f t="shared" si="2"/>
        <v>-15221.62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-1249.23</f>
        <v>-1249.23</v>
      </c>
      <c r="E39" s="2"/>
      <c r="F39" s="19"/>
      <c r="G39" s="2"/>
      <c r="H39" s="2"/>
      <c r="I39" s="2"/>
      <c r="J39" s="19"/>
      <c r="K39" s="2"/>
      <c r="L39" s="2">
        <f t="shared" si="0"/>
        <v>-1249.23</v>
      </c>
      <c r="M39" s="2"/>
      <c r="N39" s="19">
        <f t="shared" si="1"/>
        <v>0</v>
      </c>
      <c r="O39" s="11"/>
      <c r="P39" s="2">
        <f>-18991.98</f>
        <v>-18991.98</v>
      </c>
      <c r="Q39" s="2"/>
      <c r="R39" s="19"/>
      <c r="S39" s="2"/>
      <c r="T39" s="2"/>
      <c r="U39" s="2"/>
      <c r="V39" s="19"/>
      <c r="W39" s="2"/>
      <c r="X39" s="2">
        <f t="shared" si="2"/>
        <v>-18991.98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-169.45</f>
        <v>-169.45</v>
      </c>
      <c r="E40" s="2"/>
      <c r="F40" s="19"/>
      <c r="G40" s="2"/>
      <c r="H40" s="2"/>
      <c r="I40" s="2"/>
      <c r="J40" s="19"/>
      <c r="K40" s="2"/>
      <c r="L40" s="2">
        <f t="shared" si="0"/>
        <v>-169.45</v>
      </c>
      <c r="M40" s="2"/>
      <c r="N40" s="19">
        <f t="shared" si="1"/>
        <v>0</v>
      </c>
      <c r="O40" s="11"/>
      <c r="P40" s="2">
        <f>-794.76</f>
        <v>-794.76</v>
      </c>
      <c r="Q40" s="2"/>
      <c r="R40" s="19"/>
      <c r="S40" s="2"/>
      <c r="T40" s="2"/>
      <c r="U40" s="2"/>
      <c r="V40" s="19"/>
      <c r="W40" s="2"/>
      <c r="X40" s="2">
        <f t="shared" si="2"/>
        <v>-794.76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247417.19</v>
      </c>
      <c r="E42" s="4"/>
      <c r="F42" s="12">
        <f t="shared" ref="F42:F59" si="5">IF(D$12=0,0,D42/D$12)</f>
        <v>1.7237195618127203</v>
      </c>
      <c r="G42" s="4"/>
      <c r="H42" s="4">
        <f>SUM(OSRRefH16x_0)</f>
        <v>76101</v>
      </c>
      <c r="I42" s="4"/>
      <c r="J42" s="12">
        <f t="shared" ref="J42:J59" si="6">IF(H$12=0,0,H42/H$12)</f>
        <v>0.72129547134760108</v>
      </c>
      <c r="K42" s="4"/>
      <c r="L42" s="4">
        <f t="shared" ref="L42:L59" si="7">+D42-H42</f>
        <v>171316.19</v>
      </c>
      <c r="M42" s="4"/>
      <c r="N42" s="12">
        <f t="shared" ref="N42:N59" si="8">IF(H42=0,0,L42/H42)</f>
        <v>2.2511687100038107</v>
      </c>
      <c r="O42" s="10"/>
      <c r="P42" s="4">
        <f>SUM(OSRRefP16x_0)</f>
        <v>2304354.3000000003</v>
      </c>
      <c r="Q42" s="4"/>
      <c r="R42" s="12">
        <f t="shared" ref="R42:R59" si="9">IF(P$12=0,0,P42/P$12)</f>
        <v>0.70389375023241907</v>
      </c>
      <c r="S42" s="4"/>
      <c r="T42" s="4">
        <f>SUM(OSRRefT16x_0)</f>
        <v>2374308</v>
      </c>
      <c r="U42" s="4"/>
      <c r="V42" s="12">
        <f t="shared" ref="V42:V59" si="10">IF(T$12=0,0,T42/T$12)</f>
        <v>0.71894653778582296</v>
      </c>
      <c r="W42" s="4"/>
      <c r="X42" s="4">
        <f t="shared" ref="X42:X59" si="11">+P42-T42</f>
        <v>-69953.699999999721</v>
      </c>
      <c r="Y42" s="4"/>
      <c r="Z42" s="12">
        <f t="shared" ref="Z42:Z59" si="12">IF(T42=0,0,X42/T42)</f>
        <v>-2.946277399562303E-2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5"/>
        <v>0</v>
      </c>
      <c r="G43" s="2"/>
      <c r="H43" s="2">
        <v>76101</v>
      </c>
      <c r="I43" s="2"/>
      <c r="J43" s="19">
        <f t="shared" si="6"/>
        <v>0.72129547134760108</v>
      </c>
      <c r="K43" s="2"/>
      <c r="L43" s="2">
        <f t="shared" si="7"/>
        <v>-76101</v>
      </c>
      <c r="M43" s="2"/>
      <c r="N43" s="19">
        <f t="shared" si="8"/>
        <v>-1</v>
      </c>
      <c r="O43" s="11"/>
      <c r="P43" s="2"/>
      <c r="Q43" s="2"/>
      <c r="R43" s="19">
        <f t="shared" si="9"/>
        <v>0</v>
      </c>
      <c r="S43" s="2"/>
      <c r="T43" s="2">
        <v>2374308</v>
      </c>
      <c r="U43" s="2"/>
      <c r="V43" s="19">
        <f t="shared" si="10"/>
        <v>0.71894653778582296</v>
      </c>
      <c r="W43" s="2"/>
      <c r="X43" s="2">
        <f t="shared" si="11"/>
        <v>-2374308</v>
      </c>
      <c r="Y43" s="2"/>
      <c r="Z43" s="19">
        <f t="shared" si="12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-133504.81</v>
      </c>
      <c r="E44" s="2"/>
      <c r="F44" s="19">
        <f t="shared" si="5"/>
        <v>-0.93010858539412911</v>
      </c>
      <c r="G44" s="2"/>
      <c r="H44" s="2"/>
      <c r="I44" s="2"/>
      <c r="J44" s="19">
        <f t="shared" si="6"/>
        <v>0</v>
      </c>
      <c r="K44" s="2"/>
      <c r="L44" s="2">
        <f t="shared" si="7"/>
        <v>-133504.81</v>
      </c>
      <c r="M44" s="2"/>
      <c r="N44" s="19">
        <f t="shared" si="8"/>
        <v>0</v>
      </c>
      <c r="O44" s="11"/>
      <c r="P44" s="2">
        <v>2040829.4999999998</v>
      </c>
      <c r="Q44" s="2"/>
      <c r="R44" s="19">
        <f t="shared" si="9"/>
        <v>0.62339681460440011</v>
      </c>
      <c r="S44" s="2"/>
      <c r="T44" s="2"/>
      <c r="U44" s="2"/>
      <c r="V44" s="19">
        <f t="shared" si="10"/>
        <v>0</v>
      </c>
      <c r="W44" s="2"/>
      <c r="X44" s="2">
        <f t="shared" si="11"/>
        <v>2040829.4999999998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-10749.56</v>
      </c>
      <c r="E45" s="2"/>
      <c r="F45" s="19">
        <f t="shared" si="5"/>
        <v>-7.4890620384458914E-2</v>
      </c>
      <c r="G45" s="2"/>
      <c r="H45" s="2"/>
      <c r="I45" s="2"/>
      <c r="J45" s="19">
        <f t="shared" si="6"/>
        <v>0</v>
      </c>
      <c r="K45" s="2"/>
      <c r="L45" s="2">
        <f t="shared" si="7"/>
        <v>-10749.56</v>
      </c>
      <c r="M45" s="2"/>
      <c r="N45" s="19">
        <f t="shared" si="8"/>
        <v>0</v>
      </c>
      <c r="O45" s="11"/>
      <c r="P45" s="2">
        <v>-146900.54999999999</v>
      </c>
      <c r="Q45" s="2"/>
      <c r="R45" s="19">
        <f t="shared" si="9"/>
        <v>-4.4872604464819041E-2</v>
      </c>
      <c r="S45" s="2"/>
      <c r="T45" s="2"/>
      <c r="U45" s="2"/>
      <c r="V45" s="19">
        <f t="shared" si="10"/>
        <v>0</v>
      </c>
      <c r="W45" s="2"/>
      <c r="X45" s="2">
        <f t="shared" si="11"/>
        <v>-146900.54999999999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-78.400000000000006</v>
      </c>
      <c r="Q46" s="2"/>
      <c r="R46" s="19">
        <f t="shared" si="9"/>
        <v>-2.3948257443840841E-5</v>
      </c>
      <c r="S46" s="2"/>
      <c r="T46" s="2"/>
      <c r="U46" s="2"/>
      <c r="V46" s="19">
        <f t="shared" si="10"/>
        <v>0</v>
      </c>
      <c r="W46" s="2"/>
      <c r="X46" s="2">
        <f t="shared" si="11"/>
        <v>-78.400000000000006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61264.060000000005</v>
      </c>
      <c r="E47" s="2"/>
      <c r="F47" s="19">
        <f t="shared" si="5"/>
        <v>0.42681779167433037</v>
      </c>
      <c r="G47" s="2"/>
      <c r="H47" s="2"/>
      <c r="I47" s="2"/>
      <c r="J47" s="19">
        <f t="shared" si="6"/>
        <v>0</v>
      </c>
      <c r="K47" s="2"/>
      <c r="L47" s="2">
        <f t="shared" si="7"/>
        <v>61264.060000000005</v>
      </c>
      <c r="M47" s="2"/>
      <c r="N47" s="19">
        <f t="shared" si="8"/>
        <v>0</v>
      </c>
      <c r="O47" s="11"/>
      <c r="P47" s="2">
        <v>535157.82999999996</v>
      </c>
      <c r="Q47" s="2"/>
      <c r="R47" s="19">
        <f t="shared" si="9"/>
        <v>0.16347063119805114</v>
      </c>
      <c r="S47" s="2"/>
      <c r="T47" s="2"/>
      <c r="U47" s="2"/>
      <c r="V47" s="19">
        <f t="shared" si="10"/>
        <v>0</v>
      </c>
      <c r="W47" s="2"/>
      <c r="X47" s="2">
        <f t="shared" si="11"/>
        <v>535157.82999999996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258</v>
      </c>
      <c r="E48" s="2"/>
      <c r="F48" s="19">
        <f t="shared" si="5"/>
        <v>1.7974484592104608E-3</v>
      </c>
      <c r="G48" s="2"/>
      <c r="H48" s="2"/>
      <c r="I48" s="2"/>
      <c r="J48" s="19">
        <f t="shared" si="6"/>
        <v>0</v>
      </c>
      <c r="K48" s="2"/>
      <c r="L48" s="2">
        <f t="shared" si="7"/>
        <v>258</v>
      </c>
      <c r="M48" s="2"/>
      <c r="N48" s="19">
        <f t="shared" si="8"/>
        <v>0</v>
      </c>
      <c r="O48" s="11"/>
      <c r="P48" s="2">
        <v>5733</v>
      </c>
      <c r="Q48" s="2"/>
      <c r="R48" s="19">
        <f t="shared" si="9"/>
        <v>1.7512163255808612E-3</v>
      </c>
      <c r="S48" s="2"/>
      <c r="T48" s="2"/>
      <c r="U48" s="2"/>
      <c r="V48" s="19">
        <f t="shared" si="10"/>
        <v>0</v>
      </c>
      <c r="W48" s="2"/>
      <c r="X48" s="2">
        <f t="shared" si="11"/>
        <v>5733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2592.2600000000002</v>
      </c>
      <c r="E49" s="2"/>
      <c r="F49" s="19">
        <f t="shared" si="5"/>
        <v>1.8059898228189573E-2</v>
      </c>
      <c r="G49" s="2"/>
      <c r="H49" s="2"/>
      <c r="I49" s="2"/>
      <c r="J49" s="19">
        <f t="shared" si="6"/>
        <v>0</v>
      </c>
      <c r="K49" s="2"/>
      <c r="L49" s="2">
        <f t="shared" si="7"/>
        <v>2592.2600000000002</v>
      </c>
      <c r="M49" s="2"/>
      <c r="N49" s="19">
        <f t="shared" si="8"/>
        <v>0</v>
      </c>
      <c r="O49" s="11"/>
      <c r="P49" s="2">
        <v>3050.72</v>
      </c>
      <c r="Q49" s="2"/>
      <c r="R49" s="19">
        <f t="shared" si="9"/>
        <v>9.3188045853410863E-4</v>
      </c>
      <c r="S49" s="2"/>
      <c r="T49" s="2"/>
      <c r="U49" s="2"/>
      <c r="V49" s="19">
        <f t="shared" si="10"/>
        <v>0</v>
      </c>
      <c r="W49" s="2"/>
      <c r="X49" s="2">
        <f t="shared" si="11"/>
        <v>3050.72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17.78</v>
      </c>
      <c r="E50" s="2"/>
      <c r="F50" s="19">
        <f t="shared" si="5"/>
        <v>1.238706728866744E-4</v>
      </c>
      <c r="G50" s="2"/>
      <c r="H50" s="2"/>
      <c r="I50" s="2"/>
      <c r="J50" s="19">
        <f t="shared" si="6"/>
        <v>0</v>
      </c>
      <c r="K50" s="2"/>
      <c r="L50" s="2">
        <f t="shared" si="7"/>
        <v>17.78</v>
      </c>
      <c r="M50" s="2"/>
      <c r="N50" s="19">
        <f t="shared" si="8"/>
        <v>0</v>
      </c>
      <c r="O50" s="11"/>
      <c r="P50" s="2">
        <v>586.71</v>
      </c>
      <c r="Q50" s="2"/>
      <c r="R50" s="19">
        <f t="shared" si="9"/>
        <v>1.7921788424586554E-4</v>
      </c>
      <c r="S50" s="2"/>
      <c r="T50" s="2"/>
      <c r="U50" s="2"/>
      <c r="V50" s="19">
        <f t="shared" si="10"/>
        <v>0</v>
      </c>
      <c r="W50" s="2"/>
      <c r="X50" s="2">
        <f t="shared" si="11"/>
        <v>586.71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237.28</v>
      </c>
      <c r="E51" s="2"/>
      <c r="F51" s="19">
        <f t="shared" si="5"/>
        <v>1.6530952341141788E-3</v>
      </c>
      <c r="G51" s="2"/>
      <c r="H51" s="2"/>
      <c r="I51" s="2"/>
      <c r="J51" s="19">
        <f t="shared" si="6"/>
        <v>0</v>
      </c>
      <c r="K51" s="2"/>
      <c r="L51" s="2">
        <f t="shared" si="7"/>
        <v>237.28</v>
      </c>
      <c r="M51" s="2"/>
      <c r="N51" s="19">
        <f t="shared" si="8"/>
        <v>0</v>
      </c>
      <c r="O51" s="11"/>
      <c r="P51" s="2">
        <v>2268.4299999999998</v>
      </c>
      <c r="Q51" s="2"/>
      <c r="R51" s="19">
        <f t="shared" si="9"/>
        <v>6.9292022491494732E-4</v>
      </c>
      <c r="S51" s="2"/>
      <c r="T51" s="2"/>
      <c r="U51" s="2"/>
      <c r="V51" s="19">
        <f t="shared" si="10"/>
        <v>0</v>
      </c>
      <c r="W51" s="2"/>
      <c r="X51" s="2">
        <f t="shared" si="11"/>
        <v>2268.4299999999998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52958</v>
      </c>
      <c r="E52" s="2"/>
      <c r="F52" s="19">
        <f t="shared" si="5"/>
        <v>0.36895068024367283</v>
      </c>
      <c r="G52" s="2"/>
      <c r="H52" s="2"/>
      <c r="I52" s="2"/>
      <c r="J52" s="19">
        <f t="shared" si="6"/>
        <v>0</v>
      </c>
      <c r="K52" s="2"/>
      <c r="L52" s="2">
        <f t="shared" si="7"/>
        <v>52958</v>
      </c>
      <c r="M52" s="2"/>
      <c r="N52" s="19">
        <f t="shared" si="8"/>
        <v>0</v>
      </c>
      <c r="O52" s="11"/>
      <c r="P52" s="2">
        <v>-2521582</v>
      </c>
      <c r="Q52" s="2"/>
      <c r="R52" s="19">
        <f t="shared" si="9"/>
        <v>-0.77024865946116161</v>
      </c>
      <c r="S52" s="2"/>
      <c r="T52" s="2"/>
      <c r="U52" s="2"/>
      <c r="V52" s="19">
        <f t="shared" si="10"/>
        <v>0</v>
      </c>
      <c r="W52" s="2"/>
      <c r="X52" s="2">
        <f t="shared" si="11"/>
        <v>-2521582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247383</v>
      </c>
      <c r="E53" s="2"/>
      <c r="F53" s="19">
        <f t="shared" si="5"/>
        <v>1.7234813650576024</v>
      </c>
      <c r="G53" s="2"/>
      <c r="H53" s="2"/>
      <c r="I53" s="2"/>
      <c r="J53" s="19">
        <f t="shared" si="6"/>
        <v>0</v>
      </c>
      <c r="K53" s="2"/>
      <c r="L53" s="2">
        <f t="shared" si="7"/>
        <v>247383</v>
      </c>
      <c r="M53" s="2"/>
      <c r="N53" s="19">
        <f t="shared" si="8"/>
        <v>0</v>
      </c>
      <c r="O53" s="11"/>
      <c r="P53" s="2">
        <v>2304316.4700000002</v>
      </c>
      <c r="Q53" s="2"/>
      <c r="R53" s="19">
        <f t="shared" si="9"/>
        <v>0.70388219458727741</v>
      </c>
      <c r="S53" s="2"/>
      <c r="T53" s="2"/>
      <c r="U53" s="2"/>
      <c r="V53" s="19">
        <f t="shared" si="10"/>
        <v>0</v>
      </c>
      <c r="W53" s="2"/>
      <c r="X53" s="2">
        <f t="shared" si="11"/>
        <v>2304316.4700000002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>
        <v>33.950000000000003</v>
      </c>
      <c r="E54" s="2"/>
      <c r="F54" s="19">
        <f t="shared" si="5"/>
        <v>2.3652471003951609E-4</v>
      </c>
      <c r="G54" s="2"/>
      <c r="H54" s="2"/>
      <c r="I54" s="2"/>
      <c r="J54" s="19">
        <f t="shared" si="6"/>
        <v>0</v>
      </c>
      <c r="K54" s="2"/>
      <c r="L54" s="2">
        <f t="shared" si="7"/>
        <v>33.950000000000003</v>
      </c>
      <c r="M54" s="2"/>
      <c r="N54" s="19">
        <f t="shared" si="8"/>
        <v>0</v>
      </c>
      <c r="O54" s="11"/>
      <c r="P54" s="2">
        <v>41.25</v>
      </c>
      <c r="Q54" s="2"/>
      <c r="R54" s="19">
        <f t="shared" si="9"/>
        <v>1.2600326780082074E-5</v>
      </c>
      <c r="S54" s="2"/>
      <c r="T54" s="2"/>
      <c r="U54" s="2"/>
      <c r="V54" s="19">
        <f t="shared" si="10"/>
        <v>0</v>
      </c>
      <c r="W54" s="2"/>
      <c r="X54" s="2">
        <f t="shared" si="11"/>
        <v>41.25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23947.37</v>
      </c>
      <c r="E55" s="2"/>
      <c r="F55" s="19">
        <f t="shared" si="5"/>
        <v>0.16683784228156129</v>
      </c>
      <c r="G55" s="2"/>
      <c r="H55" s="2"/>
      <c r="I55" s="2"/>
      <c r="J55" s="19">
        <f t="shared" si="6"/>
        <v>0</v>
      </c>
      <c r="K55" s="2"/>
      <c r="L55" s="2">
        <f t="shared" si="7"/>
        <v>23947.37</v>
      </c>
      <c r="M55" s="2"/>
      <c r="N55" s="19">
        <f t="shared" si="8"/>
        <v>0</v>
      </c>
      <c r="O55" s="11"/>
      <c r="P55" s="2">
        <v>66024.739999999991</v>
      </c>
      <c r="Q55" s="2"/>
      <c r="R55" s="19">
        <f t="shared" si="9"/>
        <v>2.0168079989574692E-2</v>
      </c>
      <c r="S55" s="2"/>
      <c r="T55" s="2"/>
      <c r="U55" s="2"/>
      <c r="V55" s="19">
        <f t="shared" si="10"/>
        <v>0</v>
      </c>
      <c r="W55" s="2"/>
      <c r="X55" s="2">
        <f t="shared" si="11"/>
        <v>66024.739999999991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2979.86</v>
      </c>
      <c r="E56" s="2"/>
      <c r="F56" s="19">
        <f t="shared" si="5"/>
        <v>2.07602510297011E-2</v>
      </c>
      <c r="G56" s="2"/>
      <c r="H56" s="2"/>
      <c r="I56" s="2"/>
      <c r="J56" s="19">
        <f t="shared" si="6"/>
        <v>0</v>
      </c>
      <c r="K56" s="2"/>
      <c r="L56" s="2">
        <f t="shared" si="7"/>
        <v>2979.86</v>
      </c>
      <c r="M56" s="2"/>
      <c r="N56" s="19">
        <f t="shared" si="8"/>
        <v>0</v>
      </c>
      <c r="O56" s="11"/>
      <c r="P56" s="2">
        <v>14758.089999999998</v>
      </c>
      <c r="Q56" s="2"/>
      <c r="R56" s="19">
        <f t="shared" si="9"/>
        <v>4.5080425854511861E-3</v>
      </c>
      <c r="S56" s="2"/>
      <c r="T56" s="2"/>
      <c r="U56" s="2"/>
      <c r="V56" s="19">
        <f t="shared" si="10"/>
        <v>0</v>
      </c>
      <c r="W56" s="2"/>
      <c r="X56" s="2">
        <f t="shared" si="11"/>
        <v>14758.089999999998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105.97</v>
      </c>
      <c r="Q57" s="2"/>
      <c r="R57" s="19">
        <f t="shared" si="9"/>
        <v>3.23698576699466E-5</v>
      </c>
      <c r="S57" s="2"/>
      <c r="T57" s="2"/>
      <c r="U57" s="2"/>
      <c r="V57" s="19">
        <f t="shared" si="10"/>
        <v>0</v>
      </c>
      <c r="W57" s="2"/>
      <c r="X57" s="2">
        <f t="shared" si="11"/>
        <v>105.97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21.41</v>
      </c>
      <c r="Q58" s="2"/>
      <c r="R58" s="19">
        <f t="shared" si="9"/>
        <v>6.5399514269468412E-6</v>
      </c>
      <c r="S58" s="2"/>
      <c r="T58" s="2"/>
      <c r="U58" s="2"/>
      <c r="V58" s="19">
        <f t="shared" si="10"/>
        <v>0</v>
      </c>
      <c r="W58" s="2"/>
      <c r="X58" s="2">
        <f t="shared" si="11"/>
        <v>21.41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21.13</v>
      </c>
      <c r="Q59" s="2"/>
      <c r="R59" s="19">
        <f t="shared" si="9"/>
        <v>6.4544219360759809E-6</v>
      </c>
      <c r="S59" s="2"/>
      <c r="T59" s="2"/>
      <c r="U59" s="2"/>
      <c r="V59" s="19">
        <f t="shared" si="10"/>
        <v>0</v>
      </c>
      <c r="W59" s="2"/>
      <c r="X59" s="2">
        <f t="shared" si="11"/>
        <v>21.13</v>
      </c>
      <c r="Y59" s="2"/>
      <c r="Z59" s="19">
        <f t="shared" si="12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6</v>
      </c>
      <c r="C61" s="28"/>
      <c r="D61" s="21">
        <f>D12-D42</f>
        <v>-103880.39000000004</v>
      </c>
      <c r="E61" s="14"/>
      <c r="F61" s="22">
        <f>IF(D$12=0,0,D61/D$12)</f>
        <v>-0.72371956181272035</v>
      </c>
      <c r="G61" s="14"/>
      <c r="H61" s="21">
        <f>H12-H42</f>
        <v>29405</v>
      </c>
      <c r="I61" s="14"/>
      <c r="J61" s="22">
        <f>IF(H$12=0,0,H61/H$12)</f>
        <v>0.27870452865239892</v>
      </c>
      <c r="K61" s="15"/>
      <c r="L61" s="21">
        <f>+D61-H61</f>
        <v>-133285.39000000004</v>
      </c>
      <c r="M61" s="15"/>
      <c r="N61" s="22">
        <f>IF(H61=0,0,L61/H61)</f>
        <v>-4.5327457915320535</v>
      </c>
      <c r="O61" s="29"/>
      <c r="P61" s="21">
        <f>P12-P42</f>
        <v>969370.3199999989</v>
      </c>
      <c r="Q61" s="14"/>
      <c r="R61" s="22">
        <f>IF(P$12=0,0,P61/P$12)</f>
        <v>0.29610624976758099</v>
      </c>
      <c r="S61" s="14"/>
      <c r="T61" s="21">
        <f>T12-T42</f>
        <v>928174</v>
      </c>
      <c r="U61" s="14"/>
      <c r="V61" s="22">
        <f>IF(T$12=0,0,T61/T$12)</f>
        <v>0.2810534622141771</v>
      </c>
      <c r="W61" s="15"/>
      <c r="X61" s="21">
        <f>+P61-T61</f>
        <v>41196.319999998901</v>
      </c>
      <c r="Y61" s="15"/>
      <c r="Z61" s="22">
        <f>IF(T61=0,0,X61/T61)</f>
        <v>4.4384264157365863E-2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9</v>
      </c>
      <c r="C63" s="10"/>
      <c r="D63" s="20">
        <f>SUM(OSRRefD22x_0)</f>
        <v>70554.160000000018</v>
      </c>
      <c r="E63" s="20"/>
      <c r="F63" s="34">
        <f t="shared" ref="F63:F74" si="13">IF(D$12=0,0,D63/D$12)</f>
        <v>0.49154056660034245</v>
      </c>
      <c r="G63" s="20"/>
      <c r="H63" s="20">
        <f>SUM(OSRRefH22x_0)</f>
        <v>54144.90561397787</v>
      </c>
      <c r="I63" s="20"/>
      <c r="J63" s="34">
        <f t="shared" ref="J63:J74" si="14">IF(H$12=0,0,H63/H$12)</f>
        <v>0.51319266784806428</v>
      </c>
      <c r="K63" s="4"/>
      <c r="L63" s="20">
        <f t="shared" ref="L63:L74" si="15">+D63-H63</f>
        <v>16409.254386022149</v>
      </c>
      <c r="M63" s="4"/>
      <c r="N63" s="34">
        <f t="shared" ref="N63:N74" si="16">IF(H63=0,0,L63/H63)</f>
        <v>0.30306183379486751</v>
      </c>
      <c r="O63" s="10"/>
      <c r="P63" s="20">
        <f>SUM(OSRRefP22x_0)</f>
        <v>377142.68000000011</v>
      </c>
      <c r="Q63" s="20"/>
      <c r="R63" s="34">
        <f t="shared" ref="R63:R74" si="17">IF(P$12=0,0,P63/P$12)</f>
        <v>0.11520293359311334</v>
      </c>
      <c r="S63" s="20"/>
      <c r="T63" s="20">
        <f>SUM(OSRRefT22x_0)</f>
        <v>460453.15882600611</v>
      </c>
      <c r="U63" s="20"/>
      <c r="V63" s="34">
        <f t="shared" ref="V63:V74" si="18">IF(T$12=0,0,T63/T$12)</f>
        <v>0.13942639470132043</v>
      </c>
      <c r="W63" s="4"/>
      <c r="X63" s="20">
        <f t="shared" ref="X63:X74" si="19">+P63-T63</f>
        <v>-83310.478826006001</v>
      </c>
      <c r="Y63" s="4"/>
      <c r="Z63" s="34">
        <f t="shared" ref="Z63:Z74" si="20">IF(T63=0,0,X63/T63)</f>
        <v>-0.18093149591680177</v>
      </c>
    </row>
    <row r="64" spans="1:26" s="27" customFormat="1" outlineLevel="1" collapsed="1" x14ac:dyDescent="0.25">
      <c r="A64" s="26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9906.17</v>
      </c>
      <c r="E64" s="1"/>
      <c r="F64" s="5">
        <f t="shared" si="13"/>
        <v>6.9014844973553841E-2</v>
      </c>
      <c r="G64" s="1"/>
      <c r="H64" s="1">
        <f>SUM(OSRRefH22_0x_0)</f>
        <v>11986.688598254772</v>
      </c>
      <c r="I64" s="1"/>
      <c r="J64" s="5">
        <f t="shared" si="14"/>
        <v>0.1136114400911301</v>
      </c>
      <c r="K64" s="1"/>
      <c r="L64" s="1">
        <f t="shared" si="15"/>
        <v>-2080.5185982547719</v>
      </c>
      <c r="M64" s="1"/>
      <c r="N64" s="5">
        <f t="shared" si="16"/>
        <v>-0.17356908717539299</v>
      </c>
      <c r="O64" s="13"/>
      <c r="P64" s="1">
        <f>SUM(OSRRefP22_0x_0)</f>
        <v>81665.299999999988</v>
      </c>
      <c r="Q64" s="1"/>
      <c r="R64" s="5">
        <f t="shared" si="17"/>
        <v>2.4945684038628763E-2</v>
      </c>
      <c r="S64" s="1"/>
      <c r="T64" s="1">
        <f>SUM(OSRRefT22_0x_0)</f>
        <v>103052.50918842922</v>
      </c>
      <c r="U64" s="1"/>
      <c r="V64" s="5">
        <f t="shared" si="18"/>
        <v>3.1204563473299543E-2</v>
      </c>
      <c r="W64" s="1"/>
      <c r="X64" s="1">
        <f t="shared" si="19"/>
        <v>-21387.209188429231</v>
      </c>
      <c r="Y64" s="1"/>
      <c r="Z64" s="5">
        <f t="shared" si="20"/>
        <v>-0.20753700571543771</v>
      </c>
    </row>
    <row r="65" spans="1:26" s="24" customFormat="1" hidden="1" outlineLevel="2" x14ac:dyDescent="0.25">
      <c r="A65" s="25"/>
      <c r="B65" s="11" t="str">
        <f>CONCATENATE("          ", "6111", " - ", "F.I.C.A.")</f>
        <v xml:space="preserve">          6111 - F.I.C.A.</v>
      </c>
      <c r="C65" s="11"/>
      <c r="D65" s="6">
        <v>1721.42</v>
      </c>
      <c r="E65" s="2"/>
      <c r="F65" s="7">
        <f t="shared" si="13"/>
        <v>1.199288266144989E-2</v>
      </c>
      <c r="G65" s="2"/>
      <c r="H65" s="6">
        <v>1602.9579046486201</v>
      </c>
      <c r="I65" s="2"/>
      <c r="J65" s="7">
        <f t="shared" si="14"/>
        <v>1.5193049728438384E-2</v>
      </c>
      <c r="K65" s="2"/>
      <c r="L65" s="6">
        <f t="shared" si="15"/>
        <v>118.46209535137996</v>
      </c>
      <c r="M65" s="2"/>
      <c r="N65" s="7">
        <f t="shared" si="16"/>
        <v>7.390218732995843E-2</v>
      </c>
      <c r="O65" s="11"/>
      <c r="P65" s="6">
        <v>14032.9</v>
      </c>
      <c r="Q65" s="2"/>
      <c r="R65" s="7">
        <f t="shared" si="17"/>
        <v>4.2865242587203324E-3</v>
      </c>
      <c r="S65" s="2"/>
      <c r="T65" s="6">
        <v>14927.48159567541</v>
      </c>
      <c r="U65" s="2"/>
      <c r="V65" s="7">
        <f t="shared" si="18"/>
        <v>4.5200796236513656E-3</v>
      </c>
      <c r="W65" s="2"/>
      <c r="X65" s="6">
        <f t="shared" si="19"/>
        <v>-894.58159567541043</v>
      </c>
      <c r="Y65" s="2"/>
      <c r="Z65" s="7">
        <f t="shared" si="20"/>
        <v>-5.9928500996080721E-2</v>
      </c>
    </row>
    <row r="66" spans="1:26" s="24" customFormat="1" hidden="1" outlineLevel="2" x14ac:dyDescent="0.25">
      <c r="A66" s="25"/>
      <c r="B66" s="11" t="str">
        <f>CONCATENATE("          ", "6112", " - ", "COMPENSATION INSURANCE")</f>
        <v xml:space="preserve">          6112 - COMPENSATION INSURANCE</v>
      </c>
      <c r="C66" s="11"/>
      <c r="D66" s="6">
        <v>83.46</v>
      </c>
      <c r="E66" s="2"/>
      <c r="F66" s="7">
        <f t="shared" si="13"/>
        <v>5.8145367599110489E-4</v>
      </c>
      <c r="G66" s="2"/>
      <c r="H66" s="6">
        <v>543.54732570769204</v>
      </c>
      <c r="I66" s="2"/>
      <c r="J66" s="7">
        <f t="shared" si="14"/>
        <v>5.1518143584980197E-3</v>
      </c>
      <c r="K66" s="2"/>
      <c r="L66" s="6">
        <f t="shared" si="15"/>
        <v>-460.08732570769206</v>
      </c>
      <c r="M66" s="2"/>
      <c r="N66" s="7">
        <f t="shared" si="16"/>
        <v>-0.84645311263129464</v>
      </c>
      <c r="O66" s="11"/>
      <c r="P66" s="6">
        <v>556.78</v>
      </c>
      <c r="Q66" s="2"/>
      <c r="R66" s="7">
        <f t="shared" si="17"/>
        <v>1.7007539259670536E-4</v>
      </c>
      <c r="S66" s="2"/>
      <c r="T66" s="6">
        <v>4995.724114192305</v>
      </c>
      <c r="U66" s="2"/>
      <c r="V66" s="7">
        <f t="shared" si="18"/>
        <v>1.5127180448499962E-3</v>
      </c>
      <c r="W66" s="2"/>
      <c r="X66" s="6">
        <f t="shared" si="19"/>
        <v>-4438.9441141923053</v>
      </c>
      <c r="Y66" s="2"/>
      <c r="Z66" s="7">
        <f t="shared" si="20"/>
        <v>-0.88854868938453813</v>
      </c>
    </row>
    <row r="67" spans="1:26" s="24" customFormat="1" hidden="1" outlineLevel="2" x14ac:dyDescent="0.25">
      <c r="A67" s="25"/>
      <c r="B67" s="11" t="str">
        <f>CONCATENATE("          ", "6113", " - ", "GROUP INSURANCE")</f>
        <v xml:space="preserve">          6113 - GROUP INSURANCE</v>
      </c>
      <c r="C67" s="11"/>
      <c r="D67" s="6">
        <v>4248.21</v>
      </c>
      <c r="E67" s="2"/>
      <c r="F67" s="7">
        <f t="shared" si="13"/>
        <v>2.9596660925978572E-2</v>
      </c>
      <c r="G67" s="2"/>
      <c r="H67" s="6">
        <v>5311.7692307692296</v>
      </c>
      <c r="I67" s="2"/>
      <c r="J67" s="7">
        <f t="shared" si="14"/>
        <v>5.0345660254101469E-2</v>
      </c>
      <c r="K67" s="2"/>
      <c r="L67" s="6">
        <f t="shared" si="15"/>
        <v>-1063.5592307692295</v>
      </c>
      <c r="M67" s="2"/>
      <c r="N67" s="7">
        <f t="shared" si="16"/>
        <v>-0.20022692714291901</v>
      </c>
      <c r="O67" s="11"/>
      <c r="P67" s="6">
        <v>33507.839999999997</v>
      </c>
      <c r="Q67" s="2"/>
      <c r="R67" s="7">
        <f t="shared" si="17"/>
        <v>1.0235387483508007E-2</v>
      </c>
      <c r="S67" s="2"/>
      <c r="T67" s="6">
        <v>43909.230769230766</v>
      </c>
      <c r="U67" s="2"/>
      <c r="V67" s="7">
        <f t="shared" si="18"/>
        <v>1.3295827431983208E-2</v>
      </c>
      <c r="W67" s="2"/>
      <c r="X67" s="6">
        <f t="shared" si="19"/>
        <v>-10401.390769230769</v>
      </c>
      <c r="Y67" s="2"/>
      <c r="Z67" s="7">
        <f t="shared" si="20"/>
        <v>-0.23688392137626574</v>
      </c>
    </row>
    <row r="68" spans="1:26" s="24" customFormat="1" hidden="1" outlineLevel="2" x14ac:dyDescent="0.25">
      <c r="A68" s="25"/>
      <c r="B68" s="11" t="str">
        <f>CONCATENATE("          ", "6114", " - ", "STATE UNEMPLOYMENT INSURANCE")</f>
        <v xml:space="preserve">          6114 - STATE UNEMPLOYMENT INSURANCE</v>
      </c>
      <c r="C68" s="11"/>
      <c r="D68" s="6">
        <v>63.82</v>
      </c>
      <c r="E68" s="2"/>
      <c r="F68" s="7">
        <f t="shared" si="13"/>
        <v>4.4462465374733184E-4</v>
      </c>
      <c r="G68" s="2"/>
      <c r="H68" s="6">
        <v>74.380160360000005</v>
      </c>
      <c r="I68" s="2"/>
      <c r="J68" s="7">
        <f t="shared" si="14"/>
        <v>7.0498512274183459E-4</v>
      </c>
      <c r="K68" s="2"/>
      <c r="L68" s="6">
        <f t="shared" si="15"/>
        <v>-10.560160360000005</v>
      </c>
      <c r="M68" s="2"/>
      <c r="N68" s="7">
        <f t="shared" si="16"/>
        <v>-0.14197549869331855</v>
      </c>
      <c r="O68" s="11"/>
      <c r="P68" s="6">
        <v>524.22</v>
      </c>
      <c r="Q68" s="2"/>
      <c r="R68" s="7">
        <f t="shared" si="17"/>
        <v>1.6012953465829394E-4</v>
      </c>
      <c r="S68" s="2"/>
      <c r="T68" s="6">
        <v>683.62540510000008</v>
      </c>
      <c r="U68" s="2"/>
      <c r="V68" s="7">
        <f t="shared" si="18"/>
        <v>2.0700352192684171E-4</v>
      </c>
      <c r="W68" s="2"/>
      <c r="X68" s="6">
        <f t="shared" si="19"/>
        <v>-159.40540510000005</v>
      </c>
      <c r="Y68" s="2"/>
      <c r="Z68" s="7">
        <f t="shared" si="20"/>
        <v>-0.23317653778048575</v>
      </c>
    </row>
    <row r="69" spans="1:26" s="24" customFormat="1" hidden="1" outlineLevel="2" x14ac:dyDescent="0.25">
      <c r="A69" s="25"/>
      <c r="B69" s="11" t="str">
        <f>CONCATENATE("          ", "6115", " - ", "P.E.R.S.")</f>
        <v xml:space="preserve">          6115 - P.E.R.S.</v>
      </c>
      <c r="C69" s="11"/>
      <c r="D69" s="6">
        <v>1334.35</v>
      </c>
      <c r="E69" s="2"/>
      <c r="F69" s="7">
        <f t="shared" si="13"/>
        <v>9.2962222928196832E-3</v>
      </c>
      <c r="G69" s="2"/>
      <c r="H69" s="6">
        <v>1235.9586478769202</v>
      </c>
      <c r="I69" s="2"/>
      <c r="J69" s="7">
        <f t="shared" si="14"/>
        <v>1.1714581615044833E-2</v>
      </c>
      <c r="K69" s="2"/>
      <c r="L69" s="6">
        <f t="shared" si="15"/>
        <v>98.391352123079741</v>
      </c>
      <c r="M69" s="2"/>
      <c r="N69" s="7">
        <f t="shared" si="16"/>
        <v>7.9607317196325647E-2</v>
      </c>
      <c r="O69" s="11"/>
      <c r="P69" s="6">
        <v>11764.02</v>
      </c>
      <c r="Q69" s="2"/>
      <c r="R69" s="7">
        <f t="shared" si="17"/>
        <v>3.5934665756950576E-3</v>
      </c>
      <c r="S69" s="2"/>
      <c r="T69" s="6">
        <v>10814.638168923049</v>
      </c>
      <c r="U69" s="2"/>
      <c r="V69" s="7">
        <f t="shared" si="18"/>
        <v>3.2747001100757096E-3</v>
      </c>
      <c r="W69" s="2"/>
      <c r="X69" s="6">
        <f t="shared" si="19"/>
        <v>949.38183107695113</v>
      </c>
      <c r="Y69" s="2"/>
      <c r="Z69" s="7">
        <f t="shared" si="20"/>
        <v>8.7786740180091763E-2</v>
      </c>
    </row>
    <row r="70" spans="1:26" s="24" customFormat="1" hidden="1" outlineLevel="2" x14ac:dyDescent="0.25">
      <c r="A70" s="25"/>
      <c r="B70" s="11" t="str">
        <f>CONCATENATE("          ", "6116", " - ", "EDUCATIONAL BENEFITS")</f>
        <v xml:space="preserve">          6116 - EDUCATIONAL BENEFITS</v>
      </c>
      <c r="C70" s="11"/>
      <c r="D70" s="6"/>
      <c r="E70" s="2"/>
      <c r="F70" s="7">
        <f t="shared" si="13"/>
        <v>0</v>
      </c>
      <c r="G70" s="2"/>
      <c r="H70" s="6">
        <v>0</v>
      </c>
      <c r="I70" s="2"/>
      <c r="J70" s="7">
        <f t="shared" si="14"/>
        <v>0</v>
      </c>
      <c r="K70" s="2"/>
      <c r="L70" s="6">
        <f t="shared" si="15"/>
        <v>0</v>
      </c>
      <c r="M70" s="2"/>
      <c r="N70" s="7">
        <f t="shared" si="16"/>
        <v>0</v>
      </c>
      <c r="O70" s="11"/>
      <c r="P70" s="6"/>
      <c r="Q70" s="2"/>
      <c r="R70" s="7">
        <f t="shared" si="17"/>
        <v>0</v>
      </c>
      <c r="S70" s="2"/>
      <c r="T70" s="6">
        <v>0</v>
      </c>
      <c r="U70" s="2"/>
      <c r="V70" s="7">
        <f t="shared" si="18"/>
        <v>0</v>
      </c>
      <c r="W70" s="2"/>
      <c r="X70" s="6">
        <f t="shared" si="19"/>
        <v>0</v>
      </c>
      <c r="Y70" s="2"/>
      <c r="Z70" s="7">
        <f t="shared" si="20"/>
        <v>0</v>
      </c>
    </row>
    <row r="71" spans="1:26" s="24" customFormat="1" hidden="1" outlineLevel="2" x14ac:dyDescent="0.25">
      <c r="A71" s="25"/>
      <c r="B71" s="11" t="str">
        <f>CONCATENATE("          ", "6117", " - ", "RETIREMENT STAFF HOURLY")</f>
        <v xml:space="preserve">          6117 - RETIREMENT STAFF HOURLY</v>
      </c>
      <c r="C71" s="11"/>
      <c r="D71" s="6">
        <v>111.34</v>
      </c>
      <c r="E71" s="2"/>
      <c r="F71" s="7">
        <f t="shared" si="13"/>
        <v>7.7568957925772369E-4</v>
      </c>
      <c r="G71" s="2"/>
      <c r="H71" s="6"/>
      <c r="I71" s="2"/>
      <c r="J71" s="7">
        <f t="shared" si="14"/>
        <v>0</v>
      </c>
      <c r="K71" s="2"/>
      <c r="L71" s="6">
        <f t="shared" si="15"/>
        <v>111.34</v>
      </c>
      <c r="M71" s="2"/>
      <c r="N71" s="7">
        <f t="shared" si="16"/>
        <v>0</v>
      </c>
      <c r="O71" s="11"/>
      <c r="P71" s="6">
        <v>1063.57</v>
      </c>
      <c r="Q71" s="2"/>
      <c r="R71" s="7">
        <f t="shared" si="17"/>
        <v>3.2488071644828828E-4</v>
      </c>
      <c r="S71" s="2"/>
      <c r="T71" s="6"/>
      <c r="U71" s="2"/>
      <c r="V71" s="7">
        <f t="shared" si="18"/>
        <v>0</v>
      </c>
      <c r="W71" s="2"/>
      <c r="X71" s="6">
        <f t="shared" si="19"/>
        <v>1063.57</v>
      </c>
      <c r="Y71" s="2"/>
      <c r="Z71" s="7">
        <f t="shared" si="20"/>
        <v>0</v>
      </c>
    </row>
    <row r="72" spans="1:26" s="24" customFormat="1" hidden="1" outlineLevel="2" x14ac:dyDescent="0.25">
      <c r="A72" s="25"/>
      <c r="B72" s="11" t="str">
        <f>CONCATENATE("          ", "6118", " - ", "VACATION")</f>
        <v xml:space="preserve">          6118 - VACATION</v>
      </c>
      <c r="C72" s="11"/>
      <c r="D72" s="6">
        <v>629.08000000000004</v>
      </c>
      <c r="E72" s="2"/>
      <c r="F72" s="7">
        <f t="shared" si="13"/>
        <v>4.3827088244965768E-3</v>
      </c>
      <c r="G72" s="2"/>
      <c r="H72" s="6">
        <v>1427.9603583999999</v>
      </c>
      <c r="I72" s="2"/>
      <c r="J72" s="7">
        <f t="shared" si="14"/>
        <v>1.353439954504957E-2</v>
      </c>
      <c r="K72" s="2"/>
      <c r="L72" s="6">
        <f t="shared" si="15"/>
        <v>-798.88035839999986</v>
      </c>
      <c r="M72" s="2"/>
      <c r="N72" s="7">
        <f t="shared" si="16"/>
        <v>-0.55945555750240072</v>
      </c>
      <c r="O72" s="11"/>
      <c r="P72" s="6">
        <v>7046.72</v>
      </c>
      <c r="Q72" s="2"/>
      <c r="R72" s="7">
        <f t="shared" si="17"/>
        <v>2.1525084782482414E-3</v>
      </c>
      <c r="S72" s="2"/>
      <c r="T72" s="6">
        <v>12494.653136000001</v>
      </c>
      <c r="U72" s="2"/>
      <c r="V72" s="7">
        <f t="shared" si="18"/>
        <v>3.7834129409335163E-3</v>
      </c>
      <c r="W72" s="2"/>
      <c r="X72" s="6">
        <f t="shared" si="19"/>
        <v>-5447.9331360000006</v>
      </c>
      <c r="Y72" s="2"/>
      <c r="Z72" s="7">
        <f t="shared" si="20"/>
        <v>-0.43602115854686985</v>
      </c>
    </row>
    <row r="73" spans="1:26" s="24" customFormat="1" hidden="1" outlineLevel="2" x14ac:dyDescent="0.25">
      <c r="A73" s="25"/>
      <c r="B73" s="11" t="str">
        <f>CONCATENATE("          ", "6119", " - ", "SICK LEAVE")</f>
        <v xml:space="preserve">          6119 - SICK LEAVE</v>
      </c>
      <c r="C73" s="11"/>
      <c r="D73" s="6">
        <v>925.42</v>
      </c>
      <c r="E73" s="2"/>
      <c r="F73" s="7">
        <f t="shared" si="13"/>
        <v>6.4472664849711033E-3</v>
      </c>
      <c r="G73" s="2"/>
      <c r="H73" s="6">
        <v>1040.11497049231</v>
      </c>
      <c r="I73" s="2"/>
      <c r="J73" s="7">
        <f t="shared" si="14"/>
        <v>9.8583490085143027E-3</v>
      </c>
      <c r="K73" s="2"/>
      <c r="L73" s="6">
        <f t="shared" si="15"/>
        <v>-114.69497049231006</v>
      </c>
      <c r="M73" s="2"/>
      <c r="N73" s="7">
        <f t="shared" si="16"/>
        <v>-0.11027143512608258</v>
      </c>
      <c r="O73" s="11"/>
      <c r="P73" s="6">
        <v>7970.95</v>
      </c>
      <c r="Q73" s="2"/>
      <c r="R73" s="7">
        <f t="shared" si="17"/>
        <v>2.4348260544895806E-3</v>
      </c>
      <c r="S73" s="2"/>
      <c r="T73" s="6">
        <v>9227.1559993076917</v>
      </c>
      <c r="U73" s="2"/>
      <c r="V73" s="7">
        <f t="shared" si="18"/>
        <v>2.7940064470624495E-3</v>
      </c>
      <c r="W73" s="2"/>
      <c r="X73" s="6">
        <f t="shared" si="19"/>
        <v>-1256.2059993076919</v>
      </c>
      <c r="Y73" s="2"/>
      <c r="Z73" s="7">
        <f t="shared" si="20"/>
        <v>-0.13614227389262135</v>
      </c>
    </row>
    <row r="74" spans="1:26" s="24" customFormat="1" hidden="1" outlineLevel="2" x14ac:dyDescent="0.25">
      <c r="A74" s="25"/>
      <c r="B74" s="11" t="str">
        <f>CONCATENATE("          ", "6156", " - ", "EMPLOYEE MEALS")</f>
        <v xml:space="preserve">          6156 - EMPLOYEE MEALS</v>
      </c>
      <c r="C74" s="11"/>
      <c r="D74" s="6">
        <v>789.07</v>
      </c>
      <c r="E74" s="2"/>
      <c r="F74" s="7">
        <f t="shared" si="13"/>
        <v>5.4973358748418542E-3</v>
      </c>
      <c r="G74" s="2"/>
      <c r="H74" s="6">
        <v>750</v>
      </c>
      <c r="I74" s="2"/>
      <c r="J74" s="7">
        <f t="shared" si="14"/>
        <v>7.1086004587416832E-3</v>
      </c>
      <c r="K74" s="2"/>
      <c r="L74" s="6">
        <f t="shared" si="15"/>
        <v>39.07000000000005</v>
      </c>
      <c r="M74" s="2"/>
      <c r="N74" s="7">
        <f t="shared" si="16"/>
        <v>5.2093333333333401E-2</v>
      </c>
      <c r="O74" s="11"/>
      <c r="P74" s="6">
        <v>5198.3</v>
      </c>
      <c r="Q74" s="2"/>
      <c r="R74" s="7">
        <f t="shared" si="17"/>
        <v>1.587885544264258E-3</v>
      </c>
      <c r="S74" s="2"/>
      <c r="T74" s="6">
        <v>6000</v>
      </c>
      <c r="U74" s="2"/>
      <c r="V74" s="7">
        <f t="shared" si="18"/>
        <v>1.8168153528164575E-3</v>
      </c>
      <c r="W74" s="2"/>
      <c r="X74" s="6">
        <f t="shared" si="19"/>
        <v>-801.69999999999982</v>
      </c>
      <c r="Y74" s="2"/>
      <c r="Z74" s="7">
        <f t="shared" si="20"/>
        <v>-0.13361666666666663</v>
      </c>
    </row>
    <row r="75" spans="1:26" s="27" customFormat="1" outlineLevel="1" collapsed="1" x14ac:dyDescent="0.25">
      <c r="A75" s="26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55278.33</v>
      </c>
      <c r="E75" s="1"/>
      <c r="F75" s="5">
        <f t="shared" ref="F75:F85" si="21">IF(D$12=0,0,D75/D$12)</f>
        <v>0.38511608172956358</v>
      </c>
      <c r="G75" s="1"/>
      <c r="H75" s="1">
        <f>SUM(OSRRefH22_1x_0)</f>
        <v>26293.217015723101</v>
      </c>
      <c r="I75" s="1"/>
      <c r="J75" s="5">
        <f t="shared" ref="J75:J85" si="22">IF(H$12=0,0,H75/H$12)</f>
        <v>0.24921063271968516</v>
      </c>
      <c r="K75" s="1"/>
      <c r="L75" s="1">
        <f t="shared" ref="L75:L85" si="23">+D75-H75</f>
        <v>28985.112984276901</v>
      </c>
      <c r="M75" s="1"/>
      <c r="N75" s="5">
        <f t="shared" ref="N75:N85" si="24">IF(H75=0,0,L75/H75)</f>
        <v>1.1023798634812951</v>
      </c>
      <c r="O75" s="13"/>
      <c r="P75" s="1">
        <f>SUM(OSRRefP22_1x_0)</f>
        <v>232963.76</v>
      </c>
      <c r="Q75" s="1"/>
      <c r="R75" s="5">
        <f t="shared" ref="R75:R85" si="25">IF(P$12=0,0,P75/P$12)</f>
        <v>7.1161684943433043E-2</v>
      </c>
      <c r="S75" s="1"/>
      <c r="T75" s="1">
        <f>SUM(OSRRefT22_1x_0)</f>
        <v>242680.64963757689</v>
      </c>
      <c r="U75" s="1"/>
      <c r="V75" s="5">
        <f t="shared" ref="V75:V85" si="26">IF(T$12=0,0,T75/T$12)</f>
        <v>7.3484321682170228E-2</v>
      </c>
      <c r="W75" s="1"/>
      <c r="X75" s="1">
        <f t="shared" ref="X75:X85" si="27">+P75-T75</f>
        <v>-9716.8896375768818</v>
      </c>
      <c r="Y75" s="1"/>
      <c r="Z75" s="5">
        <f t="shared" ref="Z75:Z85" si="28">IF(T75=0,0,X75/T75)</f>
        <v>-4.0039820447523272E-2</v>
      </c>
    </row>
    <row r="76" spans="1:26" s="24" customFormat="1" hidden="1" outlineLevel="2" x14ac:dyDescent="0.25">
      <c r="A76" s="25"/>
      <c r="B76" s="11" t="str">
        <f>CONCATENATE("          ", "6001", " - ", "ADMINISTRATIVE SALARIES")</f>
        <v xml:space="preserve">          6001 - ADMINISTRATIVE SALARIES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"6002", " - ", "STAFF SALARIES")</f>
        <v xml:space="preserve">          6002 - STAFF SALARIES</v>
      </c>
      <c r="C77" s="11"/>
      <c r="D77" s="6">
        <v>22827.9</v>
      </c>
      <c r="E77" s="2"/>
      <c r="F77" s="7">
        <f t="shared" si="21"/>
        <v>0.15903865768221118</v>
      </c>
      <c r="G77" s="2"/>
      <c r="H77" s="6">
        <v>12765.0123437231</v>
      </c>
      <c r="I77" s="2"/>
      <c r="J77" s="7">
        <f t="shared" si="22"/>
        <v>0.12098849680324436</v>
      </c>
      <c r="K77" s="2"/>
      <c r="L77" s="6">
        <f t="shared" si="23"/>
        <v>10062.887656276902</v>
      </c>
      <c r="M77" s="2"/>
      <c r="N77" s="7">
        <f t="shared" si="24"/>
        <v>0.78831789467286295</v>
      </c>
      <c r="O77" s="11"/>
      <c r="P77" s="6">
        <v>129964.14</v>
      </c>
      <c r="Q77" s="2"/>
      <c r="R77" s="7">
        <f t="shared" si="25"/>
        <v>3.969916687738996E-2</v>
      </c>
      <c r="S77" s="2"/>
      <c r="T77" s="6">
        <v>111693.8580075769</v>
      </c>
      <c r="U77" s="2"/>
      <c r="V77" s="7">
        <f t="shared" si="26"/>
        <v>3.3821186007244521E-2</v>
      </c>
      <c r="W77" s="2"/>
      <c r="X77" s="6">
        <f t="shared" si="27"/>
        <v>18270.281992423101</v>
      </c>
      <c r="Y77" s="2"/>
      <c r="Z77" s="7">
        <f t="shared" si="28"/>
        <v>0.16357463443678086</v>
      </c>
    </row>
    <row r="78" spans="1:26" s="24" customFormat="1" hidden="1" outlineLevel="2" x14ac:dyDescent="0.25">
      <c r="A78" s="25"/>
      <c r="B78" s="11" t="str">
        <f>CONCATENATE("          ", "6003", " - ", "STAFF HOURLY-9 MONTH")</f>
        <v xml:space="preserve">          6003 - STAFF HOURLY-9 MONTH</v>
      </c>
      <c r="C78" s="11"/>
      <c r="D78" s="6"/>
      <c r="E78" s="2"/>
      <c r="F78" s="7">
        <f t="shared" si="21"/>
        <v>0</v>
      </c>
      <c r="G78" s="2"/>
      <c r="H78" s="6">
        <v>0</v>
      </c>
      <c r="I78" s="2"/>
      <c r="J78" s="7">
        <f t="shared" si="22"/>
        <v>0</v>
      </c>
      <c r="K78" s="2"/>
      <c r="L78" s="6">
        <f t="shared" si="23"/>
        <v>0</v>
      </c>
      <c r="M78" s="2"/>
      <c r="N78" s="7">
        <f t="shared" si="24"/>
        <v>0</v>
      </c>
      <c r="O78" s="11"/>
      <c r="P78" s="6"/>
      <c r="Q78" s="2"/>
      <c r="R78" s="7">
        <f t="shared" si="25"/>
        <v>0</v>
      </c>
      <c r="S78" s="2"/>
      <c r="T78" s="6">
        <v>0</v>
      </c>
      <c r="U78" s="2"/>
      <c r="V78" s="7">
        <f t="shared" si="26"/>
        <v>0</v>
      </c>
      <c r="W78" s="2"/>
      <c r="X78" s="6">
        <f t="shared" si="27"/>
        <v>0</v>
      </c>
      <c r="Y78" s="2"/>
      <c r="Z78" s="7">
        <f t="shared" si="28"/>
        <v>0</v>
      </c>
    </row>
    <row r="79" spans="1:26" s="24" customFormat="1" hidden="1" outlineLevel="2" x14ac:dyDescent="0.25">
      <c r="A79" s="25"/>
      <c r="B79" s="11" t="str">
        <f>CONCATENATE("          ", "6004", " - ", "STAFF HOURLY")</f>
        <v xml:space="preserve">          6004 - STAFF HOURLY</v>
      </c>
      <c r="C79" s="11"/>
      <c r="D79" s="6">
        <v>4401.38</v>
      </c>
      <c r="E79" s="2"/>
      <c r="F79" s="7">
        <f t="shared" si="21"/>
        <v>3.0663774028681156E-2</v>
      </c>
      <c r="G79" s="2"/>
      <c r="H79" s="6">
        <v>5865.9348719999998</v>
      </c>
      <c r="I79" s="2"/>
      <c r="J79" s="7">
        <f t="shared" si="22"/>
        <v>5.5598116429397382E-2</v>
      </c>
      <c r="K79" s="2"/>
      <c r="L79" s="6">
        <f t="shared" si="23"/>
        <v>-1464.5548719999997</v>
      </c>
      <c r="M79" s="2"/>
      <c r="N79" s="7">
        <f t="shared" si="24"/>
        <v>-0.24967117841536099</v>
      </c>
      <c r="O79" s="11"/>
      <c r="P79" s="6">
        <v>26297.27</v>
      </c>
      <c r="Q79" s="2"/>
      <c r="R79" s="7">
        <f t="shared" si="25"/>
        <v>8.0328289799769439E-3</v>
      </c>
      <c r="S79" s="2"/>
      <c r="T79" s="6">
        <v>51326.930130000001</v>
      </c>
      <c r="U79" s="2"/>
      <c r="V79" s="7">
        <f t="shared" si="26"/>
        <v>1.5541925778853601E-2</v>
      </c>
      <c r="W79" s="2"/>
      <c r="X79" s="6">
        <f t="shared" si="27"/>
        <v>-25029.66013</v>
      </c>
      <c r="Y79" s="2"/>
      <c r="Z79" s="7">
        <f t="shared" si="28"/>
        <v>-0.48765161030681731</v>
      </c>
    </row>
    <row r="80" spans="1:26" s="24" customFormat="1" hidden="1" outlineLevel="2" x14ac:dyDescent="0.25">
      <c r="A80" s="25"/>
      <c r="B80" s="11" t="str">
        <f>CONCATENATE("          ", "6005", " - ", "TEMPORARY WAGES-HOURLY")</f>
        <v xml:space="preserve">          6005 - TEMPORARY WAGES-HOURLY</v>
      </c>
      <c r="C80" s="11"/>
      <c r="D80" s="6">
        <v>2953.29</v>
      </c>
      <c r="E80" s="2"/>
      <c r="F80" s="7">
        <f t="shared" si="21"/>
        <v>2.0575141705820393E-2</v>
      </c>
      <c r="G80" s="2"/>
      <c r="H80" s="6">
        <v>2903.68</v>
      </c>
      <c r="I80" s="2"/>
      <c r="J80" s="7">
        <f t="shared" si="22"/>
        <v>2.7521467973385397E-2</v>
      </c>
      <c r="K80" s="2"/>
      <c r="L80" s="6">
        <f t="shared" si="23"/>
        <v>49.610000000000127</v>
      </c>
      <c r="M80" s="2"/>
      <c r="N80" s="7">
        <f t="shared" si="24"/>
        <v>1.7085216001763326E-2</v>
      </c>
      <c r="O80" s="11"/>
      <c r="P80" s="6">
        <v>20778.34</v>
      </c>
      <c r="Q80" s="2"/>
      <c r="R80" s="7">
        <f t="shared" si="25"/>
        <v>6.3470030047915287E-3</v>
      </c>
      <c r="S80" s="2"/>
      <c r="T80" s="6">
        <v>27333.68</v>
      </c>
      <c r="U80" s="2"/>
      <c r="V80" s="7">
        <f t="shared" si="26"/>
        <v>8.2767082454953574E-3</v>
      </c>
      <c r="W80" s="2"/>
      <c r="X80" s="6">
        <f t="shared" si="27"/>
        <v>-6555.34</v>
      </c>
      <c r="Y80" s="2"/>
      <c r="Z80" s="7">
        <f t="shared" si="28"/>
        <v>-0.23982647049354497</v>
      </c>
    </row>
    <row r="81" spans="1:26" s="24" customFormat="1" hidden="1" outlineLevel="2" x14ac:dyDescent="0.25">
      <c r="A81" s="25"/>
      <c r="B81" s="11" t="str">
        <f>CONCATENATE("          ", "6006", " - ", "TEMPORARY PART TIME")</f>
        <v xml:space="preserve">          6006 - TEMPORARY PART TIME</v>
      </c>
      <c r="C81" s="11"/>
      <c r="D81" s="6">
        <v>826.88</v>
      </c>
      <c r="E81" s="2"/>
      <c r="F81" s="7">
        <f t="shared" si="21"/>
        <v>5.760752643224596E-3</v>
      </c>
      <c r="G81" s="2"/>
      <c r="H81" s="6">
        <v>0</v>
      </c>
      <c r="I81" s="2"/>
      <c r="J81" s="7">
        <f t="shared" si="22"/>
        <v>0</v>
      </c>
      <c r="K81" s="2"/>
      <c r="L81" s="6">
        <f t="shared" si="23"/>
        <v>826.88</v>
      </c>
      <c r="M81" s="2"/>
      <c r="N81" s="7">
        <f t="shared" si="24"/>
        <v>0</v>
      </c>
      <c r="O81" s="11"/>
      <c r="P81" s="6">
        <v>826.88</v>
      </c>
      <c r="Q81" s="2"/>
      <c r="R81" s="7">
        <f t="shared" si="25"/>
        <v>2.5258080504034583E-4</v>
      </c>
      <c r="S81" s="2"/>
      <c r="T81" s="6">
        <v>0</v>
      </c>
      <c r="U81" s="2"/>
      <c r="V81" s="7">
        <f t="shared" si="26"/>
        <v>0</v>
      </c>
      <c r="W81" s="2"/>
      <c r="X81" s="6">
        <f t="shared" si="27"/>
        <v>826.88</v>
      </c>
      <c r="Y81" s="2"/>
      <c r="Z81" s="7">
        <f t="shared" si="28"/>
        <v>0</v>
      </c>
    </row>
    <row r="82" spans="1:26" s="24" customFormat="1" hidden="1" outlineLevel="2" x14ac:dyDescent="0.25">
      <c r="A82" s="25"/>
      <c r="B82" s="11" t="str">
        <f>CONCATENATE("          ", "6007", " - ", "STUDENT HOURLY")</f>
        <v xml:space="preserve">          6007 - STUDENT HOURLY</v>
      </c>
      <c r="C82" s="11"/>
      <c r="D82" s="6">
        <v>24268.880000000001</v>
      </c>
      <c r="E82" s="2"/>
      <c r="F82" s="7">
        <f t="shared" si="21"/>
        <v>0.16907775566962624</v>
      </c>
      <c r="G82" s="2"/>
      <c r="H82" s="6">
        <v>0</v>
      </c>
      <c r="I82" s="2"/>
      <c r="J82" s="7">
        <f t="shared" si="22"/>
        <v>0</v>
      </c>
      <c r="K82" s="2"/>
      <c r="L82" s="6">
        <f t="shared" si="23"/>
        <v>24268.880000000001</v>
      </c>
      <c r="M82" s="2"/>
      <c r="N82" s="7">
        <f t="shared" si="24"/>
        <v>0</v>
      </c>
      <c r="O82" s="11"/>
      <c r="P82" s="6">
        <v>55097.13</v>
      </c>
      <c r="Q82" s="2"/>
      <c r="R82" s="7">
        <f t="shared" si="25"/>
        <v>1.6830105276234263E-2</v>
      </c>
      <c r="S82" s="2"/>
      <c r="T82" s="6">
        <v>11781</v>
      </c>
      <c r="U82" s="2"/>
      <c r="V82" s="7">
        <f t="shared" si="26"/>
        <v>3.5673169452551143E-3</v>
      </c>
      <c r="W82" s="2"/>
      <c r="X82" s="6">
        <f t="shared" si="27"/>
        <v>43316.13</v>
      </c>
      <c r="Y82" s="2"/>
      <c r="Z82" s="7">
        <f t="shared" si="28"/>
        <v>3.6767787114845936</v>
      </c>
    </row>
    <row r="83" spans="1:26" s="24" customFormat="1" hidden="1" outlineLevel="2" x14ac:dyDescent="0.25">
      <c r="A83" s="25"/>
      <c r="B83" s="11" t="str">
        <f>CONCATENATE("          ", "6008", " - ", "STUDENT HOURLY-FICA EXEMPT")</f>
        <v xml:space="preserve">          6008 - STUDENT HOURLY-FICA EXEMPT</v>
      </c>
      <c r="C83" s="11"/>
      <c r="D83" s="6"/>
      <c r="E83" s="2"/>
      <c r="F83" s="7">
        <f t="shared" si="21"/>
        <v>0</v>
      </c>
      <c r="G83" s="2"/>
      <c r="H83" s="6">
        <v>4758.5897999999997</v>
      </c>
      <c r="I83" s="2"/>
      <c r="J83" s="7">
        <f t="shared" si="22"/>
        <v>4.5102551513657989E-2</v>
      </c>
      <c r="K83" s="2"/>
      <c r="L83" s="6">
        <f t="shared" si="23"/>
        <v>-4758.5897999999997</v>
      </c>
      <c r="M83" s="2"/>
      <c r="N83" s="7">
        <f t="shared" si="24"/>
        <v>-1</v>
      </c>
      <c r="O83" s="11"/>
      <c r="P83" s="6"/>
      <c r="Q83" s="2"/>
      <c r="R83" s="7">
        <f t="shared" si="25"/>
        <v>0</v>
      </c>
      <c r="S83" s="2"/>
      <c r="T83" s="6">
        <v>40545.181499999999</v>
      </c>
      <c r="U83" s="2"/>
      <c r="V83" s="7">
        <f t="shared" si="26"/>
        <v>1.2277184705321633E-2</v>
      </c>
      <c r="W83" s="2"/>
      <c r="X83" s="6">
        <f t="shared" si="27"/>
        <v>-40545.181499999999</v>
      </c>
      <c r="Y83" s="2"/>
      <c r="Z83" s="7">
        <f t="shared" si="28"/>
        <v>-1</v>
      </c>
    </row>
    <row r="84" spans="1:26" s="24" customFormat="1" hidden="1" outlineLevel="2" x14ac:dyDescent="0.25">
      <c r="A84" s="25"/>
      <c r="B84" s="11" t="str">
        <f>CONCATENATE("          ", "6009", " - ", "TEMPORARY-SEASONAL")</f>
        <v xml:space="preserve">          6009 - TEMPORARY-SEASONAL</v>
      </c>
      <c r="C84" s="11"/>
      <c r="D84" s="6"/>
      <c r="E84" s="2"/>
      <c r="F84" s="7">
        <f t="shared" si="21"/>
        <v>0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0</v>
      </c>
      <c r="M84" s="2"/>
      <c r="N84" s="7">
        <f t="shared" si="24"/>
        <v>0</v>
      </c>
      <c r="O84" s="11"/>
      <c r="P84" s="6"/>
      <c r="Q84" s="2"/>
      <c r="R84" s="7">
        <f t="shared" si="25"/>
        <v>0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0</v>
      </c>
      <c r="Y84" s="2"/>
      <c r="Z84" s="7">
        <f t="shared" si="28"/>
        <v>0</v>
      </c>
    </row>
    <row r="85" spans="1:26" s="24" customFormat="1" hidden="1" outlineLevel="2" x14ac:dyDescent="0.25">
      <c r="A85" s="25"/>
      <c r="B85" s="11" t="str">
        <f>CONCATENATE("          ", "6010", " - ", "GRATUITY")</f>
        <v xml:space="preserve">          6010 - GRATUITY</v>
      </c>
      <c r="C85" s="11"/>
      <c r="D85" s="6"/>
      <c r="E85" s="2"/>
      <c r="F85" s="7">
        <f t="shared" si="21"/>
        <v>0</v>
      </c>
      <c r="G85" s="2"/>
      <c r="H85" s="6">
        <v>0</v>
      </c>
      <c r="I85" s="2"/>
      <c r="J85" s="7">
        <f t="shared" si="22"/>
        <v>0</v>
      </c>
      <c r="K85" s="2"/>
      <c r="L85" s="6">
        <f t="shared" si="23"/>
        <v>0</v>
      </c>
      <c r="M85" s="2"/>
      <c r="N85" s="7">
        <f t="shared" si="24"/>
        <v>0</v>
      </c>
      <c r="O85" s="11"/>
      <c r="P85" s="6"/>
      <c r="Q85" s="2"/>
      <c r="R85" s="7">
        <f t="shared" si="25"/>
        <v>0</v>
      </c>
      <c r="S85" s="2"/>
      <c r="T85" s="6">
        <v>0</v>
      </c>
      <c r="U85" s="2"/>
      <c r="V85" s="7">
        <f t="shared" si="26"/>
        <v>0</v>
      </c>
      <c r="W85" s="2"/>
      <c r="X85" s="6">
        <f t="shared" si="27"/>
        <v>0</v>
      </c>
      <c r="Y85" s="2"/>
      <c r="Z85" s="7">
        <f t="shared" si="28"/>
        <v>0</v>
      </c>
    </row>
    <row r="86" spans="1:26" s="27" customFormat="1" outlineLevel="1" collapsed="1" x14ac:dyDescent="0.25">
      <c r="A86" s="26"/>
      <c r="B86" s="13" t="str">
        <f>CONCATENATE("     ","Advertising/Promo                                 ")</f>
        <v xml:space="preserve">     Advertising/Promo                                 </v>
      </c>
      <c r="C86" s="13"/>
      <c r="D86" s="1">
        <f>SUM(OSRRefD22_2x_0)</f>
        <v>0.5</v>
      </c>
      <c r="E86" s="1"/>
      <c r="F86" s="5">
        <f t="shared" ref="F86:F90" si="29">IF(D$12=0,0,D86/D$12)</f>
        <v>3.483427246531901E-6</v>
      </c>
      <c r="G86" s="1"/>
      <c r="H86" s="1">
        <f>SUM(OSRRefH22_2x_0)</f>
        <v>200</v>
      </c>
      <c r="I86" s="1"/>
      <c r="J86" s="5">
        <f t="shared" ref="J86:J90" si="30">IF(H$12=0,0,H86/H$12)</f>
        <v>1.8956267889977821E-3</v>
      </c>
      <c r="K86" s="1"/>
      <c r="L86" s="1">
        <f t="shared" ref="L86:L90" si="31">+D86-H86</f>
        <v>-199.5</v>
      </c>
      <c r="M86" s="1"/>
      <c r="N86" s="5">
        <f t="shared" ref="N86:N90" si="32">IF(H86=0,0,L86/H86)</f>
        <v>-0.99750000000000005</v>
      </c>
      <c r="O86" s="13"/>
      <c r="P86" s="1">
        <f>SUM(OSRRefP22_2x_0)</f>
        <v>3981.59</v>
      </c>
      <c r="Q86" s="1"/>
      <c r="R86" s="5">
        <f t="shared" ref="R86:R90" si="33">IF(P$12=0,0,P86/P$12)</f>
        <v>1.2162263055589572E-3</v>
      </c>
      <c r="S86" s="1"/>
      <c r="T86" s="1">
        <f>SUM(OSRRefT22_2x_0)</f>
        <v>4600</v>
      </c>
      <c r="U86" s="1"/>
      <c r="V86" s="5">
        <f t="shared" ref="V86:V90" si="34">IF(T$12=0,0,T86/T$12)</f>
        <v>1.3928917704926175E-3</v>
      </c>
      <c r="W86" s="1"/>
      <c r="X86" s="1">
        <f t="shared" ref="X86:X90" si="35">+P86-T86</f>
        <v>-618.40999999999985</v>
      </c>
      <c r="Y86" s="1"/>
      <c r="Z86" s="5">
        <f t="shared" ref="Z86:Z90" si="36">IF(T86=0,0,X86/T86)</f>
        <v>-0.13443695652173909</v>
      </c>
    </row>
    <row r="87" spans="1:26" s="24" customFormat="1" hidden="1" outlineLevel="2" x14ac:dyDescent="0.25">
      <c r="A87" s="25"/>
      <c r="B87" s="11" t="str">
        <f>CONCATENATE("          ", "6362", " - ", "ADVERTISING EXPENSE")</f>
        <v xml:space="preserve">          6362 - ADVERTISING EXPENSE</v>
      </c>
      <c r="C87" s="11"/>
      <c r="D87" s="6">
        <v>0.5</v>
      </c>
      <c r="E87" s="2"/>
      <c r="F87" s="7">
        <f t="shared" si="29"/>
        <v>3.483427246531901E-6</v>
      </c>
      <c r="G87" s="2"/>
      <c r="H87" s="6">
        <v>200</v>
      </c>
      <c r="I87" s="2"/>
      <c r="J87" s="7">
        <f t="shared" si="30"/>
        <v>1.8956267889977821E-3</v>
      </c>
      <c r="K87" s="2"/>
      <c r="L87" s="6">
        <f t="shared" si="31"/>
        <v>-199.5</v>
      </c>
      <c r="M87" s="2"/>
      <c r="N87" s="7">
        <f t="shared" si="32"/>
        <v>-0.99750000000000005</v>
      </c>
      <c r="O87" s="11"/>
      <c r="P87" s="6">
        <v>3981.59</v>
      </c>
      <c r="Q87" s="2"/>
      <c r="R87" s="7">
        <f t="shared" si="33"/>
        <v>1.2162263055589572E-3</v>
      </c>
      <c r="S87" s="2"/>
      <c r="T87" s="6">
        <v>4600</v>
      </c>
      <c r="U87" s="2"/>
      <c r="V87" s="7">
        <f t="shared" si="34"/>
        <v>1.3928917704926175E-3</v>
      </c>
      <c r="W87" s="2"/>
      <c r="X87" s="6">
        <f t="shared" si="35"/>
        <v>-618.40999999999985</v>
      </c>
      <c r="Y87" s="2"/>
      <c r="Z87" s="7">
        <f t="shared" si="36"/>
        <v>-0.13443695652173909</v>
      </c>
    </row>
    <row r="88" spans="1:26" s="27" customFormat="1" outlineLevel="1" collapsed="1" x14ac:dyDescent="0.25">
      <c r="A88" s="26"/>
      <c r="B88" s="13" t="str">
        <f>CONCATENATE("     ","Discounts and Markdowns                           ")</f>
        <v xml:space="preserve">     Discounts and Markdowns                           </v>
      </c>
      <c r="C88" s="13"/>
      <c r="D88" s="1">
        <f>SUM(OSRRefD22_3x_0)</f>
        <v>-160.26</v>
      </c>
      <c r="E88" s="1"/>
      <c r="F88" s="5">
        <f t="shared" si="29"/>
        <v>-1.1165081010584047E-3</v>
      </c>
      <c r="G88" s="1"/>
      <c r="H88" s="1">
        <f>SUM(OSRRefH22_3x_0)</f>
        <v>1425</v>
      </c>
      <c r="I88" s="1"/>
      <c r="J88" s="5">
        <f t="shared" si="30"/>
        <v>1.3506340871609198E-2</v>
      </c>
      <c r="K88" s="1"/>
      <c r="L88" s="1">
        <f t="shared" si="31"/>
        <v>-1585.26</v>
      </c>
      <c r="M88" s="1"/>
      <c r="N88" s="5">
        <f t="shared" si="32"/>
        <v>-1.1124631578947368</v>
      </c>
      <c r="O88" s="13"/>
      <c r="P88" s="1">
        <f>SUM(OSRRefP22_3x_0)</f>
        <v>331.68000000000006</v>
      </c>
      <c r="Q88" s="1"/>
      <c r="R88" s="5">
        <f t="shared" si="33"/>
        <v>1.0131579118588177E-4</v>
      </c>
      <c r="S88" s="1"/>
      <c r="T88" s="1">
        <f>SUM(OSRRefT22_3x_0)</f>
        <v>20700</v>
      </c>
      <c r="U88" s="1"/>
      <c r="V88" s="5">
        <f t="shared" si="34"/>
        <v>6.2680129672167779E-3</v>
      </c>
      <c r="W88" s="1"/>
      <c r="X88" s="1">
        <f t="shared" si="35"/>
        <v>-20368.32</v>
      </c>
      <c r="Y88" s="1"/>
      <c r="Z88" s="5">
        <f t="shared" si="36"/>
        <v>-0.98397681159420292</v>
      </c>
    </row>
    <row r="89" spans="1:26" s="24" customFormat="1" hidden="1" outlineLevel="2" x14ac:dyDescent="0.25">
      <c r="A89" s="25"/>
      <c r="B89" s="11" t="str">
        <f>CONCATENATE("          ", "6382", " - ", "DISCOUNTS/MARK DOWNS")</f>
        <v xml:space="preserve">          6382 - DISCOUNTS/MARK DOWNS</v>
      </c>
      <c r="C89" s="11"/>
      <c r="D89" s="6">
        <v>-141.62</v>
      </c>
      <c r="E89" s="2"/>
      <c r="F89" s="7">
        <f t="shared" si="29"/>
        <v>-9.8664593330769564E-4</v>
      </c>
      <c r="G89" s="2"/>
      <c r="H89" s="6">
        <v>1425</v>
      </c>
      <c r="I89" s="2"/>
      <c r="J89" s="7">
        <f t="shared" si="30"/>
        <v>1.3506340871609198E-2</v>
      </c>
      <c r="K89" s="2"/>
      <c r="L89" s="6">
        <f t="shared" si="31"/>
        <v>-1566.62</v>
      </c>
      <c r="M89" s="2"/>
      <c r="N89" s="7">
        <f t="shared" si="32"/>
        <v>-1.0993824561403509</v>
      </c>
      <c r="O89" s="11"/>
      <c r="P89" s="6">
        <v>783.95</v>
      </c>
      <c r="Q89" s="2"/>
      <c r="R89" s="7">
        <f t="shared" si="33"/>
        <v>2.3946730131503861E-4</v>
      </c>
      <c r="S89" s="2"/>
      <c r="T89" s="6">
        <v>20700</v>
      </c>
      <c r="U89" s="2"/>
      <c r="V89" s="7">
        <f t="shared" si="34"/>
        <v>6.2680129672167779E-3</v>
      </c>
      <c r="W89" s="2"/>
      <c r="X89" s="6">
        <f t="shared" si="35"/>
        <v>-19916.05</v>
      </c>
      <c r="Y89" s="2"/>
      <c r="Z89" s="7">
        <f t="shared" si="36"/>
        <v>-0.96212801932367142</v>
      </c>
    </row>
    <row r="90" spans="1:26" s="24" customFormat="1" hidden="1" outlineLevel="2" x14ac:dyDescent="0.25">
      <c r="A90" s="25"/>
      <c r="B90" s="11" t="str">
        <f>CONCATENATE("          ", "9175", " - ", "EARNED DISCOUNTS")</f>
        <v xml:space="preserve">          9175 - EARNED DISCOUNTS</v>
      </c>
      <c r="C90" s="11"/>
      <c r="D90" s="6">
        <v>-18.64</v>
      </c>
      <c r="E90" s="2"/>
      <c r="F90" s="7">
        <f t="shared" si="29"/>
        <v>-1.2986216775070928E-4</v>
      </c>
      <c r="G90" s="2"/>
      <c r="H90" s="6"/>
      <c r="I90" s="2"/>
      <c r="J90" s="7">
        <f t="shared" si="30"/>
        <v>0</v>
      </c>
      <c r="K90" s="2"/>
      <c r="L90" s="6">
        <f t="shared" si="31"/>
        <v>-18.64</v>
      </c>
      <c r="M90" s="2"/>
      <c r="N90" s="7">
        <f t="shared" si="32"/>
        <v>0</v>
      </c>
      <c r="O90" s="11"/>
      <c r="P90" s="6">
        <v>-452.27</v>
      </c>
      <c r="Q90" s="2"/>
      <c r="R90" s="7">
        <f t="shared" si="33"/>
        <v>-1.3815151012915684E-4</v>
      </c>
      <c r="S90" s="2"/>
      <c r="T90" s="6"/>
      <c r="U90" s="2"/>
      <c r="V90" s="7">
        <f t="shared" si="34"/>
        <v>0</v>
      </c>
      <c r="W90" s="2"/>
      <c r="X90" s="6">
        <f t="shared" si="35"/>
        <v>-452.27</v>
      </c>
      <c r="Y90" s="2"/>
      <c r="Z90" s="7">
        <f t="shared" si="36"/>
        <v>0</v>
      </c>
    </row>
    <row r="91" spans="1:26" s="27" customFormat="1" outlineLevel="1" collapsed="1" x14ac:dyDescent="0.25">
      <c r="A91" s="26"/>
      <c r="B91" s="13" t="str">
        <f>CONCATENATE("     ","Employees' Appreciation                           ")</f>
        <v xml:space="preserve">     Employees' Appreciation                           </v>
      </c>
      <c r="C91" s="13"/>
      <c r="D91" s="1">
        <f>SUM(OSRRefD22_4x_0)</f>
        <v>0</v>
      </c>
      <c r="E91" s="1"/>
      <c r="F91" s="5">
        <f t="shared" ref="F91:F97" si="37">IF(D$12=0,0,D91/D$12)</f>
        <v>0</v>
      </c>
      <c r="G91" s="1"/>
      <c r="H91" s="1">
        <f>SUM(OSRRefH22_4x_0)</f>
        <v>100</v>
      </c>
      <c r="I91" s="1"/>
      <c r="J91" s="5">
        <f t="shared" ref="J91:J97" si="38">IF(H$12=0,0,H91/H$12)</f>
        <v>9.4781339449889106E-4</v>
      </c>
      <c r="K91" s="1"/>
      <c r="L91" s="1">
        <f t="shared" ref="L91:L97" si="39">+D91-H91</f>
        <v>-100</v>
      </c>
      <c r="M91" s="1"/>
      <c r="N91" s="5">
        <f t="shared" ref="N91:N97" si="40">IF(H91=0,0,L91/H91)</f>
        <v>-1</v>
      </c>
      <c r="O91" s="13"/>
      <c r="P91" s="1">
        <f>SUM(OSRRefP22_4x_0)</f>
        <v>37.880000000000003</v>
      </c>
      <c r="Q91" s="1"/>
      <c r="R91" s="5">
        <f t="shared" ref="R91:R97" si="41">IF(P$12=0,0,P91/P$12)</f>
        <v>1.1570918264957793E-5</v>
      </c>
      <c r="S91" s="1"/>
      <c r="T91" s="1">
        <f>SUM(OSRRefT22_4x_0)</f>
        <v>800</v>
      </c>
      <c r="U91" s="1"/>
      <c r="V91" s="5">
        <f t="shared" ref="V91:V97" si="42">IF(T$12=0,0,T91/T$12)</f>
        <v>2.4224204704219432E-4</v>
      </c>
      <c r="W91" s="1"/>
      <c r="X91" s="1">
        <f t="shared" ref="X91:X97" si="43">+P91-T91</f>
        <v>-762.12</v>
      </c>
      <c r="Y91" s="1"/>
      <c r="Z91" s="5">
        <f t="shared" ref="Z91:Z97" si="44">IF(T91=0,0,X91/T91)</f>
        <v>-0.95265</v>
      </c>
    </row>
    <row r="92" spans="1:26" s="24" customFormat="1" hidden="1" outlineLevel="2" x14ac:dyDescent="0.25">
      <c r="A92" s="25"/>
      <c r="B92" s="11" t="str">
        <f>CONCATENATE("          ", "6277", " - ", "EMPLOYEE APPRECIATION")</f>
        <v xml:space="preserve">          6277 - EMPLOYEE APPRECIATION</v>
      </c>
      <c r="C92" s="11"/>
      <c r="D92" s="6"/>
      <c r="E92" s="2"/>
      <c r="F92" s="7">
        <f t="shared" si="37"/>
        <v>0</v>
      </c>
      <c r="G92" s="2"/>
      <c r="H92" s="6">
        <v>100</v>
      </c>
      <c r="I92" s="2"/>
      <c r="J92" s="7">
        <f t="shared" si="38"/>
        <v>9.4781339449889106E-4</v>
      </c>
      <c r="K92" s="2"/>
      <c r="L92" s="6">
        <f t="shared" si="39"/>
        <v>-100</v>
      </c>
      <c r="M92" s="2"/>
      <c r="N92" s="7">
        <f t="shared" si="40"/>
        <v>-1</v>
      </c>
      <c r="O92" s="11"/>
      <c r="P92" s="6">
        <v>37.880000000000003</v>
      </c>
      <c r="Q92" s="2"/>
      <c r="R92" s="7">
        <f t="shared" si="41"/>
        <v>1.1570918264957793E-5</v>
      </c>
      <c r="S92" s="2"/>
      <c r="T92" s="6">
        <v>800</v>
      </c>
      <c r="U92" s="2"/>
      <c r="V92" s="7">
        <f t="shared" si="42"/>
        <v>2.4224204704219432E-4</v>
      </c>
      <c r="W92" s="2"/>
      <c r="X92" s="6">
        <f t="shared" si="43"/>
        <v>-762.12</v>
      </c>
      <c r="Y92" s="2"/>
      <c r="Z92" s="7">
        <f t="shared" si="44"/>
        <v>-0.95265</v>
      </c>
    </row>
    <row r="93" spans="1:26" s="27" customFormat="1" outlineLevel="1" collapsed="1" x14ac:dyDescent="0.25">
      <c r="A93" s="26"/>
      <c r="B93" s="13" t="str">
        <f>CONCATENATE("     ","Equipment Rental                                  ")</f>
        <v xml:space="preserve">     Equipment Rental                                  </v>
      </c>
      <c r="C93" s="13"/>
      <c r="D93" s="1">
        <f>SUM(OSRRefD22_5x_0)</f>
        <v>91.26</v>
      </c>
      <c r="E93" s="1"/>
      <c r="F93" s="5">
        <f t="shared" si="37"/>
        <v>6.3579514103700259E-4</v>
      </c>
      <c r="G93" s="1"/>
      <c r="H93" s="1">
        <f>SUM(OSRRefH22_5x_0)</f>
        <v>100</v>
      </c>
      <c r="I93" s="1"/>
      <c r="J93" s="5">
        <f t="shared" si="38"/>
        <v>9.4781339449889106E-4</v>
      </c>
      <c r="K93" s="1"/>
      <c r="L93" s="1">
        <f t="shared" si="39"/>
        <v>-8.7399999999999949</v>
      </c>
      <c r="M93" s="1"/>
      <c r="N93" s="5">
        <f t="shared" si="40"/>
        <v>-8.739999999999995E-2</v>
      </c>
      <c r="O93" s="13"/>
      <c r="P93" s="1">
        <f>SUM(OSRRefP22_5x_0)</f>
        <v>730.08</v>
      </c>
      <c r="Q93" s="1"/>
      <c r="R93" s="5">
        <f t="shared" si="41"/>
        <v>2.230120381964199E-4</v>
      </c>
      <c r="S93" s="1"/>
      <c r="T93" s="1">
        <f>SUM(OSRRefT22_5x_0)</f>
        <v>800</v>
      </c>
      <c r="U93" s="1"/>
      <c r="V93" s="5">
        <f t="shared" si="42"/>
        <v>2.4224204704219432E-4</v>
      </c>
      <c r="W93" s="1"/>
      <c r="X93" s="1">
        <f t="shared" si="43"/>
        <v>-69.919999999999959</v>
      </c>
      <c r="Y93" s="1"/>
      <c r="Z93" s="5">
        <f t="shared" si="44"/>
        <v>-8.739999999999995E-2</v>
      </c>
    </row>
    <row r="94" spans="1:26" s="24" customFormat="1" hidden="1" outlineLevel="2" x14ac:dyDescent="0.25">
      <c r="A94" s="25"/>
      <c r="B94" s="11" t="str">
        <f>CONCATENATE("          ", "6351", " - ", "EQUIPMENT RENTAL")</f>
        <v xml:space="preserve">          6351 - EQUIPMENT RENTAL</v>
      </c>
      <c r="C94" s="11"/>
      <c r="D94" s="6">
        <v>91.26</v>
      </c>
      <c r="E94" s="2"/>
      <c r="F94" s="7">
        <f t="shared" si="37"/>
        <v>6.3579514103700259E-4</v>
      </c>
      <c r="G94" s="2"/>
      <c r="H94" s="6">
        <v>100</v>
      </c>
      <c r="I94" s="2"/>
      <c r="J94" s="7">
        <f t="shared" si="38"/>
        <v>9.4781339449889106E-4</v>
      </c>
      <c r="K94" s="2"/>
      <c r="L94" s="6">
        <f t="shared" si="39"/>
        <v>-8.7399999999999949</v>
      </c>
      <c r="M94" s="2"/>
      <c r="N94" s="7">
        <f t="shared" si="40"/>
        <v>-8.739999999999995E-2</v>
      </c>
      <c r="O94" s="11"/>
      <c r="P94" s="6">
        <v>730.08</v>
      </c>
      <c r="Q94" s="2"/>
      <c r="R94" s="7">
        <f t="shared" si="41"/>
        <v>2.230120381964199E-4</v>
      </c>
      <c r="S94" s="2"/>
      <c r="T94" s="6">
        <v>800</v>
      </c>
      <c r="U94" s="2"/>
      <c r="V94" s="7">
        <f t="shared" si="42"/>
        <v>2.4224204704219432E-4</v>
      </c>
      <c r="W94" s="2"/>
      <c r="X94" s="6">
        <f t="shared" si="43"/>
        <v>-69.919999999999959</v>
      </c>
      <c r="Y94" s="2"/>
      <c r="Z94" s="7">
        <f t="shared" si="44"/>
        <v>-8.739999999999995E-2</v>
      </c>
    </row>
    <row r="95" spans="1:26" s="27" customFormat="1" outlineLevel="1" collapsed="1" x14ac:dyDescent="0.25">
      <c r="A95" s="26"/>
      <c r="B95" s="13" t="str">
        <f>CONCATENATE("     ","Freight out/Postage                               ")</f>
        <v xml:space="preserve">     Freight out/Postage                               </v>
      </c>
      <c r="C95" s="13"/>
      <c r="D95" s="1">
        <f>SUM(OSRRefD22_6x_0)</f>
        <v>335.51</v>
      </c>
      <c r="E95" s="1"/>
      <c r="F95" s="5">
        <f t="shared" si="37"/>
        <v>2.3374493509678361E-3</v>
      </c>
      <c r="G95" s="1"/>
      <c r="H95" s="1">
        <f>SUM(OSRRefH22_6x_0)</f>
        <v>7000</v>
      </c>
      <c r="I95" s="1"/>
      <c r="J95" s="5">
        <f t="shared" si="38"/>
        <v>6.6346937614922372E-2</v>
      </c>
      <c r="K95" s="1"/>
      <c r="L95" s="1">
        <f t="shared" si="39"/>
        <v>-6664.49</v>
      </c>
      <c r="M95" s="1"/>
      <c r="N95" s="5">
        <f t="shared" si="40"/>
        <v>-0.95206999999999997</v>
      </c>
      <c r="O95" s="13"/>
      <c r="P95" s="1">
        <f>SUM(OSRRefP22_6x_0)</f>
        <v>12288.900000000001</v>
      </c>
      <c r="Q95" s="1"/>
      <c r="R95" s="5">
        <f t="shared" si="41"/>
        <v>3.7537977155818331E-3</v>
      </c>
      <c r="S95" s="1"/>
      <c r="T95" s="1">
        <f>SUM(OSRRefT22_6x_0)</f>
        <v>22800</v>
      </c>
      <c r="U95" s="1"/>
      <c r="V95" s="5">
        <f t="shared" si="42"/>
        <v>6.9038983407025386E-3</v>
      </c>
      <c r="W95" s="1"/>
      <c r="X95" s="1">
        <f t="shared" si="43"/>
        <v>-10511.099999999999</v>
      </c>
      <c r="Y95" s="1"/>
      <c r="Z95" s="5">
        <f t="shared" si="44"/>
        <v>-0.46101315789473679</v>
      </c>
    </row>
    <row r="96" spans="1:26" s="24" customFormat="1" hidden="1" outlineLevel="2" x14ac:dyDescent="0.25">
      <c r="A96" s="25"/>
      <c r="B96" s="11" t="str">
        <f>CONCATENATE("          ", "6305", " - ", "FREIGHT OUT")</f>
        <v xml:space="preserve">          6305 - FREIGHT OUT</v>
      </c>
      <c r="C96" s="11"/>
      <c r="D96" s="6">
        <v>335.51</v>
      </c>
      <c r="E96" s="2"/>
      <c r="F96" s="7">
        <f t="shared" si="37"/>
        <v>2.3374493509678361E-3</v>
      </c>
      <c r="G96" s="2"/>
      <c r="H96" s="6">
        <v>7000</v>
      </c>
      <c r="I96" s="2"/>
      <c r="J96" s="7">
        <f t="shared" si="38"/>
        <v>6.6346937614922372E-2</v>
      </c>
      <c r="K96" s="2"/>
      <c r="L96" s="6">
        <f t="shared" si="39"/>
        <v>-6664.49</v>
      </c>
      <c r="M96" s="2"/>
      <c r="N96" s="7">
        <f t="shared" si="40"/>
        <v>-0.95206999999999997</v>
      </c>
      <c r="O96" s="11"/>
      <c r="P96" s="6">
        <v>12287.45</v>
      </c>
      <c r="Q96" s="2"/>
      <c r="R96" s="7">
        <f t="shared" si="41"/>
        <v>3.7533547950041085E-3</v>
      </c>
      <c r="S96" s="2"/>
      <c r="T96" s="6">
        <v>22800</v>
      </c>
      <c r="U96" s="2"/>
      <c r="V96" s="7">
        <f t="shared" si="42"/>
        <v>6.9038983407025386E-3</v>
      </c>
      <c r="W96" s="2"/>
      <c r="X96" s="6">
        <f t="shared" si="43"/>
        <v>-10512.55</v>
      </c>
      <c r="Y96" s="2"/>
      <c r="Z96" s="7">
        <f t="shared" si="44"/>
        <v>-0.4610767543859649</v>
      </c>
    </row>
    <row r="97" spans="1:26" s="24" customFormat="1" hidden="1" outlineLevel="2" x14ac:dyDescent="0.25">
      <c r="A97" s="25"/>
      <c r="B97" s="11" t="str">
        <f>CONCATENATE("          ", "6307", " - ", "POSTAGE")</f>
        <v xml:space="preserve">          6307 - POSTAGE</v>
      </c>
      <c r="C97" s="11"/>
      <c r="D97" s="6"/>
      <c r="E97" s="2"/>
      <c r="F97" s="7">
        <f t="shared" si="37"/>
        <v>0</v>
      </c>
      <c r="G97" s="2"/>
      <c r="H97" s="6"/>
      <c r="I97" s="2"/>
      <c r="J97" s="7">
        <f t="shared" si="38"/>
        <v>0</v>
      </c>
      <c r="K97" s="2"/>
      <c r="L97" s="6">
        <f t="shared" si="39"/>
        <v>0</v>
      </c>
      <c r="M97" s="2"/>
      <c r="N97" s="7">
        <f t="shared" si="40"/>
        <v>0</v>
      </c>
      <c r="O97" s="11"/>
      <c r="P97" s="6">
        <v>1.45</v>
      </c>
      <c r="Q97" s="2"/>
      <c r="R97" s="7">
        <f t="shared" si="41"/>
        <v>4.429205777240971E-7</v>
      </c>
      <c r="S97" s="2"/>
      <c r="T97" s="6"/>
      <c r="U97" s="2"/>
      <c r="V97" s="7">
        <f t="shared" si="42"/>
        <v>0</v>
      </c>
      <c r="W97" s="2"/>
      <c r="X97" s="6">
        <f t="shared" si="43"/>
        <v>1.45</v>
      </c>
      <c r="Y97" s="2"/>
      <c r="Z97" s="7">
        <f t="shared" si="44"/>
        <v>0</v>
      </c>
    </row>
    <row r="98" spans="1:26" s="27" customFormat="1" outlineLevel="1" collapsed="1" x14ac:dyDescent="0.25">
      <c r="A98" s="26"/>
      <c r="B98" s="13" t="str">
        <f>CONCATENATE("     ","General                                           ")</f>
        <v xml:space="preserve">     General                                           </v>
      </c>
      <c r="C98" s="13"/>
      <c r="D98" s="1">
        <f>SUM(OSRRefD22_7x_0)</f>
        <v>0</v>
      </c>
      <c r="E98" s="1"/>
      <c r="F98" s="5">
        <f t="shared" ref="F98:F105" si="45">IF(D$12=0,0,D98/D$12)</f>
        <v>0</v>
      </c>
      <c r="G98" s="1"/>
      <c r="H98" s="1">
        <f>SUM(OSRRefH22_7x_0)</f>
        <v>0</v>
      </c>
      <c r="I98" s="1"/>
      <c r="J98" s="5">
        <f t="shared" ref="J98:J105" si="46">IF(H$12=0,0,H98/H$12)</f>
        <v>0</v>
      </c>
      <c r="K98" s="1"/>
      <c r="L98" s="1">
        <f t="shared" ref="L98:L105" si="47">+D98-H98</f>
        <v>0</v>
      </c>
      <c r="M98" s="1"/>
      <c r="N98" s="5">
        <f t="shared" ref="N98:N105" si="48">IF(H98=0,0,L98/H98)</f>
        <v>0</v>
      </c>
      <c r="O98" s="13"/>
      <c r="P98" s="1">
        <f>SUM(OSRRefP22_7x_0)</f>
        <v>8253.06</v>
      </c>
      <c r="Q98" s="1"/>
      <c r="R98" s="5">
        <f t="shared" ref="R98:R105" si="49">IF(P$12=0,0,P98/P$12)</f>
        <v>2.5210000711666462E-3</v>
      </c>
      <c r="S98" s="1"/>
      <c r="T98" s="1">
        <f>SUM(OSRRefT22_7x_0)</f>
        <v>13000</v>
      </c>
      <c r="U98" s="1"/>
      <c r="V98" s="5">
        <f t="shared" ref="V98:V105" si="50">IF(T$12=0,0,T98/T$12)</f>
        <v>3.9364332644356579E-3</v>
      </c>
      <c r="W98" s="1"/>
      <c r="X98" s="1">
        <f t="shared" ref="X98:X105" si="51">+P98-T98</f>
        <v>-4746.9400000000005</v>
      </c>
      <c r="Y98" s="1"/>
      <c r="Z98" s="5">
        <f t="shared" ref="Z98:Z105" si="52">IF(T98=0,0,X98/T98)</f>
        <v>-0.36514923076923078</v>
      </c>
    </row>
    <row r="99" spans="1:26" s="24" customFormat="1" hidden="1" outlineLevel="2" x14ac:dyDescent="0.25">
      <c r="A99" s="25"/>
      <c r="B99" s="11" t="str">
        <f>CONCATENATE("          ", "6279", " - ", "GENERAL EXPENSE")</f>
        <v xml:space="preserve">          6279 - GENERAL EXPENSE</v>
      </c>
      <c r="C99" s="11"/>
      <c r="D99" s="6"/>
      <c r="E99" s="2"/>
      <c r="F99" s="7">
        <f t="shared" si="45"/>
        <v>0</v>
      </c>
      <c r="G99" s="2"/>
      <c r="H99" s="6"/>
      <c r="I99" s="2"/>
      <c r="J99" s="7">
        <f t="shared" si="46"/>
        <v>0</v>
      </c>
      <c r="K99" s="2"/>
      <c r="L99" s="6">
        <f t="shared" si="47"/>
        <v>0</v>
      </c>
      <c r="M99" s="2"/>
      <c r="N99" s="7">
        <f t="shared" si="48"/>
        <v>0</v>
      </c>
      <c r="O99" s="11"/>
      <c r="P99" s="6">
        <v>8253.06</v>
      </c>
      <c r="Q99" s="2"/>
      <c r="R99" s="7">
        <f t="shared" si="49"/>
        <v>2.5210000711666462E-3</v>
      </c>
      <c r="S99" s="2"/>
      <c r="T99" s="6">
        <v>13000</v>
      </c>
      <c r="U99" s="2"/>
      <c r="V99" s="7">
        <f t="shared" si="50"/>
        <v>3.9364332644356579E-3</v>
      </c>
      <c r="W99" s="2"/>
      <c r="X99" s="6">
        <f t="shared" si="51"/>
        <v>-4746.9400000000005</v>
      </c>
      <c r="Y99" s="2"/>
      <c r="Z99" s="7">
        <f t="shared" si="52"/>
        <v>-0.36514923076923078</v>
      </c>
    </row>
    <row r="100" spans="1:26" s="27" customFormat="1" outlineLevel="1" collapsed="1" x14ac:dyDescent="0.25">
      <c r="A100" s="26"/>
      <c r="B100" s="13" t="str">
        <f>CONCATENATE("     ","Inventory Adjustment                              ")</f>
        <v xml:space="preserve">     Inventory Adjustment                              </v>
      </c>
      <c r="C100" s="13"/>
      <c r="D100" s="1">
        <f>SUM(OSRRefD22_8x_0)</f>
        <v>1000</v>
      </c>
      <c r="E100" s="1"/>
      <c r="F100" s="5">
        <f t="shared" si="45"/>
        <v>6.9668544930638013E-3</v>
      </c>
      <c r="G100" s="1"/>
      <c r="H100" s="1">
        <f>SUM(OSRRefH22_8x_0)</f>
        <v>1000</v>
      </c>
      <c r="I100" s="1"/>
      <c r="J100" s="5">
        <f t="shared" si="46"/>
        <v>9.4781339449889097E-3</v>
      </c>
      <c r="K100" s="1"/>
      <c r="L100" s="1">
        <f t="shared" si="47"/>
        <v>0</v>
      </c>
      <c r="M100" s="1"/>
      <c r="N100" s="5">
        <f t="shared" si="48"/>
        <v>0</v>
      </c>
      <c r="O100" s="13"/>
      <c r="P100" s="1">
        <f>SUM(OSRRefP22_8x_0)</f>
        <v>13800</v>
      </c>
      <c r="Q100" s="1"/>
      <c r="R100" s="5">
        <f t="shared" si="49"/>
        <v>4.2153820500638213E-3</v>
      </c>
      <c r="S100" s="1"/>
      <c r="T100" s="1">
        <f>SUM(OSRRefT22_8x_0)</f>
        <v>13800</v>
      </c>
      <c r="U100" s="1"/>
      <c r="V100" s="5">
        <f t="shared" si="50"/>
        <v>4.1786753114778519E-3</v>
      </c>
      <c r="W100" s="1"/>
      <c r="X100" s="1">
        <f t="shared" si="51"/>
        <v>0</v>
      </c>
      <c r="Y100" s="1"/>
      <c r="Z100" s="5">
        <f t="shared" si="52"/>
        <v>0</v>
      </c>
    </row>
    <row r="101" spans="1:26" s="24" customFormat="1" hidden="1" outlineLevel="2" x14ac:dyDescent="0.25">
      <c r="A101" s="25"/>
      <c r="B101" s="11" t="str">
        <f>CONCATENATE("          ", "6408", " - ", "INVENTORY ADJUSTMENT")</f>
        <v xml:space="preserve">          6408 - INVENTORY ADJUSTMENT</v>
      </c>
      <c r="C101" s="11"/>
      <c r="D101" s="6">
        <v>1000</v>
      </c>
      <c r="E101" s="2"/>
      <c r="F101" s="7">
        <f t="shared" si="45"/>
        <v>6.9668544930638013E-3</v>
      </c>
      <c r="G101" s="2"/>
      <c r="H101" s="6">
        <v>1000</v>
      </c>
      <c r="I101" s="2"/>
      <c r="J101" s="7">
        <f t="shared" si="46"/>
        <v>9.4781339449889097E-3</v>
      </c>
      <c r="K101" s="2"/>
      <c r="L101" s="6">
        <f t="shared" si="47"/>
        <v>0</v>
      </c>
      <c r="M101" s="2"/>
      <c r="N101" s="7">
        <f t="shared" si="48"/>
        <v>0</v>
      </c>
      <c r="O101" s="11"/>
      <c r="P101" s="6">
        <v>13800</v>
      </c>
      <c r="Q101" s="2"/>
      <c r="R101" s="7">
        <f t="shared" si="49"/>
        <v>4.2153820500638213E-3</v>
      </c>
      <c r="S101" s="2"/>
      <c r="T101" s="6">
        <v>13800</v>
      </c>
      <c r="U101" s="2"/>
      <c r="V101" s="7">
        <f t="shared" si="50"/>
        <v>4.1786753114778519E-3</v>
      </c>
      <c r="W101" s="2"/>
      <c r="X101" s="6">
        <f t="shared" si="51"/>
        <v>0</v>
      </c>
      <c r="Y101" s="2"/>
      <c r="Z101" s="7">
        <f t="shared" si="52"/>
        <v>0</v>
      </c>
    </row>
    <row r="102" spans="1:26" s="27" customFormat="1" outlineLevel="1" collapsed="1" x14ac:dyDescent="0.25">
      <c r="A102" s="26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43.62</v>
      </c>
      <c r="E102" s="1"/>
      <c r="F102" s="5">
        <f t="shared" si="45"/>
        <v>3.03894192987443E-4</v>
      </c>
      <c r="G102" s="1"/>
      <c r="H102" s="1">
        <f>SUM(OSRRefH22_9x_0)</f>
        <v>140</v>
      </c>
      <c r="I102" s="1"/>
      <c r="J102" s="5">
        <f t="shared" si="46"/>
        <v>1.3269387522984474E-3</v>
      </c>
      <c r="K102" s="1"/>
      <c r="L102" s="1">
        <f t="shared" si="47"/>
        <v>-96.38</v>
      </c>
      <c r="M102" s="1"/>
      <c r="N102" s="5">
        <f t="shared" si="48"/>
        <v>-0.68842857142857139</v>
      </c>
      <c r="O102" s="13"/>
      <c r="P102" s="1">
        <f>SUM(OSRRefP22_9x_0)</f>
        <v>186.78</v>
      </c>
      <c r="Q102" s="1"/>
      <c r="R102" s="5">
        <f t="shared" si="49"/>
        <v>5.7054279660211628E-5</v>
      </c>
      <c r="S102" s="1"/>
      <c r="T102" s="1">
        <f>SUM(OSRRefT22_9x_0)</f>
        <v>3120</v>
      </c>
      <c r="U102" s="1"/>
      <c r="V102" s="5">
        <f t="shared" si="50"/>
        <v>9.447439834645579E-4</v>
      </c>
      <c r="W102" s="1"/>
      <c r="X102" s="1">
        <f t="shared" si="51"/>
        <v>-2933.22</v>
      </c>
      <c r="Y102" s="1"/>
      <c r="Z102" s="5">
        <f t="shared" si="52"/>
        <v>-0.94013461538461529</v>
      </c>
    </row>
    <row r="103" spans="1:26" s="24" customFormat="1" hidden="1" outlineLevel="2" x14ac:dyDescent="0.25">
      <c r="A103" s="25"/>
      <c r="B103" s="11" t="str">
        <f>CONCATENATE("          ", "6372", " - ", "COMPUTER HARDWARE MAINTENANCE")</f>
        <v xml:space="preserve">          6372 - COMPUTER HARDWARE MAINTENANCE</v>
      </c>
      <c r="C103" s="11"/>
      <c r="D103" s="6"/>
      <c r="E103" s="2"/>
      <c r="F103" s="7">
        <f t="shared" si="45"/>
        <v>0</v>
      </c>
      <c r="G103" s="2"/>
      <c r="H103" s="6"/>
      <c r="I103" s="2"/>
      <c r="J103" s="7">
        <f t="shared" si="46"/>
        <v>0</v>
      </c>
      <c r="K103" s="2"/>
      <c r="L103" s="6">
        <f t="shared" si="47"/>
        <v>0</v>
      </c>
      <c r="M103" s="2"/>
      <c r="N103" s="7">
        <f t="shared" si="48"/>
        <v>0</v>
      </c>
      <c r="O103" s="11"/>
      <c r="P103" s="6"/>
      <c r="Q103" s="2"/>
      <c r="R103" s="7">
        <f t="shared" si="49"/>
        <v>0</v>
      </c>
      <c r="S103" s="2"/>
      <c r="T103" s="6">
        <v>2000</v>
      </c>
      <c r="U103" s="2"/>
      <c r="V103" s="7">
        <f t="shared" si="50"/>
        <v>6.0560511760548584E-4</v>
      </c>
      <c r="W103" s="2"/>
      <c r="X103" s="6">
        <f t="shared" si="51"/>
        <v>-2000</v>
      </c>
      <c r="Y103" s="2"/>
      <c r="Z103" s="7">
        <f t="shared" si="52"/>
        <v>-1</v>
      </c>
    </row>
    <row r="104" spans="1:26" s="24" customFormat="1" hidden="1" outlineLevel="2" x14ac:dyDescent="0.25">
      <c r="A104" s="25"/>
      <c r="B104" s="11" t="str">
        <f>CONCATENATE("          ", "6373", " - ", "MAINTENANCE CONTRACTS")</f>
        <v xml:space="preserve">          6373 - MAINTENANCE CONTRACTS</v>
      </c>
      <c r="C104" s="11"/>
      <c r="D104" s="6">
        <v>43.62</v>
      </c>
      <c r="E104" s="2"/>
      <c r="F104" s="7">
        <f t="shared" si="45"/>
        <v>3.03894192987443E-4</v>
      </c>
      <c r="G104" s="2"/>
      <c r="H104" s="6">
        <v>40</v>
      </c>
      <c r="I104" s="2"/>
      <c r="J104" s="7">
        <f t="shared" si="46"/>
        <v>3.7912535779955644E-4</v>
      </c>
      <c r="K104" s="2"/>
      <c r="L104" s="6">
        <f t="shared" si="47"/>
        <v>3.6199999999999974</v>
      </c>
      <c r="M104" s="2"/>
      <c r="N104" s="7">
        <f t="shared" si="48"/>
        <v>9.0499999999999942E-2</v>
      </c>
      <c r="O104" s="11"/>
      <c r="P104" s="6">
        <v>186.78</v>
      </c>
      <c r="Q104" s="2"/>
      <c r="R104" s="7">
        <f t="shared" si="49"/>
        <v>5.7054279660211628E-5</v>
      </c>
      <c r="S104" s="2"/>
      <c r="T104" s="6">
        <v>320</v>
      </c>
      <c r="U104" s="2"/>
      <c r="V104" s="7">
        <f t="shared" si="50"/>
        <v>9.6896818816877734E-5</v>
      </c>
      <c r="W104" s="2"/>
      <c r="X104" s="6">
        <f t="shared" si="51"/>
        <v>-133.22</v>
      </c>
      <c r="Y104" s="2"/>
      <c r="Z104" s="7">
        <f t="shared" si="52"/>
        <v>-0.41631249999999997</v>
      </c>
    </row>
    <row r="105" spans="1:26" s="24" customFormat="1" hidden="1" outlineLevel="2" x14ac:dyDescent="0.25">
      <c r="A105" s="25"/>
      <c r="B105" s="11" t="str">
        <f>CONCATENATE("          ", "6375", " - ", "OUTSIDE REPAIRS &amp; MAINTENANCE")</f>
        <v xml:space="preserve">          6375 - OUTSIDE REPAIRS &amp; MAINTENANCE</v>
      </c>
      <c r="C105" s="11"/>
      <c r="D105" s="6"/>
      <c r="E105" s="2"/>
      <c r="F105" s="7">
        <f t="shared" si="45"/>
        <v>0</v>
      </c>
      <c r="G105" s="2"/>
      <c r="H105" s="6">
        <v>100</v>
      </c>
      <c r="I105" s="2"/>
      <c r="J105" s="7">
        <f t="shared" si="46"/>
        <v>9.4781339449889106E-4</v>
      </c>
      <c r="K105" s="2"/>
      <c r="L105" s="6">
        <f t="shared" si="47"/>
        <v>-100</v>
      </c>
      <c r="M105" s="2"/>
      <c r="N105" s="7">
        <f t="shared" si="48"/>
        <v>-1</v>
      </c>
      <c r="O105" s="11"/>
      <c r="P105" s="6"/>
      <c r="Q105" s="2"/>
      <c r="R105" s="7">
        <f t="shared" si="49"/>
        <v>0</v>
      </c>
      <c r="S105" s="2"/>
      <c r="T105" s="6">
        <v>800</v>
      </c>
      <c r="U105" s="2"/>
      <c r="V105" s="7">
        <f t="shared" si="50"/>
        <v>2.4224204704219432E-4</v>
      </c>
      <c r="W105" s="2"/>
      <c r="X105" s="6">
        <f t="shared" si="51"/>
        <v>-800</v>
      </c>
      <c r="Y105" s="2"/>
      <c r="Z105" s="7">
        <f t="shared" si="52"/>
        <v>-1</v>
      </c>
    </row>
    <row r="106" spans="1:26" s="27" customFormat="1" outlineLevel="1" collapsed="1" x14ac:dyDescent="0.25">
      <c r="A106" s="26"/>
      <c r="B106" s="13" t="str">
        <f>CONCATENATE("     ","Subscriptions &amp; Dues                              ")</f>
        <v xml:space="preserve">     Subscriptions &amp; Dues                              </v>
      </c>
      <c r="C106" s="13"/>
      <c r="D106" s="1">
        <f>SUM(OSRRefD22_10x_0)</f>
        <v>506.44</v>
      </c>
      <c r="E106" s="1"/>
      <c r="F106" s="5">
        <f t="shared" ref="F106:F111" si="53">IF(D$12=0,0,D106/D$12)</f>
        <v>3.5282937894672317E-3</v>
      </c>
      <c r="G106" s="1"/>
      <c r="H106" s="1">
        <f>SUM(OSRRefH22_10x_0)</f>
        <v>300</v>
      </c>
      <c r="I106" s="1"/>
      <c r="J106" s="5">
        <f t="shared" ref="J106:J111" si="54">IF(H$12=0,0,H106/H$12)</f>
        <v>2.8434401834966732E-3</v>
      </c>
      <c r="K106" s="1"/>
      <c r="L106" s="1">
        <f t="shared" ref="L106:L111" si="55">+D106-H106</f>
        <v>206.44</v>
      </c>
      <c r="M106" s="1"/>
      <c r="N106" s="5">
        <f t="shared" ref="N106:N111" si="56">IF(H106=0,0,L106/H106)</f>
        <v>0.68813333333333337</v>
      </c>
      <c r="O106" s="13"/>
      <c r="P106" s="1">
        <f>SUM(OSRRefP22_10x_0)</f>
        <v>2321.94</v>
      </c>
      <c r="Q106" s="1"/>
      <c r="R106" s="5">
        <f t="shared" ref="R106:R111" si="57">IF(P$12=0,0,P106/P$12)</f>
        <v>7.0926552154530352E-4</v>
      </c>
      <c r="S106" s="1"/>
      <c r="T106" s="1">
        <f>SUM(OSRRefT22_10x_0)</f>
        <v>6700</v>
      </c>
      <c r="U106" s="1"/>
      <c r="V106" s="5">
        <f t="shared" ref="V106:V111" si="58">IF(T$12=0,0,T106/T$12)</f>
        <v>2.0287771439783777E-3</v>
      </c>
      <c r="W106" s="1"/>
      <c r="X106" s="1">
        <f t="shared" ref="X106:X111" si="59">+P106-T106</f>
        <v>-4378.0599999999995</v>
      </c>
      <c r="Y106" s="1"/>
      <c r="Z106" s="5">
        <f t="shared" ref="Z106:Z111" si="60">IF(T106=0,0,X106/T106)</f>
        <v>-0.65344179104477607</v>
      </c>
    </row>
    <row r="107" spans="1:26" s="24" customFormat="1" hidden="1" outlineLevel="2" x14ac:dyDescent="0.25">
      <c r="A107" s="25"/>
      <c r="B107" s="11" t="str">
        <f>CONCATENATE("          ", "6258", " - ", "MEMBERSHIP DUES")</f>
        <v xml:space="preserve">          6258 - MEMBERSHIP DUES</v>
      </c>
      <c r="C107" s="11"/>
      <c r="D107" s="6">
        <v>506.44</v>
      </c>
      <c r="E107" s="2"/>
      <c r="F107" s="7">
        <f t="shared" si="53"/>
        <v>3.5282937894672317E-3</v>
      </c>
      <c r="G107" s="2"/>
      <c r="H107" s="6">
        <v>300</v>
      </c>
      <c r="I107" s="2"/>
      <c r="J107" s="7">
        <f t="shared" si="54"/>
        <v>2.8434401834966732E-3</v>
      </c>
      <c r="K107" s="2"/>
      <c r="L107" s="6">
        <f t="shared" si="55"/>
        <v>206.44</v>
      </c>
      <c r="M107" s="2"/>
      <c r="N107" s="7">
        <f t="shared" si="56"/>
        <v>0.68813333333333337</v>
      </c>
      <c r="O107" s="11"/>
      <c r="P107" s="6">
        <v>2321.94</v>
      </c>
      <c r="Q107" s="2"/>
      <c r="R107" s="7">
        <f t="shared" si="57"/>
        <v>7.0926552154530352E-4</v>
      </c>
      <c r="S107" s="2"/>
      <c r="T107" s="6">
        <v>6700</v>
      </c>
      <c r="U107" s="2"/>
      <c r="V107" s="7">
        <f t="shared" si="58"/>
        <v>2.0287771439783777E-3</v>
      </c>
      <c r="W107" s="2"/>
      <c r="X107" s="6">
        <f t="shared" si="59"/>
        <v>-4378.0599999999995</v>
      </c>
      <c r="Y107" s="2"/>
      <c r="Z107" s="7">
        <f t="shared" si="60"/>
        <v>-0.65344179104477607</v>
      </c>
    </row>
    <row r="108" spans="1:26" s="27" customFormat="1" outlineLevel="1" collapsed="1" x14ac:dyDescent="0.25">
      <c r="A108" s="26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1393.8600000000001</v>
      </c>
      <c r="E108" s="1"/>
      <c r="F108" s="5">
        <f t="shared" si="53"/>
        <v>9.7108198037019113E-3</v>
      </c>
      <c r="G108" s="1"/>
      <c r="H108" s="1">
        <f>SUM(OSRRefH22_11x_0)</f>
        <v>3600</v>
      </c>
      <c r="I108" s="1"/>
      <c r="J108" s="5">
        <f t="shared" si="54"/>
        <v>3.4121282201960076E-2</v>
      </c>
      <c r="K108" s="1"/>
      <c r="L108" s="1">
        <f t="shared" si="55"/>
        <v>-2206.14</v>
      </c>
      <c r="M108" s="1"/>
      <c r="N108" s="5">
        <f t="shared" si="56"/>
        <v>-0.61281666666666668</v>
      </c>
      <c r="O108" s="13"/>
      <c r="P108" s="1">
        <f>SUM(OSRRefP22_11x_0)</f>
        <v>11037.189999999999</v>
      </c>
      <c r="Q108" s="1"/>
      <c r="R108" s="5">
        <f t="shared" si="57"/>
        <v>3.3714472905176738E-3</v>
      </c>
      <c r="S108" s="1"/>
      <c r="T108" s="1">
        <f>SUM(OSRRefT22_11x_0)</f>
        <v>16850</v>
      </c>
      <c r="U108" s="1"/>
      <c r="V108" s="5">
        <f t="shared" si="58"/>
        <v>5.1022231158262179E-3</v>
      </c>
      <c r="W108" s="1"/>
      <c r="X108" s="1">
        <f t="shared" si="59"/>
        <v>-5812.8100000000013</v>
      </c>
      <c r="Y108" s="1"/>
      <c r="Z108" s="5">
        <f t="shared" si="60"/>
        <v>-0.34497388724035616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140.94</v>
      </c>
      <c r="E109" s="2"/>
      <c r="F109" s="7">
        <f t="shared" si="53"/>
        <v>9.8190847225241218E-4</v>
      </c>
      <c r="G109" s="2"/>
      <c r="H109" s="6">
        <v>2000</v>
      </c>
      <c r="I109" s="2"/>
      <c r="J109" s="7">
        <f t="shared" si="54"/>
        <v>1.8956267889977819E-2</v>
      </c>
      <c r="K109" s="2"/>
      <c r="L109" s="6">
        <f t="shared" si="55"/>
        <v>-1859.06</v>
      </c>
      <c r="M109" s="2"/>
      <c r="N109" s="7">
        <f t="shared" si="56"/>
        <v>-0.92952999999999997</v>
      </c>
      <c r="O109" s="11"/>
      <c r="P109" s="6">
        <v>3945.15</v>
      </c>
      <c r="Q109" s="2"/>
      <c r="R109" s="7">
        <f t="shared" si="57"/>
        <v>1.2050952532470496E-3</v>
      </c>
      <c r="S109" s="2"/>
      <c r="T109" s="6">
        <v>6950</v>
      </c>
      <c r="U109" s="2"/>
      <c r="V109" s="7">
        <f t="shared" si="58"/>
        <v>2.104477783679063E-3</v>
      </c>
      <c r="W109" s="2"/>
      <c r="X109" s="6">
        <f t="shared" si="59"/>
        <v>-3004.85</v>
      </c>
      <c r="Y109" s="2"/>
      <c r="Z109" s="7">
        <f t="shared" si="60"/>
        <v>-0.43235251798561147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6"/>
      <c r="E110" s="2"/>
      <c r="F110" s="7">
        <f t="shared" si="53"/>
        <v>0</v>
      </c>
      <c r="G110" s="2"/>
      <c r="H110" s="6">
        <v>100</v>
      </c>
      <c r="I110" s="2"/>
      <c r="J110" s="7">
        <f t="shared" si="54"/>
        <v>9.4781339449889106E-4</v>
      </c>
      <c r="K110" s="2"/>
      <c r="L110" s="6">
        <f t="shared" si="55"/>
        <v>-100</v>
      </c>
      <c r="M110" s="2"/>
      <c r="N110" s="7">
        <f t="shared" si="56"/>
        <v>-1</v>
      </c>
      <c r="O110" s="11"/>
      <c r="P110" s="6">
        <v>4978.08</v>
      </c>
      <c r="Q110" s="2"/>
      <c r="R110" s="7">
        <f t="shared" si="57"/>
        <v>1.5206165996943266E-3</v>
      </c>
      <c r="S110" s="2"/>
      <c r="T110" s="6">
        <v>2000</v>
      </c>
      <c r="U110" s="2"/>
      <c r="V110" s="7">
        <f t="shared" si="58"/>
        <v>6.0560511760548584E-4</v>
      </c>
      <c r="W110" s="2"/>
      <c r="X110" s="6">
        <f t="shared" si="59"/>
        <v>2978.08</v>
      </c>
      <c r="Y110" s="2"/>
      <c r="Z110" s="7">
        <f t="shared" si="60"/>
        <v>1.4890399999999999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6">
        <v>1252.92</v>
      </c>
      <c r="E111" s="2"/>
      <c r="F111" s="7">
        <f t="shared" si="53"/>
        <v>8.7289113314494987E-3</v>
      </c>
      <c r="G111" s="2"/>
      <c r="H111" s="6">
        <v>1500</v>
      </c>
      <c r="I111" s="2"/>
      <c r="J111" s="7">
        <f t="shared" si="54"/>
        <v>1.4217200917483366E-2</v>
      </c>
      <c r="K111" s="2"/>
      <c r="L111" s="6">
        <f t="shared" si="55"/>
        <v>-247.07999999999993</v>
      </c>
      <c r="M111" s="2"/>
      <c r="N111" s="7">
        <f t="shared" si="56"/>
        <v>-0.16471999999999995</v>
      </c>
      <c r="O111" s="11"/>
      <c r="P111" s="6">
        <v>2113.96</v>
      </c>
      <c r="Q111" s="2"/>
      <c r="R111" s="7">
        <f t="shared" si="57"/>
        <v>6.4573543757629826E-4</v>
      </c>
      <c r="S111" s="2"/>
      <c r="T111" s="6">
        <v>7900</v>
      </c>
      <c r="U111" s="2"/>
      <c r="V111" s="7">
        <f t="shared" si="58"/>
        <v>2.3921402145416688E-3</v>
      </c>
      <c r="W111" s="2"/>
      <c r="X111" s="6">
        <f t="shared" si="59"/>
        <v>-5786.04</v>
      </c>
      <c r="Y111" s="2"/>
      <c r="Z111" s="7">
        <f t="shared" si="60"/>
        <v>-0.73241012658227844</v>
      </c>
    </row>
    <row r="112" spans="1:26" s="27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SUM(OSRRefD22_12x_0)</f>
        <v>289.85000000000002</v>
      </c>
      <c r="E112" s="1"/>
      <c r="F112" s="5">
        <f t="shared" ref="F112:F114" si="61">IF(D$12=0,0,D112/D$12)</f>
        <v>2.0193427748145432E-3</v>
      </c>
      <c r="G112" s="1"/>
      <c r="H112" s="1">
        <f>SUM(OSRRefH22_12x_0)</f>
        <v>600</v>
      </c>
      <c r="I112" s="1"/>
      <c r="J112" s="5">
        <f t="shared" ref="J112:J114" si="62">IF(H$12=0,0,H112/H$12)</f>
        <v>5.6868803669933464E-3</v>
      </c>
      <c r="K112" s="1"/>
      <c r="L112" s="1">
        <f t="shared" ref="L112:L114" si="63">+D112-H112</f>
        <v>-310.14999999999998</v>
      </c>
      <c r="M112" s="1"/>
      <c r="N112" s="5">
        <f t="shared" ref="N112:N114" si="64">IF(H112=0,0,L112/H112)</f>
        <v>-0.51691666666666658</v>
      </c>
      <c r="O112" s="13"/>
      <c r="P112" s="1">
        <f>SUM(OSRRefP22_12x_0)</f>
        <v>6200.24</v>
      </c>
      <c r="Q112" s="1"/>
      <c r="R112" s="5">
        <f t="shared" ref="R112:R114" si="65">IF(P$12=0,0,P112/P$12)</f>
        <v>1.8939406088469351E-3</v>
      </c>
      <c r="S112" s="1"/>
      <c r="T112" s="1">
        <f>SUM(OSRRefT22_12x_0)</f>
        <v>7100</v>
      </c>
      <c r="U112" s="1"/>
      <c r="V112" s="5">
        <f t="shared" ref="V112:V114" si="66">IF(T$12=0,0,T112/T$12)</f>
        <v>2.1498981674994747E-3</v>
      </c>
      <c r="W112" s="1"/>
      <c r="X112" s="1">
        <f t="shared" ref="X112:X114" si="67">+P112-T112</f>
        <v>-899.76000000000022</v>
      </c>
      <c r="Y112" s="1"/>
      <c r="Z112" s="5">
        <f t="shared" ref="Z112:Z114" si="68">IF(T112=0,0,X112/T112)</f>
        <v>-0.12672676056338031</v>
      </c>
    </row>
    <row r="113" spans="1:26" s="24" customFormat="1" hidden="1" outlineLevel="2" x14ac:dyDescent="0.25">
      <c r="A113" s="25"/>
      <c r="B113" s="11" t="str">
        <f>CONCATENATE("          ", "6303", " - ", "DATA PHONE LINES")</f>
        <v xml:space="preserve">          6303 - DATA PHONE LINES</v>
      </c>
      <c r="C113" s="11"/>
      <c r="D113" s="6">
        <v>295</v>
      </c>
      <c r="E113" s="2"/>
      <c r="F113" s="7">
        <f t="shared" si="61"/>
        <v>2.0552220754538214E-3</v>
      </c>
      <c r="G113" s="2"/>
      <c r="H113" s="6">
        <v>300</v>
      </c>
      <c r="I113" s="2"/>
      <c r="J113" s="7">
        <f t="shared" si="62"/>
        <v>2.8434401834966732E-3</v>
      </c>
      <c r="K113" s="2"/>
      <c r="L113" s="6">
        <f t="shared" si="63"/>
        <v>-5</v>
      </c>
      <c r="M113" s="2"/>
      <c r="N113" s="7">
        <f t="shared" si="64"/>
        <v>-1.6666666666666666E-2</v>
      </c>
      <c r="O113" s="11"/>
      <c r="P113" s="6">
        <v>2360</v>
      </c>
      <c r="Q113" s="2"/>
      <c r="R113" s="7">
        <f t="shared" si="65"/>
        <v>7.208914230543926E-4</v>
      </c>
      <c r="S113" s="2"/>
      <c r="T113" s="6">
        <v>2400</v>
      </c>
      <c r="U113" s="2"/>
      <c r="V113" s="7">
        <f t="shared" si="66"/>
        <v>7.2672614112658299E-4</v>
      </c>
      <c r="W113" s="2"/>
      <c r="X113" s="6">
        <f t="shared" si="67"/>
        <v>-40</v>
      </c>
      <c r="Y113" s="2"/>
      <c r="Z113" s="7">
        <f t="shared" si="68"/>
        <v>-1.6666666666666666E-2</v>
      </c>
    </row>
    <row r="114" spans="1:26" s="24" customFormat="1" hidden="1" outlineLevel="2" x14ac:dyDescent="0.25">
      <c r="A114" s="25"/>
      <c r="B114" s="11" t="str">
        <f>CONCATENATE("          ", "6309", " - ", "TELEPHONE")</f>
        <v xml:space="preserve">          6309 - TELEPHONE</v>
      </c>
      <c r="C114" s="11"/>
      <c r="D114" s="6">
        <v>-5.15</v>
      </c>
      <c r="E114" s="2"/>
      <c r="F114" s="7">
        <f t="shared" si="61"/>
        <v>-3.5879300639278581E-5</v>
      </c>
      <c r="G114" s="2"/>
      <c r="H114" s="6">
        <v>300</v>
      </c>
      <c r="I114" s="2"/>
      <c r="J114" s="7">
        <f t="shared" si="62"/>
        <v>2.8434401834966732E-3</v>
      </c>
      <c r="K114" s="2"/>
      <c r="L114" s="6">
        <f t="shared" si="63"/>
        <v>-305.14999999999998</v>
      </c>
      <c r="M114" s="2"/>
      <c r="N114" s="7">
        <f t="shared" si="64"/>
        <v>-1.0171666666666666</v>
      </c>
      <c r="O114" s="11"/>
      <c r="P114" s="6">
        <v>3840.24</v>
      </c>
      <c r="Q114" s="2"/>
      <c r="R114" s="7">
        <f t="shared" si="65"/>
        <v>1.1730491857925426E-3</v>
      </c>
      <c r="S114" s="2"/>
      <c r="T114" s="6">
        <v>4700</v>
      </c>
      <c r="U114" s="2"/>
      <c r="V114" s="7">
        <f t="shared" si="66"/>
        <v>1.4231720263728916E-3</v>
      </c>
      <c r="W114" s="2"/>
      <c r="X114" s="6">
        <f t="shared" si="67"/>
        <v>-859.76000000000022</v>
      </c>
      <c r="Y114" s="2"/>
      <c r="Z114" s="7">
        <f t="shared" si="68"/>
        <v>-0.18292765957446813</v>
      </c>
    </row>
    <row r="115" spans="1:26" s="27" customFormat="1" outlineLevel="1" collapsed="1" x14ac:dyDescent="0.25">
      <c r="A115" s="26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SUM(OSRRefD22_13x_0)</f>
        <v>1868.88</v>
      </c>
      <c r="E115" s="1"/>
      <c r="F115" s="5">
        <f t="shared" ref="F115:F119" si="69">IF(D$12=0,0,D115/D$12)</f>
        <v>1.3020215024997079E-2</v>
      </c>
      <c r="G115" s="1"/>
      <c r="H115" s="1">
        <f>SUM(OSRRefH22_13x_0)</f>
        <v>1300</v>
      </c>
      <c r="I115" s="1"/>
      <c r="J115" s="5">
        <f t="shared" ref="J115:J119" si="70">IF(H$12=0,0,H115/H$12)</f>
        <v>1.2321574128485583E-2</v>
      </c>
      <c r="K115" s="1"/>
      <c r="L115" s="1">
        <f t="shared" ref="L115:L119" si="71">+D115-H115</f>
        <v>568.88000000000011</v>
      </c>
      <c r="M115" s="1"/>
      <c r="N115" s="5">
        <f t="shared" ref="N115:N119" si="72">IF(H115=0,0,L115/H115)</f>
        <v>0.4376000000000001</v>
      </c>
      <c r="O115" s="13"/>
      <c r="P115" s="1">
        <f>SUM(OSRRefP22_13x_0)</f>
        <v>3260.35</v>
      </c>
      <c r="Q115" s="1"/>
      <c r="R115" s="5">
        <f t="shared" ref="R115:R119" si="73">IF(P$12=0,0,P115/P$12)</f>
        <v>9.9591455557431732E-4</v>
      </c>
      <c r="S115" s="1"/>
      <c r="T115" s="1">
        <f>SUM(OSRRefT22_13x_0)</f>
        <v>3900</v>
      </c>
      <c r="U115" s="1"/>
      <c r="V115" s="5">
        <f t="shared" ref="V115:V119" si="74">IF(T$12=0,0,T115/T$12)</f>
        <v>1.1809299793306973E-3</v>
      </c>
      <c r="W115" s="1"/>
      <c r="X115" s="1">
        <f t="shared" ref="X115:X119" si="75">+P115-T115</f>
        <v>-639.65000000000009</v>
      </c>
      <c r="Y115" s="1"/>
      <c r="Z115" s="5">
        <f t="shared" ref="Z115:Z119" si="76">IF(T115=0,0,X115/T115)</f>
        <v>-0.16401282051282054</v>
      </c>
    </row>
    <row r="116" spans="1:26" s="24" customFormat="1" hidden="1" outlineLevel="2" x14ac:dyDescent="0.25">
      <c r="A116" s="25"/>
      <c r="B116" s="11" t="str">
        <f>CONCATENATE("          ", "6376", " - ", "TRAINING")</f>
        <v xml:space="preserve">          6376 - TRAINING</v>
      </c>
      <c r="C116" s="11"/>
      <c r="D116" s="6">
        <v>1868.88</v>
      </c>
      <c r="E116" s="2"/>
      <c r="F116" s="7">
        <f t="shared" si="69"/>
        <v>1.3020215024997079E-2</v>
      </c>
      <c r="G116" s="2"/>
      <c r="H116" s="6">
        <v>1300</v>
      </c>
      <c r="I116" s="2"/>
      <c r="J116" s="7">
        <f t="shared" si="70"/>
        <v>1.2321574128485583E-2</v>
      </c>
      <c r="K116" s="2"/>
      <c r="L116" s="6">
        <f t="shared" si="71"/>
        <v>568.88000000000011</v>
      </c>
      <c r="M116" s="2"/>
      <c r="N116" s="7">
        <f t="shared" si="72"/>
        <v>0.4376000000000001</v>
      </c>
      <c r="O116" s="11"/>
      <c r="P116" s="6">
        <v>3260.35</v>
      </c>
      <c r="Q116" s="2"/>
      <c r="R116" s="7">
        <f t="shared" si="73"/>
        <v>9.9591455557431732E-4</v>
      </c>
      <c r="S116" s="2"/>
      <c r="T116" s="6">
        <v>3900</v>
      </c>
      <c r="U116" s="2"/>
      <c r="V116" s="7">
        <f t="shared" si="74"/>
        <v>1.1809299793306973E-3</v>
      </c>
      <c r="W116" s="2"/>
      <c r="X116" s="6">
        <f t="shared" si="75"/>
        <v>-639.65000000000009</v>
      </c>
      <c r="Y116" s="2"/>
      <c r="Z116" s="7">
        <f t="shared" si="76"/>
        <v>-0.16401282051282054</v>
      </c>
    </row>
    <row r="117" spans="1:26" s="27" customFormat="1" outlineLevel="1" collapsed="1" x14ac:dyDescent="0.25">
      <c r="A117" s="26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SUM(OSRRefD22_14x_0)</f>
        <v>0</v>
      </c>
      <c r="E117" s="1"/>
      <c r="F117" s="5">
        <f t="shared" si="69"/>
        <v>0</v>
      </c>
      <c r="G117" s="1"/>
      <c r="H117" s="1">
        <f>SUM(OSRRefH22_14x_0)</f>
        <v>100</v>
      </c>
      <c r="I117" s="1"/>
      <c r="J117" s="5">
        <f t="shared" si="70"/>
        <v>9.4781339449889106E-4</v>
      </c>
      <c r="K117" s="1"/>
      <c r="L117" s="1">
        <f t="shared" si="71"/>
        <v>-100</v>
      </c>
      <c r="M117" s="1"/>
      <c r="N117" s="5">
        <f t="shared" si="72"/>
        <v>-1</v>
      </c>
      <c r="O117" s="13"/>
      <c r="P117" s="1">
        <f>SUM(OSRRefP22_14x_0)</f>
        <v>83.93</v>
      </c>
      <c r="Q117" s="1"/>
      <c r="R117" s="5">
        <f t="shared" si="73"/>
        <v>2.5637464888540328E-5</v>
      </c>
      <c r="S117" s="1"/>
      <c r="T117" s="1">
        <f>SUM(OSRRefT22_14x_0)</f>
        <v>550</v>
      </c>
      <c r="U117" s="1"/>
      <c r="V117" s="5">
        <f t="shared" si="74"/>
        <v>1.6654140734150859E-4</v>
      </c>
      <c r="W117" s="1"/>
      <c r="X117" s="1">
        <f t="shared" si="75"/>
        <v>-466.07</v>
      </c>
      <c r="Y117" s="1"/>
      <c r="Z117" s="5">
        <f t="shared" si="76"/>
        <v>-0.84740000000000004</v>
      </c>
    </row>
    <row r="118" spans="1:26" s="24" customFormat="1" hidden="1" outlineLevel="2" x14ac:dyDescent="0.25">
      <c r="A118" s="25"/>
      <c r="B118" s="11" t="str">
        <f>CONCATENATE("          ", "6292", " - ", "TRAVEL/CONFERENCE")</f>
        <v xml:space="preserve">          6292 - TRAVEL/CONFERENCE</v>
      </c>
      <c r="C118" s="11"/>
      <c r="D118" s="6"/>
      <c r="E118" s="2"/>
      <c r="F118" s="7">
        <f t="shared" si="69"/>
        <v>0</v>
      </c>
      <c r="G118" s="2"/>
      <c r="H118" s="6"/>
      <c r="I118" s="2"/>
      <c r="J118" s="7">
        <f t="shared" si="70"/>
        <v>0</v>
      </c>
      <c r="K118" s="2"/>
      <c r="L118" s="6">
        <f t="shared" si="71"/>
        <v>0</v>
      </c>
      <c r="M118" s="2"/>
      <c r="N118" s="7">
        <f t="shared" si="72"/>
        <v>0</v>
      </c>
      <c r="O118" s="11"/>
      <c r="P118" s="6">
        <v>83.93</v>
      </c>
      <c r="Q118" s="2"/>
      <c r="R118" s="7">
        <f t="shared" si="73"/>
        <v>2.5637464888540328E-5</v>
      </c>
      <c r="S118" s="2"/>
      <c r="T118" s="6"/>
      <c r="U118" s="2"/>
      <c r="V118" s="7">
        <f t="shared" si="74"/>
        <v>0</v>
      </c>
      <c r="W118" s="2"/>
      <c r="X118" s="6">
        <f t="shared" si="75"/>
        <v>83.93</v>
      </c>
      <c r="Y118" s="2"/>
      <c r="Z118" s="7">
        <f t="shared" si="76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6"/>
      <c r="E119" s="2"/>
      <c r="F119" s="7">
        <f t="shared" si="69"/>
        <v>0</v>
      </c>
      <c r="G119" s="2"/>
      <c r="H119" s="6">
        <v>100</v>
      </c>
      <c r="I119" s="2"/>
      <c r="J119" s="7">
        <f t="shared" si="70"/>
        <v>9.4781339449889106E-4</v>
      </c>
      <c r="K119" s="2"/>
      <c r="L119" s="6">
        <f t="shared" si="71"/>
        <v>-100</v>
      </c>
      <c r="M119" s="2"/>
      <c r="N119" s="7">
        <f t="shared" si="72"/>
        <v>-1</v>
      </c>
      <c r="O119" s="11"/>
      <c r="P119" s="6"/>
      <c r="Q119" s="2"/>
      <c r="R119" s="7">
        <f t="shared" si="73"/>
        <v>0</v>
      </c>
      <c r="S119" s="2"/>
      <c r="T119" s="6">
        <v>550</v>
      </c>
      <c r="U119" s="2"/>
      <c r="V119" s="7">
        <f t="shared" si="74"/>
        <v>1.6654140734150859E-4</v>
      </c>
      <c r="W119" s="2"/>
      <c r="X119" s="6">
        <f t="shared" si="75"/>
        <v>-550</v>
      </c>
      <c r="Y119" s="2"/>
      <c r="Z119" s="7">
        <f t="shared" si="76"/>
        <v>-1</v>
      </c>
    </row>
    <row r="120" spans="1:26" s="5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9" t="s">
        <v>0</v>
      </c>
      <c r="C121" s="10"/>
      <c r="D121" s="4">
        <f>SUM(OSRRefD25x_0)</f>
        <v>78928.62000000001</v>
      </c>
      <c r="E121" s="4"/>
      <c r="F121" s="12">
        <f t="shared" ref="F121:F125" si="77">IF(D$12=0,0,D121/D$12)</f>
        <v>0.54988421087832551</v>
      </c>
      <c r="G121" s="4"/>
      <c r="H121" s="4">
        <f>SUM(OSRRefH25x_0)</f>
        <v>75000</v>
      </c>
      <c r="I121" s="4"/>
      <c r="J121" s="12">
        <f t="shared" ref="J121:J125" si="78">IF(H$12=0,0,H121/H$12)</f>
        <v>0.71086004587416829</v>
      </c>
      <c r="K121" s="4"/>
      <c r="L121" s="4">
        <f t="shared" ref="L121:L125" si="79">+D121-H121</f>
        <v>3928.6200000000099</v>
      </c>
      <c r="M121" s="4"/>
      <c r="N121" s="12">
        <f t="shared" ref="N121:N125" si="80">IF(H121=0,0,L121/H121)</f>
        <v>5.2381600000000132E-2</v>
      </c>
      <c r="O121" s="10"/>
      <c r="P121" s="4">
        <f>SUM(OSRRefP25x_0)</f>
        <v>187739.28999999998</v>
      </c>
      <c r="Q121" s="4"/>
      <c r="R121" s="12">
        <f t="shared" ref="R121:R125" si="81">IF(P$12=0,0,P121/P$12)</f>
        <v>5.7347306750559865E-2</v>
      </c>
      <c r="S121" s="4"/>
      <c r="T121" s="4">
        <f>SUM(OSRRefT25x_0)</f>
        <v>173150</v>
      </c>
      <c r="U121" s="4"/>
      <c r="V121" s="12">
        <f t="shared" ref="V121:V125" si="82">IF(T$12=0,0,T121/T$12)</f>
        <v>5.2430263056694931E-2</v>
      </c>
      <c r="W121" s="4"/>
      <c r="X121" s="4">
        <f t="shared" ref="X121:X125" si="83">+P121-T121</f>
        <v>14589.289999999979</v>
      </c>
      <c r="Y121" s="4"/>
      <c r="Z121" s="12">
        <f t="shared" ref="Z121:Z125" si="84">IF(T121=0,0,X121/T121)</f>
        <v>8.4258099913369786E-2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--3860.52</f>
        <v>3860.52</v>
      </c>
      <c r="E122" s="2"/>
      <c r="F122" s="19">
        <f t="shared" si="77"/>
        <v>2.6895681107562668E-2</v>
      </c>
      <c r="G122" s="2"/>
      <c r="H122" s="2"/>
      <c r="I122" s="2"/>
      <c r="J122" s="19">
        <f t="shared" si="78"/>
        <v>0</v>
      </c>
      <c r="K122" s="2"/>
      <c r="L122" s="2">
        <f t="shared" si="79"/>
        <v>3860.52</v>
      </c>
      <c r="M122" s="2"/>
      <c r="N122" s="19">
        <f t="shared" si="80"/>
        <v>0</v>
      </c>
      <c r="O122" s="11"/>
      <c r="P122" s="2">
        <f>--20295.13</f>
        <v>20295.13</v>
      </c>
      <c r="Q122" s="2"/>
      <c r="R122" s="19">
        <f t="shared" si="81"/>
        <v>6.1994004859211417E-3</v>
      </c>
      <c r="S122" s="2"/>
      <c r="T122" s="2"/>
      <c r="U122" s="2"/>
      <c r="V122" s="19">
        <f t="shared" si="82"/>
        <v>0</v>
      </c>
      <c r="W122" s="2"/>
      <c r="X122" s="2">
        <f t="shared" si="83"/>
        <v>20295.13</v>
      </c>
      <c r="Y122" s="2"/>
      <c r="Z122" s="19">
        <f t="shared" si="84"/>
        <v>0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>--75068.1</f>
        <v>75068.100000000006</v>
      </c>
      <c r="E123" s="2"/>
      <c r="F123" s="19">
        <f t="shared" si="77"/>
        <v>0.52298852977076282</v>
      </c>
      <c r="G123" s="2"/>
      <c r="H123" s="2"/>
      <c r="I123" s="2"/>
      <c r="J123" s="19">
        <f t="shared" si="78"/>
        <v>0</v>
      </c>
      <c r="K123" s="2"/>
      <c r="L123" s="2">
        <f t="shared" si="79"/>
        <v>75068.100000000006</v>
      </c>
      <c r="M123" s="2"/>
      <c r="N123" s="19">
        <f t="shared" si="80"/>
        <v>0</v>
      </c>
      <c r="O123" s="11"/>
      <c r="P123" s="2">
        <f>--162744.3</f>
        <v>162744.29999999999</v>
      </c>
      <c r="Q123" s="2"/>
      <c r="R123" s="19">
        <f t="shared" si="81"/>
        <v>4.9712275432623292E-2</v>
      </c>
      <c r="S123" s="2"/>
      <c r="T123" s="2"/>
      <c r="U123" s="2"/>
      <c r="V123" s="19">
        <f t="shared" si="82"/>
        <v>0</v>
      </c>
      <c r="W123" s="2"/>
      <c r="X123" s="2">
        <f t="shared" si="83"/>
        <v>162744.29999999999</v>
      </c>
      <c r="Y123" s="2"/>
      <c r="Z123" s="19">
        <f t="shared" si="84"/>
        <v>0</v>
      </c>
    </row>
    <row r="124" spans="1:26" s="24" customFormat="1" hidden="1" outlineLevel="1" x14ac:dyDescent="0.25">
      <c r="A124" s="44"/>
      <c r="B124" s="11" t="str">
        <f>CONCATENATE("          ", "9152", " - ", "MISC. INCOME")</f>
        <v xml:space="preserve">          9152 - MISC. INCOME</v>
      </c>
      <c r="C124" s="11"/>
      <c r="D124" s="2">
        <f t="shared" ref="D124:D125" si="85">0</f>
        <v>0</v>
      </c>
      <c r="E124" s="2"/>
      <c r="F124" s="19">
        <f t="shared" si="77"/>
        <v>0</v>
      </c>
      <c r="G124" s="2"/>
      <c r="H124" s="2"/>
      <c r="I124" s="2"/>
      <c r="J124" s="19">
        <f t="shared" si="78"/>
        <v>0</v>
      </c>
      <c r="K124" s="2"/>
      <c r="L124" s="2">
        <f t="shared" si="79"/>
        <v>0</v>
      </c>
      <c r="M124" s="2"/>
      <c r="N124" s="19">
        <f t="shared" si="80"/>
        <v>0</v>
      </c>
      <c r="O124" s="11"/>
      <c r="P124" s="2">
        <f>--4699.86</f>
        <v>4699.8599999999997</v>
      </c>
      <c r="Q124" s="2"/>
      <c r="R124" s="19">
        <f t="shared" si="81"/>
        <v>1.435630832015431E-3</v>
      </c>
      <c r="S124" s="2"/>
      <c r="T124" s="2"/>
      <c r="U124" s="2"/>
      <c r="V124" s="19">
        <f t="shared" si="82"/>
        <v>0</v>
      </c>
      <c r="W124" s="2"/>
      <c r="X124" s="2">
        <f t="shared" si="83"/>
        <v>4699.8599999999997</v>
      </c>
      <c r="Y124" s="2"/>
      <c r="Z124" s="19">
        <f t="shared" si="84"/>
        <v>0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 t="shared" si="85"/>
        <v>0</v>
      </c>
      <c r="E125" s="2"/>
      <c r="F125" s="19">
        <f t="shared" si="77"/>
        <v>0</v>
      </c>
      <c r="G125" s="2"/>
      <c r="H125" s="2">
        <v>75000</v>
      </c>
      <c r="I125" s="2"/>
      <c r="J125" s="19">
        <f t="shared" si="78"/>
        <v>0.71086004587416829</v>
      </c>
      <c r="K125" s="2"/>
      <c r="L125" s="2">
        <f t="shared" si="79"/>
        <v>-75000</v>
      </c>
      <c r="M125" s="2"/>
      <c r="N125" s="19">
        <f t="shared" si="80"/>
        <v>-1</v>
      </c>
      <c r="O125" s="11"/>
      <c r="P125" s="2">
        <f>0</f>
        <v>0</v>
      </c>
      <c r="Q125" s="2"/>
      <c r="R125" s="19">
        <f t="shared" si="81"/>
        <v>0</v>
      </c>
      <c r="S125" s="2"/>
      <c r="T125" s="2">
        <v>173150</v>
      </c>
      <c r="U125" s="2"/>
      <c r="V125" s="19">
        <f t="shared" si="82"/>
        <v>5.2430263056694931E-2</v>
      </c>
      <c r="W125" s="2"/>
      <c r="X125" s="2">
        <f t="shared" si="83"/>
        <v>-173150</v>
      </c>
      <c r="Y125" s="2"/>
      <c r="Z125" s="19">
        <f t="shared" si="84"/>
        <v>-1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1">
        <f>+D61-D63+D121</f>
        <v>-95505.930000000037</v>
      </c>
      <c r="E127" s="14"/>
      <c r="F127" s="22">
        <f>IF(D$12=0,0,D127/D$12)</f>
        <v>-0.66537591753473713</v>
      </c>
      <c r="G127" s="14"/>
      <c r="H127" s="21">
        <f>+H61-H63+H121</f>
        <v>50260.09438602213</v>
      </c>
      <c r="I127" s="14"/>
      <c r="J127" s="22">
        <f>IF(H$12=0,0,H127/H$12)</f>
        <v>0.47637190667850293</v>
      </c>
      <c r="K127" s="15"/>
      <c r="L127" s="21">
        <f>+D127-H127</f>
        <v>-145766.02438602218</v>
      </c>
      <c r="M127" s="15"/>
      <c r="N127" s="22">
        <f>IF(H127=0,0,L127/H127)</f>
        <v>-2.9002337971446641</v>
      </c>
      <c r="O127" s="29"/>
      <c r="P127" s="21">
        <f>+P61-P63+P121</f>
        <v>779966.92999999877</v>
      </c>
      <c r="Q127" s="14"/>
      <c r="R127" s="22">
        <f>IF(P$12=0,0,P127/P$12)</f>
        <v>0.23825062292502749</v>
      </c>
      <c r="S127" s="14"/>
      <c r="T127" s="21">
        <f>+T61-T63+T121</f>
        <v>640870.84117399389</v>
      </c>
      <c r="U127" s="14"/>
      <c r="V127" s="22">
        <f>IF(T$12=0,0,T127/T$12)</f>
        <v>0.1940573305695516</v>
      </c>
      <c r="W127" s="15"/>
      <c r="X127" s="21">
        <f>+P127-T127</f>
        <v>139096.08882600488</v>
      </c>
      <c r="Y127" s="15"/>
      <c r="Z127" s="22">
        <f>IF(T127=0,0,X127/T127)</f>
        <v>0.21704231163208881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7223.02</v>
      </c>
      <c r="E129" s="4"/>
      <c r="F129" s="12">
        <f>IF(D$12=0,0,D129/D$12)</f>
        <v>5.0321729340489701E-2</v>
      </c>
      <c r="G129" s="4"/>
      <c r="H129" s="4">
        <v>3502</v>
      </c>
      <c r="I129" s="4"/>
      <c r="J129" s="12">
        <f>IF(H$12=0,0,H129/H$12)</f>
        <v>3.3192425075351167E-2</v>
      </c>
      <c r="K129" s="4"/>
      <c r="L129" s="4">
        <f>+D129-H129</f>
        <v>3721.0200000000004</v>
      </c>
      <c r="M129" s="4"/>
      <c r="N129" s="12">
        <f>IF(H129=0,0,L129/H129)</f>
        <v>1.0625414049114792</v>
      </c>
      <c r="O129" s="10"/>
      <c r="P129" s="4">
        <v>333657.27</v>
      </c>
      <c r="Q129" s="4"/>
      <c r="R129" s="12">
        <f>IF(P$12=0,0,P129/P$12)</f>
        <v>0.10191977295878971</v>
      </c>
      <c r="S129" s="4"/>
      <c r="T129" s="4">
        <v>397127</v>
      </c>
      <c r="U129" s="4"/>
      <c r="V129" s="12">
        <f>IF(T$12=0,0,T129/T$12)</f>
        <v>0.12025107176965688</v>
      </c>
      <c r="W129" s="4"/>
      <c r="X129" s="4">
        <f>+P129-T129</f>
        <v>-63469.729999999981</v>
      </c>
      <c r="Y129" s="4"/>
      <c r="Z129" s="12">
        <f>IF(T129=0,0,X129/T129)</f>
        <v>-0.15982224829840325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1">
        <f>+D127-D129</f>
        <v>-102728.95000000004</v>
      </c>
      <c r="E131" s="14"/>
      <c r="F131" s="32">
        <f>IF(D$12=0,0,D131/D$12)</f>
        <v>-0.71569764687522686</v>
      </c>
      <c r="G131" s="14"/>
      <c r="H131" s="31">
        <f>+H127-H129</f>
        <v>46758.09438602213</v>
      </c>
      <c r="I131" s="14"/>
      <c r="J131" s="32">
        <f>IF(H$12=0,0,H131/H$12)</f>
        <v>0.44317948160315179</v>
      </c>
      <c r="K131" s="15"/>
      <c r="L131" s="31">
        <f>D131-H131</f>
        <v>-149487.04438602217</v>
      </c>
      <c r="M131" s="15"/>
      <c r="N131" s="32">
        <f>IF(H131=0,0,L131/H131)</f>
        <v>-3.1970302970839173</v>
      </c>
      <c r="O131" s="29"/>
      <c r="P131" s="31">
        <f>+P127-P129</f>
        <v>446309.65999999875</v>
      </c>
      <c r="Q131" s="14"/>
      <c r="R131" s="32">
        <f>IF(P$12=0,0,P131/P$12)</f>
        <v>0.13633084996623782</v>
      </c>
      <c r="S131" s="14"/>
      <c r="T131" s="31">
        <f>+T127-T129</f>
        <v>243743.84117399389</v>
      </c>
      <c r="U131" s="14"/>
      <c r="V131" s="32">
        <f>IF(T$12=0,0,T131/T$12)</f>
        <v>7.3806258799894706E-2</v>
      </c>
      <c r="W131" s="15"/>
      <c r="X131" s="31">
        <f>P131-T131</f>
        <v>202565.81882600486</v>
      </c>
      <c r="Y131" s="15"/>
      <c r="Z131" s="32">
        <f>IF(T131=0,0,X131/T131)</f>
        <v>0.831060255103658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3">
        <f>SUM(D131:D133)</f>
        <v>-102728.95000000004</v>
      </c>
      <c r="E134" s="14"/>
      <c r="F134" s="30">
        <f>IF(D$12=0,0,D134/D$12)</f>
        <v>-0.71569764687522686</v>
      </c>
      <c r="G134" s="14"/>
      <c r="H134" s="33">
        <f>SUM(H131:H133)</f>
        <v>46758.09438602213</v>
      </c>
      <c r="I134" s="14"/>
      <c r="J134" s="30">
        <f>IF(H$12=0,0,H134/H$12)</f>
        <v>0.44317948160315179</v>
      </c>
      <c r="K134" s="15"/>
      <c r="L134" s="33">
        <f>+D134-H134</f>
        <v>-149487.04438602217</v>
      </c>
      <c r="M134" s="15"/>
      <c r="N134" s="30">
        <f>IF(H134=0,0,L134/H134)</f>
        <v>-3.1970302970839173</v>
      </c>
      <c r="O134" s="29"/>
      <c r="P134" s="33">
        <f>SUM(P131:P133)</f>
        <v>446309.65999999875</v>
      </c>
      <c r="Q134" s="14"/>
      <c r="R134" s="30">
        <f>IF(P$12=0,0,P134/P$12)</f>
        <v>0.13633084996623782</v>
      </c>
      <c r="S134" s="14"/>
      <c r="T134" s="33">
        <f>SUM(T131:T133)</f>
        <v>243743.84117399389</v>
      </c>
      <c r="U134" s="14"/>
      <c r="V134" s="30">
        <f>IF(T$12=0,0,T134/T$12)</f>
        <v>7.3806258799894706E-2</v>
      </c>
      <c r="W134" s="15"/>
      <c r="X134" s="33">
        <f>+P134-T134</f>
        <v>202565.81882600486</v>
      </c>
      <c r="Y134" s="15"/>
      <c r="Z134" s="30">
        <f>IF(T134=0,0,X134/T134)</f>
        <v>0.831060255103658</v>
      </c>
    </row>
    <row r="135" spans="1:26" ht="15.75" thickTop="1" x14ac:dyDescent="0.25">
      <c r="A135" s="9"/>
      <c r="C135" s="9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59">
        <v>43908.494659837961</v>
      </c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63" t="s">
        <v>314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7"/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60498.239999999998</v>
      </c>
      <c r="E12" s="4"/>
      <c r="F12" s="12"/>
      <c r="G12" s="4"/>
      <c r="H12" s="4">
        <f>SUM(OSRRefH13x_0)</f>
        <v>83500</v>
      </c>
      <c r="I12" s="4"/>
      <c r="J12" s="12"/>
      <c r="K12" s="4"/>
      <c r="L12" s="4">
        <f t="shared" ref="L12:L15" si="0">+D12-H12</f>
        <v>-23001.760000000002</v>
      </c>
      <c r="M12" s="4"/>
      <c r="N12" s="12">
        <f t="shared" ref="N12:N15" si="1">IF(H12=0,0,L12/H12)</f>
        <v>-0.27547017964071857</v>
      </c>
      <c r="O12" s="10"/>
      <c r="P12" s="4">
        <f>SUM(OSRRefP13x_0)</f>
        <v>1543632.12</v>
      </c>
      <c r="Q12" s="4"/>
      <c r="R12" s="12"/>
      <c r="S12" s="4"/>
      <c r="T12" s="4">
        <f>SUM(OSRRefT13x_0)</f>
        <v>2019970</v>
      </c>
      <c r="U12" s="4"/>
      <c r="V12" s="12"/>
      <c r="W12" s="4"/>
      <c r="X12" s="4">
        <f t="shared" ref="X12:X15" si="2">+P12-T12</f>
        <v>-476337.87999999989</v>
      </c>
      <c r="Y12" s="4"/>
      <c r="Z12" s="12">
        <f t="shared" ref="Z12:Z15" si="3">IF(T12=0,0,X12/T12)</f>
        <v>-0.23581433387624562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--19289.32</f>
        <v>19289.32</v>
      </c>
      <c r="E13" s="2"/>
      <c r="F13" s="19"/>
      <c r="G13" s="2"/>
      <c r="H13" s="2"/>
      <c r="I13" s="2"/>
      <c r="J13" s="19"/>
      <c r="K13" s="2"/>
      <c r="L13" s="2">
        <f t="shared" si="0"/>
        <v>19289.32</v>
      </c>
      <c r="M13" s="2"/>
      <c r="N13" s="19">
        <f t="shared" si="1"/>
        <v>0</v>
      </c>
      <c r="O13" s="11"/>
      <c r="P13" s="2">
        <f>--406996.16</f>
        <v>406996.16</v>
      </c>
      <c r="Q13" s="2"/>
      <c r="R13" s="19"/>
      <c r="S13" s="2"/>
      <c r="T13" s="2"/>
      <c r="U13" s="2"/>
      <c r="V13" s="19"/>
      <c r="W13" s="2"/>
      <c r="X13" s="2">
        <f t="shared" si="2"/>
        <v>406996.16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--18688.96</f>
        <v>18688.96</v>
      </c>
      <c r="E14" s="2"/>
      <c r="F14" s="19"/>
      <c r="G14" s="2"/>
      <c r="H14" s="2"/>
      <c r="I14" s="2"/>
      <c r="J14" s="19"/>
      <c r="K14" s="2"/>
      <c r="L14" s="2">
        <f t="shared" si="0"/>
        <v>18688.96</v>
      </c>
      <c r="M14" s="2"/>
      <c r="N14" s="19">
        <f t="shared" si="1"/>
        <v>0</v>
      </c>
      <c r="O14" s="11"/>
      <c r="P14" s="2">
        <f>--563895.84</f>
        <v>563895.84</v>
      </c>
      <c r="Q14" s="2"/>
      <c r="R14" s="19"/>
      <c r="S14" s="2"/>
      <c r="T14" s="2"/>
      <c r="U14" s="2"/>
      <c r="V14" s="19"/>
      <c r="W14" s="2"/>
      <c r="X14" s="2">
        <f t="shared" si="2"/>
        <v>563895.84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--22519.96</f>
        <v>22519.96</v>
      </c>
      <c r="E15" s="2"/>
      <c r="F15" s="19"/>
      <c r="G15" s="2"/>
      <c r="H15" s="2">
        <v>83500</v>
      </c>
      <c r="I15" s="2"/>
      <c r="J15" s="19"/>
      <c r="K15" s="2"/>
      <c r="L15" s="2">
        <f t="shared" si="0"/>
        <v>-60980.04</v>
      </c>
      <c r="M15" s="2"/>
      <c r="N15" s="19">
        <f t="shared" si="1"/>
        <v>-0.73029988023952097</v>
      </c>
      <c r="O15" s="11"/>
      <c r="P15" s="2">
        <f>--572740.12</f>
        <v>572740.12</v>
      </c>
      <c r="Q15" s="2"/>
      <c r="R15" s="19"/>
      <c r="S15" s="2"/>
      <c r="T15" s="2">
        <v>2019970</v>
      </c>
      <c r="U15" s="2"/>
      <c r="V15" s="19"/>
      <c r="W15" s="2"/>
      <c r="X15" s="2">
        <f t="shared" si="2"/>
        <v>-1447229.88</v>
      </c>
      <c r="Y15" s="2"/>
      <c r="Z15" s="19">
        <f t="shared" si="3"/>
        <v>-0.71646107615459631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45507.020000000004</v>
      </c>
      <c r="E17" s="4"/>
      <c r="F17" s="12">
        <f t="shared" ref="F17:F20" si="4">IF(D$12=0,0,D17/D$12)</f>
        <v>0.75220403105941602</v>
      </c>
      <c r="G17" s="4"/>
      <c r="H17" s="4">
        <f>SUM(OSRRefH16x_0)</f>
        <v>60315.170000000006</v>
      </c>
      <c r="I17" s="4"/>
      <c r="J17" s="12">
        <f t="shared" ref="J17:J20" si="5">IF(H$12=0,0,H17/H$12)</f>
        <v>0.72233736526946113</v>
      </c>
      <c r="K17" s="4"/>
      <c r="L17" s="4">
        <f t="shared" ref="L17:L20" si="6">+D17-H17</f>
        <v>-14808.150000000001</v>
      </c>
      <c r="M17" s="4"/>
      <c r="N17" s="12">
        <f t="shared" ref="N17:N20" si="7">IF(H17=0,0,L17/H17)</f>
        <v>-0.24551286185548346</v>
      </c>
      <c r="O17" s="10"/>
      <c r="P17" s="4">
        <f>SUM(OSRRefP16x_0)</f>
        <v>1147225.8900000001</v>
      </c>
      <c r="Q17" s="4"/>
      <c r="R17" s="12">
        <f t="shared" ref="R17:R20" si="8">IF(P$12=0,0,P17/P$12)</f>
        <v>0.74319902723972864</v>
      </c>
      <c r="S17" s="4"/>
      <c r="T17" s="4">
        <f>SUM(OSRRefT16x_0)</f>
        <v>1464647.17</v>
      </c>
      <c r="U17" s="4"/>
      <c r="V17" s="12">
        <f t="shared" ref="V17:V20" si="9">IF(T$12=0,0,T17/T$12)</f>
        <v>0.72508362500433166</v>
      </c>
      <c r="W17" s="4"/>
      <c r="X17" s="4">
        <f t="shared" ref="X17:X20" si="10">+P17-T17</f>
        <v>-317421.2799999998</v>
      </c>
      <c r="Y17" s="4"/>
      <c r="Z17" s="12">
        <f t="shared" ref="Z17:Z20" si="11">IF(T17=0,0,X17/T17)</f>
        <v>-0.2167220109400135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60315.170000000006</v>
      </c>
      <c r="I18" s="2"/>
      <c r="J18" s="19">
        <f t="shared" si="5"/>
        <v>0.72233736526946113</v>
      </c>
      <c r="K18" s="2"/>
      <c r="L18" s="2">
        <f t="shared" si="6"/>
        <v>-60315.170000000006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1464647.17</v>
      </c>
      <c r="U18" s="2"/>
      <c r="V18" s="19">
        <f t="shared" si="9"/>
        <v>0.72508362500433166</v>
      </c>
      <c r="W18" s="2"/>
      <c r="X18" s="2">
        <f t="shared" si="10"/>
        <v>-1464647.17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22809.62</v>
      </c>
      <c r="E19" s="2"/>
      <c r="F19" s="19">
        <f t="shared" si="4"/>
        <v>0.37702948052703683</v>
      </c>
      <c r="G19" s="2"/>
      <c r="H19" s="2"/>
      <c r="I19" s="2"/>
      <c r="J19" s="19">
        <f t="shared" si="5"/>
        <v>0</v>
      </c>
      <c r="K19" s="2"/>
      <c r="L19" s="2">
        <f t="shared" si="6"/>
        <v>22809.62</v>
      </c>
      <c r="M19" s="2"/>
      <c r="N19" s="19">
        <f t="shared" si="7"/>
        <v>0</v>
      </c>
      <c r="O19" s="11"/>
      <c r="P19" s="2">
        <v>475769.97000000003</v>
      </c>
      <c r="Q19" s="2"/>
      <c r="R19" s="19">
        <f t="shared" si="8"/>
        <v>0.30821460880199875</v>
      </c>
      <c r="S19" s="2"/>
      <c r="T19" s="2"/>
      <c r="U19" s="2"/>
      <c r="V19" s="19">
        <f t="shared" si="9"/>
        <v>0</v>
      </c>
      <c r="W19" s="2"/>
      <c r="X19" s="2">
        <f t="shared" si="10"/>
        <v>475769.97000000003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22697.4</v>
      </c>
      <c r="E20" s="2"/>
      <c r="F20" s="19">
        <f t="shared" si="4"/>
        <v>0.37517455053237914</v>
      </c>
      <c r="G20" s="2"/>
      <c r="H20" s="2"/>
      <c r="I20" s="2"/>
      <c r="J20" s="19">
        <f t="shared" si="5"/>
        <v>0</v>
      </c>
      <c r="K20" s="2"/>
      <c r="L20" s="2">
        <f t="shared" si="6"/>
        <v>22697.4</v>
      </c>
      <c r="M20" s="2"/>
      <c r="N20" s="19">
        <f t="shared" si="7"/>
        <v>0</v>
      </c>
      <c r="O20" s="11"/>
      <c r="P20" s="2">
        <v>671455.92</v>
      </c>
      <c r="Q20" s="2"/>
      <c r="R20" s="19">
        <f t="shared" si="8"/>
        <v>0.43498441843772984</v>
      </c>
      <c r="S20" s="2"/>
      <c r="T20" s="2"/>
      <c r="U20" s="2"/>
      <c r="V20" s="19">
        <f t="shared" si="9"/>
        <v>0</v>
      </c>
      <c r="W20" s="2"/>
      <c r="X20" s="2">
        <f t="shared" si="10"/>
        <v>671455.92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D12-D17</f>
        <v>14991.219999999994</v>
      </c>
      <c r="E22" s="14"/>
      <c r="F22" s="22">
        <f>IF(D$12=0,0,D22/D$12)</f>
        <v>0.24779596894058398</v>
      </c>
      <c r="G22" s="14"/>
      <c r="H22" s="21">
        <f>H12-H17</f>
        <v>23184.829999999994</v>
      </c>
      <c r="I22" s="14"/>
      <c r="J22" s="22">
        <f>IF(H$12=0,0,H22/H$12)</f>
        <v>0.27766263473053887</v>
      </c>
      <c r="K22" s="15"/>
      <c r="L22" s="21">
        <f>+D22-H22</f>
        <v>-8193.61</v>
      </c>
      <c r="M22" s="15"/>
      <c r="N22" s="22">
        <f>IF(H22=0,0,L22/H22)</f>
        <v>-0.35340392834452539</v>
      </c>
      <c r="O22" s="29"/>
      <c r="P22" s="21">
        <f>P12-P17</f>
        <v>396406.23</v>
      </c>
      <c r="Q22" s="14"/>
      <c r="R22" s="22">
        <f>IF(P$12=0,0,P22/P$12)</f>
        <v>0.25680097276027136</v>
      </c>
      <c r="S22" s="14"/>
      <c r="T22" s="21">
        <f>T12-T17</f>
        <v>555322.83000000007</v>
      </c>
      <c r="U22" s="14"/>
      <c r="V22" s="22">
        <f>IF(T$12=0,0,T22/T$12)</f>
        <v>0.27491637499566829</v>
      </c>
      <c r="W22" s="15"/>
      <c r="X22" s="21">
        <f>+P22-T22</f>
        <v>-158916.60000000009</v>
      </c>
      <c r="Y22" s="15"/>
      <c r="Z22" s="22">
        <f>IF(T22=0,0,X22/T22)</f>
        <v>-0.28616975822874069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SUM(0)</f>
        <v>0</v>
      </c>
      <c r="E24" s="20"/>
      <c r="F24" s="34">
        <f>IF(D$12=0,0,D24/D$12)</f>
        <v>0</v>
      </c>
      <c r="G24" s="20"/>
      <c r="H24" s="20">
        <f>SUM(0)</f>
        <v>0</v>
      </c>
      <c r="I24" s="20"/>
      <c r="J24" s="34">
        <f>IF(H$12=0,0,H24/H$12)</f>
        <v>0</v>
      </c>
      <c r="K24" s="4"/>
      <c r="L24" s="20">
        <f>+D24-H24</f>
        <v>0</v>
      </c>
      <c r="M24" s="4"/>
      <c r="N24" s="34">
        <f>IF(H24=0,0,L24/H24)</f>
        <v>0</v>
      </c>
      <c r="O24" s="10"/>
      <c r="P24" s="20">
        <f>SUM(0)</f>
        <v>0</v>
      </c>
      <c r="Q24" s="20"/>
      <c r="R24" s="34">
        <f>IF(P$12=0,0,P24/P$12)</f>
        <v>0</v>
      </c>
      <c r="S24" s="20"/>
      <c r="T24" s="20">
        <f>SUM(0)</f>
        <v>0</v>
      </c>
      <c r="U24" s="20"/>
      <c r="V24" s="34">
        <f>IF(T$12=0,0,T24/T$12)</f>
        <v>0</v>
      </c>
      <c r="W24" s="4"/>
      <c r="X24" s="20">
        <f>+P24-T24</f>
        <v>0</v>
      </c>
      <c r="Y24" s="4"/>
      <c r="Z24" s="34">
        <f>IF(T24=0,0,X24/T24)</f>
        <v>0</v>
      </c>
    </row>
    <row r="25" spans="1:26" s="5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3</v>
      </c>
      <c r="C28" s="28"/>
      <c r="D28" s="21">
        <f>+D22-D24+D26</f>
        <v>14991.219999999994</v>
      </c>
      <c r="E28" s="14"/>
      <c r="F28" s="22">
        <f>IF(D$12=0,0,D28/D$12)</f>
        <v>0.24779596894058398</v>
      </c>
      <c r="G28" s="14"/>
      <c r="H28" s="21">
        <f>+H22-H24+H26</f>
        <v>23184.829999999994</v>
      </c>
      <c r="I28" s="14"/>
      <c r="J28" s="22">
        <f>IF(H$12=0,0,H28/H$12)</f>
        <v>0.27766263473053887</v>
      </c>
      <c r="K28" s="15"/>
      <c r="L28" s="21">
        <f>+D28-H28</f>
        <v>-8193.61</v>
      </c>
      <c r="M28" s="15"/>
      <c r="N28" s="22">
        <f>IF(H28=0,0,L28/H28)</f>
        <v>-0.35340392834452539</v>
      </c>
      <c r="O28" s="29"/>
      <c r="P28" s="21">
        <f>+P22-P24+P26</f>
        <v>396406.23</v>
      </c>
      <c r="Q28" s="14"/>
      <c r="R28" s="22">
        <f>IF(P$12=0,0,P28/P$12)</f>
        <v>0.25680097276027136</v>
      </c>
      <c r="S28" s="14"/>
      <c r="T28" s="21">
        <f>+T22-T24+T26</f>
        <v>555322.83000000007</v>
      </c>
      <c r="U28" s="14"/>
      <c r="V28" s="22">
        <f>IF(T$12=0,0,T28/T$12)</f>
        <v>0.27491637499566829</v>
      </c>
      <c r="W28" s="15"/>
      <c r="X28" s="21">
        <f>+P28-T28</f>
        <v>-158916.60000000009</v>
      </c>
      <c r="Y28" s="15"/>
      <c r="Z28" s="22">
        <f>IF(T28=0,0,X28/T28)</f>
        <v>-0.28616975822874069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2656.78</v>
      </c>
      <c r="E30" s="4"/>
      <c r="F30" s="12">
        <f>IF(D$12=0,0,D30/D$12)</f>
        <v>4.3914996535436408E-2</v>
      </c>
      <c r="G30" s="4"/>
      <c r="H30" s="4">
        <v>4477</v>
      </c>
      <c r="I30" s="4"/>
      <c r="J30" s="12">
        <f>IF(H$12=0,0,H30/H$12)</f>
        <v>5.3616766467065868E-2</v>
      </c>
      <c r="K30" s="4"/>
      <c r="L30" s="4">
        <f>+D30-H30</f>
        <v>-1820.2199999999998</v>
      </c>
      <c r="M30" s="4"/>
      <c r="N30" s="12">
        <f>IF(H30=0,0,L30/H30)</f>
        <v>-0.4065713647531829</v>
      </c>
      <c r="O30" s="10"/>
      <c r="P30" s="4">
        <v>157326.64000000001</v>
      </c>
      <c r="Q30" s="4"/>
      <c r="R30" s="12">
        <f>IF(P$12=0,0,P30/P$12)</f>
        <v>0.10191977606685199</v>
      </c>
      <c r="S30" s="4"/>
      <c r="T30" s="4">
        <v>242902</v>
      </c>
      <c r="U30" s="4"/>
      <c r="V30" s="12">
        <f>IF(T$12=0,0,T30/T$12)</f>
        <v>0.12025030074704079</v>
      </c>
      <c r="W30" s="4"/>
      <c r="X30" s="4">
        <f>+P30-T30</f>
        <v>-85575.359999999986</v>
      </c>
      <c r="Y30" s="4"/>
      <c r="Z30" s="12">
        <f>IF(T30=0,0,X30/T30)</f>
        <v>-0.35230405678010057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8" t="s">
        <v>4</v>
      </c>
      <c r="C32" s="28"/>
      <c r="D32" s="31">
        <f>+D28-D30</f>
        <v>12334.439999999993</v>
      </c>
      <c r="E32" s="14"/>
      <c r="F32" s="32">
        <f>IF(D$12=0,0,D32/D$12)</f>
        <v>0.20388097240514755</v>
      </c>
      <c r="G32" s="14"/>
      <c r="H32" s="31">
        <f>+H28-H30</f>
        <v>18707.829999999994</v>
      </c>
      <c r="I32" s="14"/>
      <c r="J32" s="32">
        <f>IF(H$12=0,0,H32/H$12)</f>
        <v>0.22404586826347297</v>
      </c>
      <c r="K32" s="15"/>
      <c r="L32" s="31">
        <f>D32-H32</f>
        <v>-6373.3900000000012</v>
      </c>
      <c r="M32" s="15"/>
      <c r="N32" s="32">
        <f>IF(H32=0,0,L32/H32)</f>
        <v>-0.34068034614383408</v>
      </c>
      <c r="O32" s="29"/>
      <c r="P32" s="31">
        <f>+P28-P30</f>
        <v>239079.58999999997</v>
      </c>
      <c r="Q32" s="14"/>
      <c r="R32" s="32">
        <f>IF(P$12=0,0,P32/P$12)</f>
        <v>0.15488119669341938</v>
      </c>
      <c r="S32" s="14"/>
      <c r="T32" s="31">
        <f>+T28-T30</f>
        <v>312420.83000000007</v>
      </c>
      <c r="U32" s="14"/>
      <c r="V32" s="32">
        <f>IF(T$12=0,0,T32/T$12)</f>
        <v>0.15466607424862749</v>
      </c>
      <c r="W32" s="15"/>
      <c r="X32" s="31">
        <f>P32-T32</f>
        <v>-73341.240000000107</v>
      </c>
      <c r="Y32" s="15"/>
      <c r="Z32" s="32">
        <f>IF(T32=0,0,X32/T32)</f>
        <v>-0.23475144086903582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5</v>
      </c>
      <c r="C35" s="28"/>
      <c r="D35" s="33">
        <f>SUM(D32:D34)</f>
        <v>12334.439999999993</v>
      </c>
      <c r="E35" s="14"/>
      <c r="F35" s="30">
        <f>IF(D$12=0,0,D35/D$12)</f>
        <v>0.20388097240514755</v>
      </c>
      <c r="G35" s="14"/>
      <c r="H35" s="33">
        <f>SUM(H32:H34)</f>
        <v>18707.829999999994</v>
      </c>
      <c r="I35" s="14"/>
      <c r="J35" s="30">
        <f>IF(H$12=0,0,H35/H$12)</f>
        <v>0.22404586826347297</v>
      </c>
      <c r="K35" s="15"/>
      <c r="L35" s="33">
        <f>+D35-H35</f>
        <v>-6373.3900000000012</v>
      </c>
      <c r="M35" s="15"/>
      <c r="N35" s="30">
        <f>IF(H35=0,0,L35/H35)</f>
        <v>-0.34068034614383408</v>
      </c>
      <c r="O35" s="29"/>
      <c r="P35" s="33">
        <f>SUM(P32:P34)</f>
        <v>239079.58999999997</v>
      </c>
      <c r="Q35" s="14"/>
      <c r="R35" s="30">
        <f>IF(P$12=0,0,P35/P$12)</f>
        <v>0.15488119669341938</v>
      </c>
      <c r="S35" s="14"/>
      <c r="T35" s="33">
        <f>SUM(T32:T34)</f>
        <v>312420.83000000007</v>
      </c>
      <c r="U35" s="14"/>
      <c r="V35" s="30">
        <f>IF(T$12=0,0,T35/T$12)</f>
        <v>0.15466607424862749</v>
      </c>
      <c r="W35" s="15"/>
      <c r="X35" s="33">
        <f>+P35-T35</f>
        <v>-73341.240000000107</v>
      </c>
      <c r="Y35" s="15"/>
      <c r="Z35" s="30">
        <f>IF(T35=0,0,X35/T35)</f>
        <v>-0.23475144086903582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9">
        <v>43908.494934571761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3" t="s">
        <v>314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7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307227.57000000007</v>
      </c>
      <c r="E12" s="4"/>
      <c r="F12" s="12"/>
      <c r="G12" s="4"/>
      <c r="H12" s="4">
        <f>SUM(OSRRefH13x_0)</f>
        <v>354199.73291000002</v>
      </c>
      <c r="I12" s="4"/>
      <c r="J12" s="12"/>
      <c r="K12" s="4"/>
      <c r="L12" s="4">
        <f t="shared" ref="L12:L42" si="0">+D12-H12</f>
        <v>-46972.162909999955</v>
      </c>
      <c r="M12" s="4"/>
      <c r="N12" s="12">
        <f t="shared" ref="N12:N42" si="1">IF(H12=0,0,L12/H12)</f>
        <v>-0.13261490211777008</v>
      </c>
      <c r="O12" s="10"/>
      <c r="P12" s="4">
        <f>SUM(OSRRefP13x_0)</f>
        <v>2328485.8100000015</v>
      </c>
      <c r="Q12" s="4"/>
      <c r="R12" s="12"/>
      <c r="S12" s="4"/>
      <c r="T12" s="4">
        <f>SUM(OSRRefT13x_0)</f>
        <v>2343327.60714</v>
      </c>
      <c r="U12" s="4"/>
      <c r="V12" s="12"/>
      <c r="W12" s="4"/>
      <c r="X12" s="4">
        <f t="shared" ref="X12:X42" si="2">+P12-T12</f>
        <v>-14841.797139998525</v>
      </c>
      <c r="Y12" s="4"/>
      <c r="Z12" s="12">
        <f t="shared" ref="Z12:Z42" si="3">IF(T12=0,0,X12/T12)</f>
        <v>-6.333641567989181E-3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354199.73291000002</v>
      </c>
      <c r="I13" s="2"/>
      <c r="J13" s="19"/>
      <c r="K13" s="2"/>
      <c r="L13" s="2">
        <f t="shared" si="0"/>
        <v>-354199.73291000002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2343327.60714</v>
      </c>
      <c r="U13" s="2"/>
      <c r="V13" s="19"/>
      <c r="W13" s="2"/>
      <c r="X13" s="2">
        <f t="shared" si="2"/>
        <v>-2343327.60714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--50.44</f>
        <v>50.44</v>
      </c>
      <c r="E15" s="2"/>
      <c r="F15" s="19"/>
      <c r="G15" s="2"/>
      <c r="H15" s="2"/>
      <c r="I15" s="2"/>
      <c r="J15" s="19"/>
      <c r="K15" s="2"/>
      <c r="L15" s="2">
        <f t="shared" si="0"/>
        <v>50.44</v>
      </c>
      <c r="M15" s="2"/>
      <c r="N15" s="19">
        <f t="shared" si="1"/>
        <v>0</v>
      </c>
      <c r="O15" s="11"/>
      <c r="P15" s="2">
        <f>--225.07</f>
        <v>225.07</v>
      </c>
      <c r="Q15" s="2"/>
      <c r="R15" s="19"/>
      <c r="S15" s="2"/>
      <c r="T15" s="2"/>
      <c r="U15" s="2"/>
      <c r="V15" s="19"/>
      <c r="W15" s="2"/>
      <c r="X15" s="2">
        <f t="shared" si="2"/>
        <v>225.07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--21.95</f>
        <v>21.95</v>
      </c>
      <c r="E16" s="2"/>
      <c r="F16" s="19"/>
      <c r="G16" s="2"/>
      <c r="H16" s="2"/>
      <c r="I16" s="2"/>
      <c r="J16" s="19"/>
      <c r="K16" s="2"/>
      <c r="L16" s="2">
        <f t="shared" si="0"/>
        <v>21.95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--197676.23</f>
        <v>197676.23</v>
      </c>
      <c r="E17" s="2"/>
      <c r="F17" s="19"/>
      <c r="G17" s="2"/>
      <c r="H17" s="2"/>
      <c r="I17" s="2"/>
      <c r="J17" s="19"/>
      <c r="K17" s="2"/>
      <c r="L17" s="2">
        <f t="shared" si="0"/>
        <v>197676.23</v>
      </c>
      <c r="M17" s="2"/>
      <c r="N17" s="19">
        <f t="shared" si="1"/>
        <v>0</v>
      </c>
      <c r="O17" s="11"/>
      <c r="P17" s="2">
        <f>--1682295.22</f>
        <v>1682295.22</v>
      </c>
      <c r="Q17" s="2"/>
      <c r="R17" s="19"/>
      <c r="S17" s="2"/>
      <c r="T17" s="2"/>
      <c r="U17" s="2"/>
      <c r="V17" s="19"/>
      <c r="W17" s="2"/>
      <c r="X17" s="2">
        <f t="shared" si="2"/>
        <v>1682295.22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--31787.58</f>
        <v>31787.58</v>
      </c>
      <c r="E18" s="2"/>
      <c r="F18" s="19"/>
      <c r="G18" s="2"/>
      <c r="H18" s="2"/>
      <c r="I18" s="2"/>
      <c r="J18" s="19"/>
      <c r="K18" s="2"/>
      <c r="L18" s="2">
        <f t="shared" si="0"/>
        <v>31787.58</v>
      </c>
      <c r="M18" s="2"/>
      <c r="N18" s="19">
        <f t="shared" si="1"/>
        <v>0</v>
      </c>
      <c r="O18" s="11"/>
      <c r="P18" s="2">
        <f>--267633.53</f>
        <v>267633.53000000003</v>
      </c>
      <c r="Q18" s="2"/>
      <c r="R18" s="19"/>
      <c r="S18" s="2"/>
      <c r="T18" s="2"/>
      <c r="U18" s="2"/>
      <c r="V18" s="19"/>
      <c r="W18" s="2"/>
      <c r="X18" s="2">
        <f t="shared" si="2"/>
        <v>267633.53000000003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--17935.2</f>
        <v>17935.2</v>
      </c>
      <c r="E19" s="2"/>
      <c r="F19" s="19"/>
      <c r="G19" s="2"/>
      <c r="H19" s="2"/>
      <c r="I19" s="2"/>
      <c r="J19" s="19"/>
      <c r="K19" s="2"/>
      <c r="L19" s="2">
        <f t="shared" si="0"/>
        <v>17935.2</v>
      </c>
      <c r="M19" s="2"/>
      <c r="N19" s="19">
        <f t="shared" si="1"/>
        <v>0</v>
      </c>
      <c r="O19" s="11"/>
      <c r="P19" s="2">
        <f>--197003.96</f>
        <v>197003.96</v>
      </c>
      <c r="Q19" s="2"/>
      <c r="R19" s="19"/>
      <c r="S19" s="2"/>
      <c r="T19" s="2"/>
      <c r="U19" s="2"/>
      <c r="V19" s="19"/>
      <c r="W19" s="2"/>
      <c r="X19" s="2">
        <f t="shared" si="2"/>
        <v>197003.96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--53210.27</f>
        <v>53210.27</v>
      </c>
      <c r="E20" s="2"/>
      <c r="F20" s="19"/>
      <c r="G20" s="2"/>
      <c r="H20" s="2"/>
      <c r="I20" s="2"/>
      <c r="J20" s="19"/>
      <c r="K20" s="2"/>
      <c r="L20" s="2">
        <f t="shared" si="0"/>
        <v>53210.27</v>
      </c>
      <c r="M20" s="2"/>
      <c r="N20" s="19">
        <f t="shared" si="1"/>
        <v>0</v>
      </c>
      <c r="O20" s="11"/>
      <c r="P20" s="2">
        <f>--75651.92</f>
        <v>75651.92</v>
      </c>
      <c r="Q20" s="2"/>
      <c r="R20" s="19"/>
      <c r="S20" s="2"/>
      <c r="T20" s="2"/>
      <c r="U20" s="2"/>
      <c r="V20" s="19"/>
      <c r="W20" s="2"/>
      <c r="X20" s="2">
        <f t="shared" si="2"/>
        <v>75651.92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--9453.6</f>
        <v>9453.6</v>
      </c>
      <c r="E21" s="2"/>
      <c r="F21" s="19"/>
      <c r="G21" s="2"/>
      <c r="H21" s="2"/>
      <c r="I21" s="2"/>
      <c r="J21" s="19"/>
      <c r="K21" s="2"/>
      <c r="L21" s="2">
        <f t="shared" si="0"/>
        <v>9453.6</v>
      </c>
      <c r="M21" s="2"/>
      <c r="N21" s="19">
        <f t="shared" si="1"/>
        <v>0</v>
      </c>
      <c r="O21" s="11"/>
      <c r="P21" s="2">
        <f>--62539.76</f>
        <v>62539.76</v>
      </c>
      <c r="Q21" s="2"/>
      <c r="R21" s="19"/>
      <c r="S21" s="2"/>
      <c r="T21" s="2"/>
      <c r="U21" s="2"/>
      <c r="V21" s="19"/>
      <c r="W21" s="2"/>
      <c r="X21" s="2">
        <f t="shared" si="2"/>
        <v>62539.76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--815.01</f>
        <v>815.01</v>
      </c>
      <c r="E22" s="2"/>
      <c r="F22" s="19"/>
      <c r="G22" s="2"/>
      <c r="H22" s="2"/>
      <c r="I22" s="2"/>
      <c r="J22" s="19"/>
      <c r="K22" s="2"/>
      <c r="L22" s="2">
        <f t="shared" si="0"/>
        <v>815.01</v>
      </c>
      <c r="M22" s="2"/>
      <c r="N22" s="19">
        <f t="shared" si="1"/>
        <v>0</v>
      </c>
      <c r="O22" s="11"/>
      <c r="P22" s="2">
        <f>--70553.04</f>
        <v>70553.039999999994</v>
      </c>
      <c r="Q22" s="2"/>
      <c r="R22" s="19"/>
      <c r="S22" s="2"/>
      <c r="T22" s="2"/>
      <c r="U22" s="2"/>
      <c r="V22" s="19"/>
      <c r="W22" s="2"/>
      <c r="X22" s="2">
        <f t="shared" si="2"/>
        <v>70553.039999999994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ref="D23:D24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--12</f>
        <v>12</v>
      </c>
      <c r="E25" s="2"/>
      <c r="F25" s="19"/>
      <c r="G25" s="2"/>
      <c r="H25" s="2"/>
      <c r="I25" s="2"/>
      <c r="J25" s="19"/>
      <c r="K25" s="2"/>
      <c r="L25" s="2">
        <f t="shared" si="0"/>
        <v>12</v>
      </c>
      <c r="M25" s="2"/>
      <c r="N25" s="19">
        <f t="shared" si="1"/>
        <v>0</v>
      </c>
      <c r="O25" s="11"/>
      <c r="P25" s="2">
        <f>--115.5</f>
        <v>115.5</v>
      </c>
      <c r="Q25" s="2"/>
      <c r="R25" s="19"/>
      <c r="S25" s="2"/>
      <c r="T25" s="2"/>
      <c r="U25" s="2"/>
      <c r="V25" s="19"/>
      <c r="W25" s="2"/>
      <c r="X25" s="2">
        <f t="shared" si="2"/>
        <v>115.5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--42582.67</f>
        <v>42582.67</v>
      </c>
      <c r="Q26" s="2"/>
      <c r="R26" s="19"/>
      <c r="S26" s="2"/>
      <c r="T26" s="2"/>
      <c r="U26" s="2"/>
      <c r="V26" s="19"/>
      <c r="W26" s="2"/>
      <c r="X26" s="2">
        <f t="shared" si="2"/>
        <v>42582.67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--6416.37</f>
        <v>6416.37</v>
      </c>
      <c r="E27" s="2"/>
      <c r="F27" s="19"/>
      <c r="G27" s="2"/>
      <c r="H27" s="2"/>
      <c r="I27" s="2"/>
      <c r="J27" s="19"/>
      <c r="K27" s="2"/>
      <c r="L27" s="2">
        <f t="shared" si="0"/>
        <v>6416.37</v>
      </c>
      <c r="M27" s="2"/>
      <c r="N27" s="19">
        <f t="shared" si="1"/>
        <v>0</v>
      </c>
      <c r="O27" s="11"/>
      <c r="P27" s="2">
        <f>--9814.22</f>
        <v>9814.2199999999993</v>
      </c>
      <c r="Q27" s="2"/>
      <c r="R27" s="19"/>
      <c r="S27" s="2"/>
      <c r="T27" s="2"/>
      <c r="U27" s="2"/>
      <c r="V27" s="19"/>
      <c r="W27" s="2"/>
      <c r="X27" s="2">
        <f t="shared" si="2"/>
        <v>9814.2199999999993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--492.76</f>
        <v>492.76</v>
      </c>
      <c r="E28" s="2"/>
      <c r="F28" s="19"/>
      <c r="G28" s="2"/>
      <c r="H28" s="2"/>
      <c r="I28" s="2"/>
      <c r="J28" s="19"/>
      <c r="K28" s="2"/>
      <c r="L28" s="2">
        <f t="shared" si="0"/>
        <v>492.76</v>
      </c>
      <c r="M28" s="2"/>
      <c r="N28" s="19">
        <f t="shared" si="1"/>
        <v>0</v>
      </c>
      <c r="O28" s="11"/>
      <c r="P28" s="2">
        <f>--4768.83</f>
        <v>4768.83</v>
      </c>
      <c r="Q28" s="2"/>
      <c r="R28" s="19"/>
      <c r="S28" s="2"/>
      <c r="T28" s="2"/>
      <c r="U28" s="2"/>
      <c r="V28" s="19"/>
      <c r="W28" s="2"/>
      <c r="X28" s="2">
        <f t="shared" si="2"/>
        <v>4768.83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"4143", " - ", "NON-TAXABLE SALES-CARDS")</f>
        <v xml:space="preserve">          4143 - NON-TAXABLE SALES-CARDS</v>
      </c>
      <c r="C29" s="11"/>
      <c r="D29" s="2">
        <f>--9.99</f>
        <v>9.99</v>
      </c>
      <c r="E29" s="2"/>
      <c r="F29" s="19"/>
      <c r="G29" s="2"/>
      <c r="H29" s="2"/>
      <c r="I29" s="2"/>
      <c r="J29" s="19"/>
      <c r="K29" s="2"/>
      <c r="L29" s="2">
        <f t="shared" si="0"/>
        <v>9.99</v>
      </c>
      <c r="M29" s="2"/>
      <c r="N29" s="19">
        <f t="shared" si="1"/>
        <v>0</v>
      </c>
      <c r="O29" s="11"/>
      <c r="P29" s="2">
        <f>--9.99</f>
        <v>9.99</v>
      </c>
      <c r="Q29" s="2"/>
      <c r="R29" s="19"/>
      <c r="S29" s="2"/>
      <c r="T29" s="2"/>
      <c r="U29" s="2"/>
      <c r="V29" s="19"/>
      <c r="W29" s="2"/>
      <c r="X29" s="2">
        <f t="shared" si="2"/>
        <v>9.99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"4144", " - ", "NON-TAXABLE SALES-ACCESSORIES")</f>
        <v xml:space="preserve">          4144 - NON-TAXABLE SALES-ACCESSORIES</v>
      </c>
      <c r="C30" s="11"/>
      <c r="D30" s="2">
        <f>--922.94</f>
        <v>922.94</v>
      </c>
      <c r="E30" s="2"/>
      <c r="F30" s="19"/>
      <c r="G30" s="2"/>
      <c r="H30" s="2"/>
      <c r="I30" s="2"/>
      <c r="J30" s="19"/>
      <c r="K30" s="2"/>
      <c r="L30" s="2">
        <f t="shared" si="0"/>
        <v>922.94</v>
      </c>
      <c r="M30" s="2"/>
      <c r="N30" s="19">
        <f t="shared" si="1"/>
        <v>0</v>
      </c>
      <c r="O30" s="11"/>
      <c r="P30" s="2">
        <f>--1890.27</f>
        <v>1890.27</v>
      </c>
      <c r="Q30" s="2"/>
      <c r="R30" s="19"/>
      <c r="S30" s="2"/>
      <c r="T30" s="2"/>
      <c r="U30" s="2"/>
      <c r="V30" s="19"/>
      <c r="W30" s="2"/>
      <c r="X30" s="2">
        <f t="shared" si="2"/>
        <v>1890.27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"4145", " - ", "NON-TAXABLE SALES-SPECIAL ORDE")</f>
        <v xml:space="preserve">          4145 - NON-TAXABLE SALES-SPECIAL ORDE</v>
      </c>
      <c r="C31" s="11"/>
      <c r="D31" s="2">
        <f t="shared" ref="D31:D32" si="6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--140</f>
        <v>140</v>
      </c>
      <c r="Q31" s="2"/>
      <c r="R31" s="19"/>
      <c r="S31" s="2"/>
      <c r="T31" s="2"/>
      <c r="U31" s="2"/>
      <c r="V31" s="19"/>
      <c r="W31" s="2"/>
      <c r="X31" s="2">
        <f t="shared" si="2"/>
        <v>140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"4226", " - ", "SALES RETURN TAXABLE-WRITING I")</f>
        <v xml:space="preserve">          4226 - SALES RETURN TAXABLE-WRITING I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-134.8</f>
        <v>-134.80000000000001</v>
      </c>
      <c r="Q32" s="2"/>
      <c r="R32" s="19"/>
      <c r="S32" s="2"/>
      <c r="T32" s="2"/>
      <c r="U32" s="2"/>
      <c r="V32" s="19"/>
      <c r="W32" s="2"/>
      <c r="X32" s="2">
        <f t="shared" si="2"/>
        <v>-134.80000000000001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-8202.92</f>
        <v>-8202.92</v>
      </c>
      <c r="E33" s="2"/>
      <c r="F33" s="19"/>
      <c r="G33" s="2"/>
      <c r="H33" s="2"/>
      <c r="I33" s="2"/>
      <c r="J33" s="19"/>
      <c r="K33" s="2"/>
      <c r="L33" s="2">
        <f t="shared" si="0"/>
        <v>-8202.92</v>
      </c>
      <c r="M33" s="2"/>
      <c r="N33" s="19">
        <f t="shared" si="1"/>
        <v>0</v>
      </c>
      <c r="O33" s="11"/>
      <c r="P33" s="2">
        <f>-69811.67</f>
        <v>-69811.67</v>
      </c>
      <c r="Q33" s="2"/>
      <c r="R33" s="19"/>
      <c r="S33" s="2"/>
      <c r="T33" s="2"/>
      <c r="U33" s="2"/>
      <c r="V33" s="19"/>
      <c r="W33" s="2"/>
      <c r="X33" s="2">
        <f t="shared" si="2"/>
        <v>-69811.67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-871.47</f>
        <v>-871.47</v>
      </c>
      <c r="E34" s="2"/>
      <c r="F34" s="19"/>
      <c r="G34" s="2"/>
      <c r="H34" s="2"/>
      <c r="I34" s="2"/>
      <c r="J34" s="19"/>
      <c r="K34" s="2"/>
      <c r="L34" s="2">
        <f t="shared" si="0"/>
        <v>-871.47</v>
      </c>
      <c r="M34" s="2"/>
      <c r="N34" s="19">
        <f t="shared" si="1"/>
        <v>0</v>
      </c>
      <c r="O34" s="11"/>
      <c r="P34" s="2">
        <f>-4867.58</f>
        <v>-4867.58</v>
      </c>
      <c r="Q34" s="2"/>
      <c r="R34" s="19"/>
      <c r="S34" s="2"/>
      <c r="T34" s="2"/>
      <c r="U34" s="2"/>
      <c r="V34" s="19"/>
      <c r="W34" s="2"/>
      <c r="X34" s="2">
        <f t="shared" si="2"/>
        <v>-4867.58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>-349.75</f>
        <v>-349.75</v>
      </c>
      <c r="E35" s="2"/>
      <c r="F35" s="19"/>
      <c r="G35" s="2"/>
      <c r="H35" s="2"/>
      <c r="I35" s="2"/>
      <c r="J35" s="19"/>
      <c r="K35" s="2"/>
      <c r="L35" s="2">
        <f t="shared" si="0"/>
        <v>-349.75</v>
      </c>
      <c r="M35" s="2"/>
      <c r="N35" s="19">
        <f t="shared" si="1"/>
        <v>0</v>
      </c>
      <c r="O35" s="11"/>
      <c r="P35" s="2">
        <f>-3823.88</f>
        <v>-3823.88</v>
      </c>
      <c r="Q35" s="2"/>
      <c r="R35" s="19"/>
      <c r="S35" s="2"/>
      <c r="T35" s="2"/>
      <c r="U35" s="2"/>
      <c r="V35" s="19"/>
      <c r="W35" s="2"/>
      <c r="X35" s="2">
        <f t="shared" si="2"/>
        <v>-3823.88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"4243", " - ", "SALES RETURN TAXABLE-CARDS")</f>
        <v xml:space="preserve">          4243 - SALES RETURN TAXABLE-CARDS</v>
      </c>
      <c r="C36" s="11"/>
      <c r="D36" s="2">
        <f>-1609.18</f>
        <v>-1609.18</v>
      </c>
      <c r="E36" s="2"/>
      <c r="F36" s="19"/>
      <c r="G36" s="2"/>
      <c r="H36" s="2"/>
      <c r="I36" s="2"/>
      <c r="J36" s="19"/>
      <c r="K36" s="2"/>
      <c r="L36" s="2">
        <f t="shared" si="0"/>
        <v>-1609.18</v>
      </c>
      <c r="M36" s="2"/>
      <c r="N36" s="19">
        <f t="shared" si="1"/>
        <v>0</v>
      </c>
      <c r="O36" s="11"/>
      <c r="P36" s="2">
        <f>-2833.39</f>
        <v>-2833.39</v>
      </c>
      <c r="Q36" s="2"/>
      <c r="R36" s="19"/>
      <c r="S36" s="2"/>
      <c r="T36" s="2"/>
      <c r="U36" s="2"/>
      <c r="V36" s="19"/>
      <c r="W36" s="2"/>
      <c r="X36" s="2">
        <f t="shared" si="2"/>
        <v>-2833.39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"4244", " - ", "SALES RETURN TAXABLE-ACCESSORI")</f>
        <v xml:space="preserve">          4244 - SALES RETURN TAXABLE-ACCESSORI</v>
      </c>
      <c r="C37" s="11"/>
      <c r="D37" s="2">
        <f>-328.75</f>
        <v>-328.75</v>
      </c>
      <c r="E37" s="2"/>
      <c r="F37" s="19"/>
      <c r="G37" s="2"/>
      <c r="H37" s="2"/>
      <c r="I37" s="2"/>
      <c r="J37" s="19"/>
      <c r="K37" s="2"/>
      <c r="L37" s="2">
        <f t="shared" si="0"/>
        <v>-328.75</v>
      </c>
      <c r="M37" s="2"/>
      <c r="N37" s="19">
        <f t="shared" si="1"/>
        <v>0</v>
      </c>
      <c r="O37" s="11"/>
      <c r="P37" s="2">
        <f>-2430.8</f>
        <v>-2430.8000000000002</v>
      </c>
      <c r="Q37" s="2"/>
      <c r="R37" s="19"/>
      <c r="S37" s="2"/>
      <c r="T37" s="2"/>
      <c r="U37" s="2"/>
      <c r="V37" s="19"/>
      <c r="W37" s="2"/>
      <c r="X37" s="2">
        <f t="shared" si="2"/>
        <v>-2430.8000000000002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"4245", " - ", "SALES RETURN TAXABLE-SPECIAL O")</f>
        <v xml:space="preserve">          4245 - SALES RETURN TAXABLE-SPECIAL O</v>
      </c>
      <c r="C38" s="11"/>
      <c r="D38" s="2">
        <f t="shared" ref="D38:D40" si="7"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-1715.05</f>
        <v>-1715.05</v>
      </c>
      <c r="Q38" s="2"/>
      <c r="R38" s="19"/>
      <c r="S38" s="2"/>
      <c r="T38" s="2"/>
      <c r="U38" s="2"/>
      <c r="V38" s="19"/>
      <c r="W38" s="2"/>
      <c r="X38" s="2">
        <f t="shared" si="2"/>
        <v>-1715.05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"4295", " - ", "SALES RETURN TAXABLE-CUSTOMER")</f>
        <v xml:space="preserve">          4295 - SALES RETURN TAXABLE-CUSTOMER</v>
      </c>
      <c r="C39" s="11"/>
      <c r="D39" s="2">
        <f t="shared" si="7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--0.99</f>
        <v>0.99</v>
      </c>
      <c r="Q39" s="2"/>
      <c r="R39" s="19"/>
      <c r="S39" s="2"/>
      <c r="T39" s="2"/>
      <c r="U39" s="2"/>
      <c r="V39" s="19"/>
      <c r="W39" s="2"/>
      <c r="X39" s="2">
        <f t="shared" si="2"/>
        <v>0.99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"4340", " - ", "SALES RETURN NON TAXABLE-LOGO")</f>
        <v xml:space="preserve">          4340 - SALES RETURN NON TAXABLE-LOGO</v>
      </c>
      <c r="C40" s="11"/>
      <c r="D40" s="2">
        <f t="shared" si="7"/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-931.65</f>
        <v>-931.65</v>
      </c>
      <c r="Q40" s="2"/>
      <c r="R40" s="19"/>
      <c r="S40" s="2"/>
      <c r="T40" s="2"/>
      <c r="U40" s="2"/>
      <c r="V40" s="19"/>
      <c r="W40" s="2"/>
      <c r="X40" s="2">
        <f t="shared" si="2"/>
        <v>-931.65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"4341", " - ", "SALES RETURN NON TAXABLE-LOGO")</f>
        <v xml:space="preserve">          4341 - SALES RETURN NON TAXABLE-LOGO</v>
      </c>
      <c r="C41" s="11"/>
      <c r="D41" s="2">
        <f>-214.7</f>
        <v>-214.7</v>
      </c>
      <c r="E41" s="2"/>
      <c r="F41" s="19"/>
      <c r="G41" s="2"/>
      <c r="H41" s="2"/>
      <c r="I41" s="2"/>
      <c r="J41" s="19"/>
      <c r="K41" s="2"/>
      <c r="L41" s="2">
        <f t="shared" si="0"/>
        <v>-214.7</v>
      </c>
      <c r="M41" s="2"/>
      <c r="N41" s="19">
        <f t="shared" si="1"/>
        <v>0</v>
      </c>
      <c r="O41" s="11"/>
      <c r="P41" s="2">
        <f>-245.5</f>
        <v>-245.5</v>
      </c>
      <c r="Q41" s="2"/>
      <c r="R41" s="19"/>
      <c r="S41" s="2"/>
      <c r="T41" s="2"/>
      <c r="U41" s="2"/>
      <c r="V41" s="19"/>
      <c r="W41" s="2"/>
      <c r="X41" s="2">
        <f t="shared" si="2"/>
        <v>-245.5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"4342", " - ", "SALES RETURN NON TAXABLE-EVERY")</f>
        <v xml:space="preserve">          4342 - SALES RETURN NON TAXABLE-EVERY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-109.8</f>
        <v>-109.8</v>
      </c>
      <c r="Q42" s="2"/>
      <c r="R42" s="19"/>
      <c r="S42" s="2"/>
      <c r="T42" s="2"/>
      <c r="U42" s="2"/>
      <c r="V42" s="19"/>
      <c r="W42" s="2"/>
      <c r="X42" s="2">
        <f t="shared" si="2"/>
        <v>-109.8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9" t="s">
        <v>8</v>
      </c>
      <c r="C44" s="10"/>
      <c r="D44" s="4">
        <f>SUM(OSRRefD16x_0)</f>
        <v>150424.62</v>
      </c>
      <c r="E44" s="4"/>
      <c r="F44" s="12">
        <f t="shared" ref="F44:F67" si="8">IF(D$12=0,0,D44/D$12)</f>
        <v>0.48961953512179901</v>
      </c>
      <c r="G44" s="4"/>
      <c r="H44" s="4">
        <f>SUM(OSRRefH16x_0)</f>
        <v>156373.40078</v>
      </c>
      <c r="I44" s="4"/>
      <c r="J44" s="12">
        <f t="shared" ref="J44:J67" si="9">IF(H$12=0,0,H44/H$12)</f>
        <v>0.44148367785396814</v>
      </c>
      <c r="K44" s="4"/>
      <c r="L44" s="4">
        <f t="shared" ref="L44:L67" si="10">+D44-H44</f>
        <v>-5948.780780000001</v>
      </c>
      <c r="M44" s="4"/>
      <c r="N44" s="12">
        <f t="shared" ref="N44:N67" si="11">IF(H44=0,0,L44/H44)</f>
        <v>-3.8042152631631222E-2</v>
      </c>
      <c r="O44" s="10"/>
      <c r="P44" s="4">
        <f>SUM(OSRRefP16x_0)</f>
        <v>1071150.5599999996</v>
      </c>
      <c r="Q44" s="4"/>
      <c r="R44" s="12">
        <f t="shared" ref="R44:R67" si="12">IF(P$12=0,0,P44/P$12)</f>
        <v>0.46002022232637052</v>
      </c>
      <c r="S44" s="4"/>
      <c r="T44" s="4">
        <f>SUM(OSRRefT16x_0)</f>
        <v>1052695.2842299999</v>
      </c>
      <c r="U44" s="4"/>
      <c r="V44" s="12">
        <f t="shared" ref="V44:V67" si="13">IF(T$12=0,0,T44/T$12)</f>
        <v>0.44923094876810693</v>
      </c>
      <c r="W44" s="4"/>
      <c r="X44" s="4">
        <f t="shared" ref="X44:X67" si="14">+P44-T44</f>
        <v>18455.275769999716</v>
      </c>
      <c r="Y44" s="4"/>
      <c r="Z44" s="12">
        <f t="shared" ref="Z44:Z67" si="15">IF(T44=0,0,X44/T44)</f>
        <v>1.7531450977762226E-2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8"/>
        <v>0</v>
      </c>
      <c r="G45" s="2"/>
      <c r="H45" s="2">
        <v>156373.40078</v>
      </c>
      <c r="I45" s="2"/>
      <c r="J45" s="19">
        <f t="shared" si="9"/>
        <v>0.44148367785396814</v>
      </c>
      <c r="K45" s="2"/>
      <c r="L45" s="2">
        <f t="shared" si="10"/>
        <v>-156373.40078</v>
      </c>
      <c r="M45" s="2"/>
      <c r="N45" s="19">
        <f t="shared" si="11"/>
        <v>-1</v>
      </c>
      <c r="O45" s="11"/>
      <c r="P45" s="2"/>
      <c r="Q45" s="2"/>
      <c r="R45" s="19">
        <f t="shared" si="12"/>
        <v>0</v>
      </c>
      <c r="S45" s="2"/>
      <c r="T45" s="2">
        <v>1052695.2842299999</v>
      </c>
      <c r="U45" s="2"/>
      <c r="V45" s="19">
        <f t="shared" si="13"/>
        <v>0.44923094876810693</v>
      </c>
      <c r="W45" s="2"/>
      <c r="X45" s="2">
        <f t="shared" si="14"/>
        <v>-1052695.2842299999</v>
      </c>
      <c r="Y45" s="2"/>
      <c r="Z45" s="19">
        <f t="shared" si="15"/>
        <v>-1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1"/>
      <c r="P46" s="2">
        <v>6.06</v>
      </c>
      <c r="Q46" s="2"/>
      <c r="R46" s="19">
        <f t="shared" si="12"/>
        <v>2.6025496801288196E-6</v>
      </c>
      <c r="S46" s="2"/>
      <c r="T46" s="2"/>
      <c r="U46" s="2"/>
      <c r="V46" s="19">
        <f t="shared" si="13"/>
        <v>0</v>
      </c>
      <c r="W46" s="2"/>
      <c r="X46" s="2">
        <f t="shared" si="14"/>
        <v>6.06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>
        <v>-77.069999999999993</v>
      </c>
      <c r="E47" s="2"/>
      <c r="F47" s="19">
        <f t="shared" si="8"/>
        <v>-2.5085639286864775E-4</v>
      </c>
      <c r="G47" s="2"/>
      <c r="H47" s="2"/>
      <c r="I47" s="2"/>
      <c r="J47" s="19">
        <f t="shared" si="9"/>
        <v>0</v>
      </c>
      <c r="K47" s="2"/>
      <c r="L47" s="2">
        <f t="shared" si="10"/>
        <v>-77.069999999999993</v>
      </c>
      <c r="M47" s="2"/>
      <c r="N47" s="19">
        <f t="shared" si="11"/>
        <v>0</v>
      </c>
      <c r="O47" s="11"/>
      <c r="P47" s="2">
        <v>1198.07</v>
      </c>
      <c r="Q47" s="2"/>
      <c r="R47" s="19">
        <f t="shared" si="12"/>
        <v>5.1452750747061639E-4</v>
      </c>
      <c r="S47" s="2"/>
      <c r="T47" s="2"/>
      <c r="U47" s="2"/>
      <c r="V47" s="19">
        <f t="shared" si="13"/>
        <v>0</v>
      </c>
      <c r="W47" s="2"/>
      <c r="X47" s="2">
        <f t="shared" si="14"/>
        <v>1198.07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>
        <v>18.899999999999999</v>
      </c>
      <c r="E48" s="2"/>
      <c r="F48" s="19">
        <f t="shared" si="8"/>
        <v>6.1517916507297817E-5</v>
      </c>
      <c r="G48" s="2"/>
      <c r="H48" s="2"/>
      <c r="I48" s="2"/>
      <c r="J48" s="19">
        <f t="shared" si="9"/>
        <v>0</v>
      </c>
      <c r="K48" s="2"/>
      <c r="L48" s="2">
        <f t="shared" si="10"/>
        <v>18.899999999999999</v>
      </c>
      <c r="M48" s="2"/>
      <c r="N48" s="19">
        <f t="shared" si="11"/>
        <v>0</v>
      </c>
      <c r="O48" s="11"/>
      <c r="P48" s="2">
        <v>325.45</v>
      </c>
      <c r="Q48" s="2"/>
      <c r="R48" s="19">
        <f t="shared" si="12"/>
        <v>1.3976894280493804E-4</v>
      </c>
      <c r="S48" s="2"/>
      <c r="T48" s="2"/>
      <c r="U48" s="2"/>
      <c r="V48" s="19">
        <f t="shared" si="13"/>
        <v>0</v>
      </c>
      <c r="W48" s="2"/>
      <c r="X48" s="2">
        <f t="shared" si="14"/>
        <v>325.45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"5037", " - ", "PURCHASES @ COST-WATER")</f>
        <v xml:space="preserve">          5037 - PURCHASES @ COST-WATER</v>
      </c>
      <c r="C49" s="11"/>
      <c r="D49" s="2"/>
      <c r="E49" s="2"/>
      <c r="F49" s="19">
        <f t="shared" si="8"/>
        <v>0</v>
      </c>
      <c r="G49" s="2"/>
      <c r="H49" s="2"/>
      <c r="I49" s="2"/>
      <c r="J49" s="19">
        <f t="shared" si="9"/>
        <v>0</v>
      </c>
      <c r="K49" s="2"/>
      <c r="L49" s="2">
        <f t="shared" si="10"/>
        <v>0</v>
      </c>
      <c r="M49" s="2"/>
      <c r="N49" s="19">
        <f t="shared" si="11"/>
        <v>0</v>
      </c>
      <c r="O49" s="11"/>
      <c r="P49" s="2">
        <v>29.76</v>
      </c>
      <c r="Q49" s="2"/>
      <c r="R49" s="19">
        <f t="shared" si="12"/>
        <v>1.2780838033107869E-5</v>
      </c>
      <c r="S49" s="2"/>
      <c r="T49" s="2"/>
      <c r="U49" s="2"/>
      <c r="V49" s="19">
        <f t="shared" si="13"/>
        <v>0</v>
      </c>
      <c r="W49" s="2"/>
      <c r="X49" s="2">
        <f t="shared" si="14"/>
        <v>29.76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"5040", " - ", "PURCHASES @ COST-LOGO CLOTHING")</f>
        <v xml:space="preserve">          5040 - PURCHASES @ COST-LOGO CLOTHING</v>
      </c>
      <c r="C50" s="11"/>
      <c r="D50" s="2">
        <v>90806.55</v>
      </c>
      <c r="E50" s="2"/>
      <c r="F50" s="19">
        <f t="shared" si="8"/>
        <v>0.29556771223363837</v>
      </c>
      <c r="G50" s="2"/>
      <c r="H50" s="2"/>
      <c r="I50" s="2"/>
      <c r="J50" s="19">
        <f t="shared" si="9"/>
        <v>0</v>
      </c>
      <c r="K50" s="2"/>
      <c r="L50" s="2">
        <f t="shared" si="10"/>
        <v>90806.55</v>
      </c>
      <c r="M50" s="2"/>
      <c r="N50" s="19">
        <f t="shared" si="11"/>
        <v>0</v>
      </c>
      <c r="O50" s="11"/>
      <c r="P50" s="2">
        <v>901545.55999999994</v>
      </c>
      <c r="Q50" s="2"/>
      <c r="R50" s="19">
        <f t="shared" si="12"/>
        <v>0.38718104105603263</v>
      </c>
      <c r="S50" s="2"/>
      <c r="T50" s="2"/>
      <c r="U50" s="2"/>
      <c r="V50" s="19">
        <f t="shared" si="13"/>
        <v>0</v>
      </c>
      <c r="W50" s="2"/>
      <c r="X50" s="2">
        <f t="shared" si="14"/>
        <v>901545.55999999994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"5041", " - ", "PURCHASES @ COST-LOGO GIFTS")</f>
        <v xml:space="preserve">          5041 - PURCHASES @ COST-LOGO GIFTS</v>
      </c>
      <c r="C51" s="11"/>
      <c r="D51" s="2">
        <v>10366.19</v>
      </c>
      <c r="E51" s="2"/>
      <c r="F51" s="19">
        <f t="shared" si="8"/>
        <v>3.3741079942792886E-2</v>
      </c>
      <c r="G51" s="2"/>
      <c r="H51" s="2"/>
      <c r="I51" s="2"/>
      <c r="J51" s="19">
        <f t="shared" si="9"/>
        <v>0</v>
      </c>
      <c r="K51" s="2"/>
      <c r="L51" s="2">
        <f t="shared" si="10"/>
        <v>10366.19</v>
      </c>
      <c r="M51" s="2"/>
      <c r="N51" s="19">
        <f t="shared" si="11"/>
        <v>0</v>
      </c>
      <c r="O51" s="11"/>
      <c r="P51" s="2">
        <v>134382.06</v>
      </c>
      <c r="Q51" s="2"/>
      <c r="R51" s="19">
        <f t="shared" si="12"/>
        <v>5.7712209120140572E-2</v>
      </c>
      <c r="S51" s="2"/>
      <c r="T51" s="2"/>
      <c r="U51" s="2"/>
      <c r="V51" s="19">
        <f t="shared" si="13"/>
        <v>0</v>
      </c>
      <c r="W51" s="2"/>
      <c r="X51" s="2">
        <f t="shared" si="14"/>
        <v>134382.06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"5042", " - ", "PURCHASES @ COST-EVERYDAY GIFT")</f>
        <v xml:space="preserve">          5042 - PURCHASES @ COST-EVERYDAY GIFT</v>
      </c>
      <c r="C52" s="11"/>
      <c r="D52" s="2">
        <v>8647</v>
      </c>
      <c r="E52" s="2"/>
      <c r="F52" s="19">
        <f t="shared" si="8"/>
        <v>2.8145260531143083E-2</v>
      </c>
      <c r="G52" s="2"/>
      <c r="H52" s="2"/>
      <c r="I52" s="2"/>
      <c r="J52" s="19">
        <f t="shared" si="9"/>
        <v>0</v>
      </c>
      <c r="K52" s="2"/>
      <c r="L52" s="2">
        <f t="shared" si="10"/>
        <v>8647</v>
      </c>
      <c r="M52" s="2"/>
      <c r="N52" s="19">
        <f t="shared" si="11"/>
        <v>0</v>
      </c>
      <c r="O52" s="11"/>
      <c r="P52" s="2">
        <v>100007.97</v>
      </c>
      <c r="Q52" s="2"/>
      <c r="R52" s="19">
        <f t="shared" si="12"/>
        <v>4.2949787183800762E-2</v>
      </c>
      <c r="S52" s="2"/>
      <c r="T52" s="2"/>
      <c r="U52" s="2"/>
      <c r="V52" s="19">
        <f t="shared" si="13"/>
        <v>0</v>
      </c>
      <c r="W52" s="2"/>
      <c r="X52" s="2">
        <f t="shared" si="14"/>
        <v>100007.97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"5043", " - ", "PURCHASES @ COST-CARDS")</f>
        <v xml:space="preserve">          5043 - PURCHASES @ COST-CARDS</v>
      </c>
      <c r="C53" s="11"/>
      <c r="D53" s="2">
        <v>18340.75</v>
      </c>
      <c r="E53" s="2"/>
      <c r="F53" s="19">
        <f t="shared" si="8"/>
        <v>5.9697604612763092E-2</v>
      </c>
      <c r="G53" s="2"/>
      <c r="H53" s="2"/>
      <c r="I53" s="2"/>
      <c r="J53" s="19">
        <f t="shared" si="9"/>
        <v>0</v>
      </c>
      <c r="K53" s="2"/>
      <c r="L53" s="2">
        <f t="shared" si="10"/>
        <v>18340.75</v>
      </c>
      <c r="M53" s="2"/>
      <c r="N53" s="19">
        <f t="shared" si="11"/>
        <v>0</v>
      </c>
      <c r="O53" s="11"/>
      <c r="P53" s="2">
        <v>29035.16</v>
      </c>
      <c r="Q53" s="2"/>
      <c r="R53" s="19">
        <f t="shared" si="12"/>
        <v>1.2469545605691272E-2</v>
      </c>
      <c r="S53" s="2"/>
      <c r="T53" s="2"/>
      <c r="U53" s="2"/>
      <c r="V53" s="19">
        <f t="shared" si="13"/>
        <v>0</v>
      </c>
      <c r="W53" s="2"/>
      <c r="X53" s="2">
        <f t="shared" si="14"/>
        <v>29035.16</v>
      </c>
      <c r="Y53" s="2"/>
      <c r="Z53" s="19">
        <f t="shared" si="15"/>
        <v>0</v>
      </c>
    </row>
    <row r="54" spans="1:26" s="24" customFormat="1" hidden="1" outlineLevel="1" x14ac:dyDescent="0.25">
      <c r="A54" s="44"/>
      <c r="B54" s="11" t="str">
        <f>CONCATENATE("          ", "5044", " - ", "PURCHASES @ COST-ACCESSORIES")</f>
        <v xml:space="preserve">          5044 - PURCHASES @ COST-ACCESSORIES</v>
      </c>
      <c r="C54" s="11"/>
      <c r="D54" s="2">
        <v>12532.23</v>
      </c>
      <c r="E54" s="2"/>
      <c r="F54" s="19">
        <f t="shared" si="8"/>
        <v>4.0791358666150947E-2</v>
      </c>
      <c r="G54" s="2"/>
      <c r="H54" s="2"/>
      <c r="I54" s="2"/>
      <c r="J54" s="19">
        <f t="shared" si="9"/>
        <v>0</v>
      </c>
      <c r="K54" s="2"/>
      <c r="L54" s="2">
        <f t="shared" si="10"/>
        <v>12532.23</v>
      </c>
      <c r="M54" s="2"/>
      <c r="N54" s="19">
        <f t="shared" si="11"/>
        <v>0</v>
      </c>
      <c r="O54" s="11"/>
      <c r="P54" s="2">
        <v>33399.440000000002</v>
      </c>
      <c r="Q54" s="2"/>
      <c r="R54" s="19">
        <f t="shared" si="12"/>
        <v>1.4343845196119096E-2</v>
      </c>
      <c r="S54" s="2"/>
      <c r="T54" s="2"/>
      <c r="U54" s="2"/>
      <c r="V54" s="19">
        <f t="shared" si="13"/>
        <v>0</v>
      </c>
      <c r="W54" s="2"/>
      <c r="X54" s="2">
        <f t="shared" si="14"/>
        <v>33399.440000000002</v>
      </c>
      <c r="Y54" s="2"/>
      <c r="Z54" s="19">
        <f t="shared" si="15"/>
        <v>0</v>
      </c>
    </row>
    <row r="55" spans="1:26" s="24" customFormat="1" hidden="1" outlineLevel="1" x14ac:dyDescent="0.25">
      <c r="A55" s="44"/>
      <c r="B55" s="11" t="str">
        <f>CONCATENATE("          ", "5045", " - ", "PURCHASES @ COST-SPECIAL ORDER")</f>
        <v xml:space="preserve">          5045 - PURCHASES @ COST-SPECIAL ORDER</v>
      </c>
      <c r="C55" s="11"/>
      <c r="D55" s="2">
        <v>2948.55</v>
      </c>
      <c r="E55" s="2"/>
      <c r="F55" s="19">
        <f t="shared" si="8"/>
        <v>9.5972832125710578E-3</v>
      </c>
      <c r="G55" s="2"/>
      <c r="H55" s="2"/>
      <c r="I55" s="2"/>
      <c r="J55" s="19">
        <f t="shared" si="9"/>
        <v>0</v>
      </c>
      <c r="K55" s="2"/>
      <c r="L55" s="2">
        <f t="shared" si="10"/>
        <v>2948.55</v>
      </c>
      <c r="M55" s="2"/>
      <c r="N55" s="19">
        <f t="shared" si="11"/>
        <v>0</v>
      </c>
      <c r="O55" s="11"/>
      <c r="P55" s="2">
        <v>50964.780000000006</v>
      </c>
      <c r="Q55" s="2"/>
      <c r="R55" s="19">
        <f t="shared" si="12"/>
        <v>2.1887520113339224E-2</v>
      </c>
      <c r="S55" s="2"/>
      <c r="T55" s="2"/>
      <c r="U55" s="2"/>
      <c r="V55" s="19">
        <f t="shared" si="13"/>
        <v>0</v>
      </c>
      <c r="W55" s="2"/>
      <c r="X55" s="2">
        <f t="shared" si="14"/>
        <v>50964.780000000006</v>
      </c>
      <c r="Y55" s="2"/>
      <c r="Z55" s="19">
        <f t="shared" si="15"/>
        <v>0</v>
      </c>
    </row>
    <row r="56" spans="1:26" s="24" customFormat="1" hidden="1" outlineLevel="1" x14ac:dyDescent="0.25">
      <c r="A56" s="44"/>
      <c r="B56" s="11" t="str">
        <f>CONCATENATE("          ", "5083", " - ", "PURCHASES @ COST-COMPUTER EQUI")</f>
        <v xml:space="preserve">          5083 - PURCHASES @ COST-COMPUTER EQUI</v>
      </c>
      <c r="C56" s="11"/>
      <c r="D56" s="2"/>
      <c r="E56" s="2"/>
      <c r="F56" s="19">
        <f t="shared" si="8"/>
        <v>0</v>
      </c>
      <c r="G56" s="2"/>
      <c r="H56" s="2"/>
      <c r="I56" s="2"/>
      <c r="J56" s="19">
        <f t="shared" si="9"/>
        <v>0</v>
      </c>
      <c r="K56" s="2"/>
      <c r="L56" s="2">
        <f t="shared" si="10"/>
        <v>0</v>
      </c>
      <c r="M56" s="2"/>
      <c r="N56" s="19">
        <f t="shared" si="11"/>
        <v>0</v>
      </c>
      <c r="O56" s="11"/>
      <c r="P56" s="2">
        <v>90.35</v>
      </c>
      <c r="Q56" s="2"/>
      <c r="R56" s="19">
        <f t="shared" si="12"/>
        <v>3.8802040197960207E-5</v>
      </c>
      <c r="S56" s="2"/>
      <c r="T56" s="2"/>
      <c r="U56" s="2"/>
      <c r="V56" s="19">
        <f t="shared" si="13"/>
        <v>0</v>
      </c>
      <c r="W56" s="2"/>
      <c r="X56" s="2">
        <f t="shared" si="14"/>
        <v>90.35</v>
      </c>
      <c r="Y56" s="2"/>
      <c r="Z56" s="19">
        <f t="shared" si="15"/>
        <v>0</v>
      </c>
    </row>
    <row r="57" spans="1:26" s="24" customFormat="1" hidden="1" outlineLevel="1" x14ac:dyDescent="0.25">
      <c r="A57" s="44"/>
      <c r="B57" s="11" t="str">
        <f>CONCATENATE("          ", "5092", " - ", "PURCHASES @ COST-GRAD MERCH")</f>
        <v xml:space="preserve">          5092 - PURCHASES @ COST-GRAD MERCH</v>
      </c>
      <c r="C57" s="11"/>
      <c r="D57" s="2"/>
      <c r="E57" s="2"/>
      <c r="F57" s="19">
        <f t="shared" si="8"/>
        <v>0</v>
      </c>
      <c r="G57" s="2"/>
      <c r="H57" s="2"/>
      <c r="I57" s="2"/>
      <c r="J57" s="19">
        <f t="shared" si="9"/>
        <v>0</v>
      </c>
      <c r="K57" s="2"/>
      <c r="L57" s="2">
        <f t="shared" si="10"/>
        <v>0</v>
      </c>
      <c r="M57" s="2"/>
      <c r="N57" s="19">
        <f t="shared" si="11"/>
        <v>0</v>
      </c>
      <c r="O57" s="11"/>
      <c r="P57" s="2">
        <v>-60.35</v>
      </c>
      <c r="Q57" s="2"/>
      <c r="R57" s="19">
        <f t="shared" si="12"/>
        <v>-2.5918130890391795E-5</v>
      </c>
      <c r="S57" s="2"/>
      <c r="T57" s="2"/>
      <c r="U57" s="2"/>
      <c r="V57" s="19">
        <f t="shared" si="13"/>
        <v>0</v>
      </c>
      <c r="W57" s="2"/>
      <c r="X57" s="2">
        <f t="shared" si="14"/>
        <v>-60.35</v>
      </c>
      <c r="Y57" s="2"/>
      <c r="Z57" s="19">
        <f t="shared" si="15"/>
        <v>0</v>
      </c>
    </row>
    <row r="58" spans="1:26" s="24" customFormat="1" hidden="1" outlineLevel="1" x14ac:dyDescent="0.25">
      <c r="A58" s="44"/>
      <c r="B58" s="11" t="str">
        <f>CONCATENATE("          ", "5095", " - ", "PURCHASES @ COST-CUSTOMER SERV")</f>
        <v xml:space="preserve">          5095 - PURCHASES @ COST-CUSTOMER SERV</v>
      </c>
      <c r="C58" s="11"/>
      <c r="D58" s="2"/>
      <c r="E58" s="2"/>
      <c r="F58" s="19">
        <f t="shared" si="8"/>
        <v>0</v>
      </c>
      <c r="G58" s="2"/>
      <c r="H58" s="2"/>
      <c r="I58" s="2"/>
      <c r="J58" s="19">
        <f t="shared" si="9"/>
        <v>0</v>
      </c>
      <c r="K58" s="2"/>
      <c r="L58" s="2">
        <f t="shared" si="10"/>
        <v>0</v>
      </c>
      <c r="M58" s="2"/>
      <c r="N58" s="19">
        <f t="shared" si="11"/>
        <v>0</v>
      </c>
      <c r="O58" s="11"/>
      <c r="P58" s="2">
        <v>-11.85</v>
      </c>
      <c r="Q58" s="2"/>
      <c r="R58" s="19">
        <f t="shared" si="12"/>
        <v>-5.0891441764895243E-6</v>
      </c>
      <c r="S58" s="2"/>
      <c r="T58" s="2"/>
      <c r="U58" s="2"/>
      <c r="V58" s="19">
        <f t="shared" si="13"/>
        <v>0</v>
      </c>
      <c r="W58" s="2"/>
      <c r="X58" s="2">
        <f t="shared" si="14"/>
        <v>-11.85</v>
      </c>
      <c r="Y58" s="2"/>
      <c r="Z58" s="19">
        <f t="shared" si="15"/>
        <v>0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-173843</v>
      </c>
      <c r="E59" s="2"/>
      <c r="F59" s="19">
        <f t="shared" si="8"/>
        <v>-0.56584439996709923</v>
      </c>
      <c r="G59" s="2"/>
      <c r="H59" s="2"/>
      <c r="I59" s="2"/>
      <c r="J59" s="19">
        <f t="shared" si="9"/>
        <v>0</v>
      </c>
      <c r="K59" s="2"/>
      <c r="L59" s="2">
        <f t="shared" si="10"/>
        <v>-173843</v>
      </c>
      <c r="M59" s="2"/>
      <c r="N59" s="19">
        <f t="shared" si="11"/>
        <v>0</v>
      </c>
      <c r="O59" s="11"/>
      <c r="P59" s="2">
        <v>-1251326</v>
      </c>
      <c r="Q59" s="2"/>
      <c r="R59" s="19">
        <f t="shared" si="12"/>
        <v>-0.53739902327341182</v>
      </c>
      <c r="S59" s="2"/>
      <c r="T59" s="2"/>
      <c r="U59" s="2"/>
      <c r="V59" s="19">
        <f t="shared" si="13"/>
        <v>0</v>
      </c>
      <c r="W59" s="2"/>
      <c r="X59" s="2">
        <f t="shared" si="14"/>
        <v>-1251326</v>
      </c>
      <c r="Y59" s="2"/>
      <c r="Z59" s="19">
        <f t="shared" si="15"/>
        <v>0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>
        <v>174526</v>
      </c>
      <c r="E60" s="2"/>
      <c r="F60" s="19">
        <f t="shared" si="8"/>
        <v>0.56806750774352688</v>
      </c>
      <c r="G60" s="2"/>
      <c r="H60" s="2"/>
      <c r="I60" s="2"/>
      <c r="J60" s="19">
        <f t="shared" si="9"/>
        <v>0</v>
      </c>
      <c r="K60" s="2"/>
      <c r="L60" s="2">
        <f t="shared" si="10"/>
        <v>174526</v>
      </c>
      <c r="M60" s="2"/>
      <c r="N60" s="19">
        <f t="shared" si="11"/>
        <v>0</v>
      </c>
      <c r="O60" s="11"/>
      <c r="P60" s="2">
        <v>1032997</v>
      </c>
      <c r="Q60" s="2"/>
      <c r="R60" s="19">
        <f t="shared" si="12"/>
        <v>0.44363465543300834</v>
      </c>
      <c r="S60" s="2"/>
      <c r="T60" s="2"/>
      <c r="U60" s="2"/>
      <c r="V60" s="19">
        <f t="shared" si="13"/>
        <v>0</v>
      </c>
      <c r="W60" s="2"/>
      <c r="X60" s="2">
        <f t="shared" si="14"/>
        <v>1032997</v>
      </c>
      <c r="Y60" s="2"/>
      <c r="Z60" s="19">
        <f t="shared" si="15"/>
        <v>0</v>
      </c>
    </row>
    <row r="61" spans="1:26" s="24" customFormat="1" hidden="1" outlineLevel="1" x14ac:dyDescent="0.25">
      <c r="A61" s="44"/>
      <c r="B61" s="11" t="str">
        <f>CONCATENATE("          ", "5500", " - ", "FREIGHT-IN")</f>
        <v xml:space="preserve">          5500 - FREIGHT-IN</v>
      </c>
      <c r="C61" s="11"/>
      <c r="D61" s="2"/>
      <c r="E61" s="2"/>
      <c r="F61" s="19">
        <f t="shared" si="8"/>
        <v>0</v>
      </c>
      <c r="G61" s="2"/>
      <c r="H61" s="2"/>
      <c r="I61" s="2"/>
      <c r="J61" s="19">
        <f t="shared" si="9"/>
        <v>0</v>
      </c>
      <c r="K61" s="2"/>
      <c r="L61" s="2">
        <f t="shared" si="10"/>
        <v>0</v>
      </c>
      <c r="M61" s="2"/>
      <c r="N61" s="19">
        <f t="shared" si="11"/>
        <v>0</v>
      </c>
      <c r="O61" s="11"/>
      <c r="P61" s="2">
        <v>29.23</v>
      </c>
      <c r="Q61" s="2"/>
      <c r="R61" s="19">
        <f t="shared" si="12"/>
        <v>1.2553222302007494E-5</v>
      </c>
      <c r="S61" s="2"/>
      <c r="T61" s="2"/>
      <c r="U61" s="2"/>
      <c r="V61" s="19">
        <f t="shared" si="13"/>
        <v>0</v>
      </c>
      <c r="W61" s="2"/>
      <c r="X61" s="2">
        <f t="shared" si="14"/>
        <v>29.23</v>
      </c>
      <c r="Y61" s="2"/>
      <c r="Z61" s="19">
        <f t="shared" si="15"/>
        <v>0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2803.41</v>
      </c>
      <c r="E62" s="2"/>
      <c r="F62" s="19">
        <f t="shared" si="8"/>
        <v>9.1248646727896173E-3</v>
      </c>
      <c r="G62" s="2"/>
      <c r="H62" s="2"/>
      <c r="I62" s="2"/>
      <c r="J62" s="19">
        <f t="shared" si="9"/>
        <v>0</v>
      </c>
      <c r="K62" s="2"/>
      <c r="L62" s="2">
        <f t="shared" si="10"/>
        <v>2803.41</v>
      </c>
      <c r="M62" s="2"/>
      <c r="N62" s="19">
        <f t="shared" si="11"/>
        <v>0</v>
      </c>
      <c r="O62" s="11"/>
      <c r="P62" s="2">
        <v>28481.3</v>
      </c>
      <c r="Q62" s="2"/>
      <c r="R62" s="19">
        <f t="shared" si="12"/>
        <v>1.2231682872054943E-2</v>
      </c>
      <c r="S62" s="2"/>
      <c r="T62" s="2"/>
      <c r="U62" s="2"/>
      <c r="V62" s="19">
        <f t="shared" si="13"/>
        <v>0</v>
      </c>
      <c r="W62" s="2"/>
      <c r="X62" s="2">
        <f t="shared" si="14"/>
        <v>28481.3</v>
      </c>
      <c r="Y62" s="2"/>
      <c r="Z62" s="19">
        <f t="shared" si="15"/>
        <v>0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486.35</v>
      </c>
      <c r="E63" s="2"/>
      <c r="F63" s="19">
        <f t="shared" si="8"/>
        <v>1.5830285022922907E-3</v>
      </c>
      <c r="G63" s="2"/>
      <c r="H63" s="2"/>
      <c r="I63" s="2"/>
      <c r="J63" s="19">
        <f t="shared" si="9"/>
        <v>0</v>
      </c>
      <c r="K63" s="2"/>
      <c r="L63" s="2">
        <f t="shared" si="10"/>
        <v>486.35</v>
      </c>
      <c r="M63" s="2"/>
      <c r="N63" s="19">
        <f t="shared" si="11"/>
        <v>0</v>
      </c>
      <c r="O63" s="11"/>
      <c r="P63" s="2">
        <v>4073.92</v>
      </c>
      <c r="Q63" s="2"/>
      <c r="R63" s="19">
        <f t="shared" si="12"/>
        <v>1.7496005268763041E-3</v>
      </c>
      <c r="S63" s="2"/>
      <c r="T63" s="2"/>
      <c r="U63" s="2"/>
      <c r="V63" s="19">
        <f t="shared" si="13"/>
        <v>0</v>
      </c>
      <c r="W63" s="2"/>
      <c r="X63" s="2">
        <f t="shared" si="14"/>
        <v>4073.92</v>
      </c>
      <c r="Y63" s="2"/>
      <c r="Z63" s="19">
        <f t="shared" si="15"/>
        <v>0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>
        <v>43.37</v>
      </c>
      <c r="E64" s="2"/>
      <c r="F64" s="19">
        <f t="shared" si="8"/>
        <v>1.4116571634505324E-4</v>
      </c>
      <c r="G64" s="2"/>
      <c r="H64" s="2"/>
      <c r="I64" s="2"/>
      <c r="J64" s="19">
        <f t="shared" si="9"/>
        <v>0</v>
      </c>
      <c r="K64" s="2"/>
      <c r="L64" s="2">
        <f t="shared" si="10"/>
        <v>43.37</v>
      </c>
      <c r="M64" s="2"/>
      <c r="N64" s="19">
        <f t="shared" si="11"/>
        <v>0</v>
      </c>
      <c r="O64" s="11"/>
      <c r="P64" s="2">
        <v>1751.7</v>
      </c>
      <c r="Q64" s="2"/>
      <c r="R64" s="19">
        <f t="shared" si="12"/>
        <v>7.522914644689198E-4</v>
      </c>
      <c r="S64" s="2"/>
      <c r="T64" s="2"/>
      <c r="U64" s="2"/>
      <c r="V64" s="19">
        <f t="shared" si="13"/>
        <v>0</v>
      </c>
      <c r="W64" s="2"/>
      <c r="X64" s="2">
        <f t="shared" si="14"/>
        <v>1751.7</v>
      </c>
      <c r="Y64" s="2"/>
      <c r="Z64" s="19">
        <f t="shared" si="15"/>
        <v>0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>
        <v>2779.77</v>
      </c>
      <c r="E65" s="2"/>
      <c r="F65" s="19">
        <f t="shared" si="8"/>
        <v>9.0479184534122351E-3</v>
      </c>
      <c r="G65" s="2"/>
      <c r="H65" s="2"/>
      <c r="I65" s="2"/>
      <c r="J65" s="19">
        <f t="shared" si="9"/>
        <v>0</v>
      </c>
      <c r="K65" s="2"/>
      <c r="L65" s="2">
        <f t="shared" si="10"/>
        <v>2779.77</v>
      </c>
      <c r="M65" s="2"/>
      <c r="N65" s="19">
        <f t="shared" si="11"/>
        <v>0</v>
      </c>
      <c r="O65" s="11"/>
      <c r="P65" s="2">
        <v>2901.12</v>
      </c>
      <c r="Q65" s="2"/>
      <c r="R65" s="19">
        <f t="shared" si="12"/>
        <v>1.245925565679096E-3</v>
      </c>
      <c r="S65" s="2"/>
      <c r="T65" s="2"/>
      <c r="U65" s="2"/>
      <c r="V65" s="19">
        <f t="shared" si="13"/>
        <v>0</v>
      </c>
      <c r="W65" s="2"/>
      <c r="X65" s="2">
        <f t="shared" si="14"/>
        <v>2901.12</v>
      </c>
      <c r="Y65" s="2"/>
      <c r="Z65" s="19">
        <f t="shared" si="15"/>
        <v>0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>
        <v>41.13</v>
      </c>
      <c r="E66" s="2"/>
      <c r="F66" s="19">
        <f t="shared" si="8"/>
        <v>1.3387470401826241E-4</v>
      </c>
      <c r="G66" s="2"/>
      <c r="H66" s="2"/>
      <c r="I66" s="2"/>
      <c r="J66" s="19">
        <f t="shared" si="9"/>
        <v>0</v>
      </c>
      <c r="K66" s="2"/>
      <c r="L66" s="2">
        <f t="shared" si="10"/>
        <v>41.13</v>
      </c>
      <c r="M66" s="2"/>
      <c r="N66" s="19">
        <f t="shared" si="11"/>
        <v>0</v>
      </c>
      <c r="O66" s="11"/>
      <c r="P66" s="2">
        <v>483.44</v>
      </c>
      <c r="Q66" s="2"/>
      <c r="R66" s="19">
        <f t="shared" si="12"/>
        <v>2.0761990385502916E-4</v>
      </c>
      <c r="S66" s="2"/>
      <c r="T66" s="2"/>
      <c r="U66" s="2"/>
      <c r="V66" s="19">
        <f t="shared" si="13"/>
        <v>0</v>
      </c>
      <c r="W66" s="2"/>
      <c r="X66" s="2">
        <f t="shared" si="14"/>
        <v>483.44</v>
      </c>
      <c r="Y66" s="2"/>
      <c r="Z66" s="19">
        <f t="shared" si="15"/>
        <v>0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4.49</v>
      </c>
      <c r="E67" s="2"/>
      <c r="F67" s="19">
        <f t="shared" si="8"/>
        <v>1.4614573815754879E-5</v>
      </c>
      <c r="G67" s="2"/>
      <c r="H67" s="2"/>
      <c r="I67" s="2"/>
      <c r="J67" s="19">
        <f t="shared" si="9"/>
        <v>0</v>
      </c>
      <c r="K67" s="2"/>
      <c r="L67" s="2">
        <f t="shared" si="10"/>
        <v>4.49</v>
      </c>
      <c r="M67" s="2"/>
      <c r="N67" s="19">
        <f t="shared" si="11"/>
        <v>0</v>
      </c>
      <c r="O67" s="11"/>
      <c r="P67" s="2">
        <v>846.39</v>
      </c>
      <c r="Q67" s="2"/>
      <c r="R67" s="19">
        <f t="shared" si="12"/>
        <v>3.6349373329442773E-4</v>
      </c>
      <c r="S67" s="2"/>
      <c r="T67" s="2"/>
      <c r="U67" s="2"/>
      <c r="V67" s="19">
        <f t="shared" si="13"/>
        <v>0</v>
      </c>
      <c r="W67" s="2"/>
      <c r="X67" s="2">
        <f t="shared" si="14"/>
        <v>846.39</v>
      </c>
      <c r="Y67" s="2"/>
      <c r="Z67" s="19">
        <f t="shared" si="15"/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6</v>
      </c>
      <c r="C69" s="28"/>
      <c r="D69" s="21">
        <f>D12-D44</f>
        <v>156802.95000000007</v>
      </c>
      <c r="E69" s="14"/>
      <c r="F69" s="22">
        <f>IF(D$12=0,0,D69/D$12)</f>
        <v>0.51038046487820099</v>
      </c>
      <c r="G69" s="14"/>
      <c r="H69" s="21">
        <f>H12-H44</f>
        <v>197826.33213000002</v>
      </c>
      <c r="I69" s="14"/>
      <c r="J69" s="22">
        <f>IF(H$12=0,0,H69/H$12)</f>
        <v>0.55851632214603186</v>
      </c>
      <c r="K69" s="15"/>
      <c r="L69" s="21">
        <f>+D69-H69</f>
        <v>-41023.382129999954</v>
      </c>
      <c r="M69" s="15"/>
      <c r="N69" s="22">
        <f>IF(H69=0,0,L69/H69)</f>
        <v>-0.20737068563269809</v>
      </c>
      <c r="O69" s="29"/>
      <c r="P69" s="21">
        <f>P12-P44</f>
        <v>1257335.2500000019</v>
      </c>
      <c r="Q69" s="14"/>
      <c r="R69" s="22">
        <f>IF(P$12=0,0,P69/P$12)</f>
        <v>0.53997977767362948</v>
      </c>
      <c r="S69" s="14"/>
      <c r="T69" s="21">
        <f>T12-T44</f>
        <v>1290632.3229100001</v>
      </c>
      <c r="U69" s="14"/>
      <c r="V69" s="22">
        <f>IF(T$12=0,0,T69/T$12)</f>
        <v>0.55076905123189313</v>
      </c>
      <c r="W69" s="15"/>
      <c r="X69" s="21">
        <f>+P69-T69</f>
        <v>-33297.072909998242</v>
      </c>
      <c r="Y69" s="15"/>
      <c r="Z69" s="22">
        <f>IF(T69=0,0,X69/T69)</f>
        <v>-2.5799038439486031E-2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9</v>
      </c>
      <c r="C71" s="10"/>
      <c r="D71" s="20">
        <f>SUM(OSRRefD22x_0)</f>
        <v>108090.71</v>
      </c>
      <c r="E71" s="20"/>
      <c r="F71" s="34">
        <f t="shared" ref="F71:F81" si="16">IF(D$12=0,0,D71/D$12)</f>
        <v>0.35182620492034611</v>
      </c>
      <c r="G71" s="20"/>
      <c r="H71" s="20">
        <f>SUM(OSRRefH22x_0)</f>
        <v>88547.269795575005</v>
      </c>
      <c r="I71" s="20"/>
      <c r="J71" s="34">
        <f t="shared" ref="J71:J81" si="17">IF(H$12=0,0,H71/H$12)</f>
        <v>0.24999248042367758</v>
      </c>
      <c r="K71" s="4"/>
      <c r="L71" s="20">
        <f t="shared" ref="L71:L81" si="18">+D71-H71</f>
        <v>19543.440204425002</v>
      </c>
      <c r="M71" s="4"/>
      <c r="N71" s="34">
        <f t="shared" ref="N71:N81" si="19">IF(H71=0,0,L71/H71)</f>
        <v>0.22071194571604569</v>
      </c>
      <c r="O71" s="10"/>
      <c r="P71" s="20">
        <f>SUM(OSRRefP22x_0)</f>
        <v>752545.41000000015</v>
      </c>
      <c r="Q71" s="20"/>
      <c r="R71" s="34">
        <f t="shared" ref="R71:R81" si="20">IF(P$12=0,0,P71/P$12)</f>
        <v>0.3231908937422297</v>
      </c>
      <c r="S71" s="20"/>
      <c r="T71" s="20">
        <f>SUM(OSRRefT22x_0)</f>
        <v>711518.34544078121</v>
      </c>
      <c r="U71" s="20"/>
      <c r="V71" s="34">
        <f t="shared" ref="V71:V81" si="21">IF(T$12=0,0,T71/T$12)</f>
        <v>0.30363588226964983</v>
      </c>
      <c r="W71" s="4"/>
      <c r="X71" s="20">
        <f t="shared" ref="X71:X81" si="22">+P71-T71</f>
        <v>41027.064559218939</v>
      </c>
      <c r="Y71" s="4"/>
      <c r="Z71" s="34">
        <f t="shared" ref="Z71:Z81" si="23">IF(T71=0,0,X71/T71)</f>
        <v>5.7661288457436649E-2</v>
      </c>
    </row>
    <row r="72" spans="1:26" s="27" customFormat="1" outlineLevel="1" collapsed="1" x14ac:dyDescent="0.25">
      <c r="A72" s="26"/>
      <c r="B72" s="13" t="str">
        <f>CONCATENATE("     ","*Benefits                                         ")</f>
        <v xml:space="preserve">     *Benefits                                         </v>
      </c>
      <c r="C72" s="13"/>
      <c r="D72" s="1">
        <f>SUM(OSRRefD22_0x_0)</f>
        <v>6806.54</v>
      </c>
      <c r="E72" s="1"/>
      <c r="F72" s="5">
        <f t="shared" si="16"/>
        <v>2.2154717429819202E-2</v>
      </c>
      <c r="G72" s="1"/>
      <c r="H72" s="1">
        <f>SUM(OSRRefH22_0x_0)</f>
        <v>6087.1561705750009</v>
      </c>
      <c r="I72" s="1"/>
      <c r="J72" s="5">
        <f t="shared" si="17"/>
        <v>1.7185659968077135E-2</v>
      </c>
      <c r="K72" s="1"/>
      <c r="L72" s="1">
        <f t="shared" si="18"/>
        <v>719.38382942499902</v>
      </c>
      <c r="M72" s="1"/>
      <c r="N72" s="5">
        <f t="shared" si="19"/>
        <v>0.11818061000347968</v>
      </c>
      <c r="O72" s="13"/>
      <c r="P72" s="1">
        <f>SUM(OSRRefP22_0x_0)</f>
        <v>66585</v>
      </c>
      <c r="Q72" s="1"/>
      <c r="R72" s="5">
        <f t="shared" si="20"/>
        <v>2.8595836708148099E-2</v>
      </c>
      <c r="S72" s="1"/>
      <c r="T72" s="1">
        <f>SUM(OSRRefT22_0x_0)</f>
        <v>52469.256222031247</v>
      </c>
      <c r="U72" s="1"/>
      <c r="V72" s="5">
        <f t="shared" si="21"/>
        <v>2.2390917967321382E-2</v>
      </c>
      <c r="W72" s="1"/>
      <c r="X72" s="1">
        <f t="shared" si="22"/>
        <v>14115.743777968753</v>
      </c>
      <c r="Y72" s="1"/>
      <c r="Z72" s="5">
        <f t="shared" si="23"/>
        <v>0.26902885221463674</v>
      </c>
    </row>
    <row r="73" spans="1:26" s="24" customFormat="1" hidden="1" outlineLevel="2" x14ac:dyDescent="0.25">
      <c r="A73" s="25"/>
      <c r="B73" s="11" t="str">
        <f>CONCATENATE("          ", "6111", " - ", "F.I.C.A.")</f>
        <v xml:space="preserve">          6111 - F.I.C.A.</v>
      </c>
      <c r="C73" s="11"/>
      <c r="D73" s="6">
        <v>1316.99</v>
      </c>
      <c r="E73" s="2"/>
      <c r="F73" s="7">
        <f t="shared" si="16"/>
        <v>4.2866921090447697E-3</v>
      </c>
      <c r="G73" s="2"/>
      <c r="H73" s="6">
        <v>981.66772057499998</v>
      </c>
      <c r="I73" s="2"/>
      <c r="J73" s="7">
        <f t="shared" si="17"/>
        <v>2.7715089238207744E-3</v>
      </c>
      <c r="K73" s="2"/>
      <c r="L73" s="6">
        <f t="shared" si="18"/>
        <v>335.32227942500003</v>
      </c>
      <c r="M73" s="2"/>
      <c r="N73" s="7">
        <f t="shared" si="19"/>
        <v>0.34158429822729536</v>
      </c>
      <c r="O73" s="11"/>
      <c r="P73" s="6">
        <v>13815.5</v>
      </c>
      <c r="Q73" s="2"/>
      <c r="R73" s="7">
        <f t="shared" si="20"/>
        <v>5.9332549679570485E-3</v>
      </c>
      <c r="S73" s="2"/>
      <c r="T73" s="6">
        <v>11308.454732531251</v>
      </c>
      <c r="U73" s="2"/>
      <c r="V73" s="7">
        <f t="shared" si="21"/>
        <v>4.8258103980318261E-3</v>
      </c>
      <c r="W73" s="2"/>
      <c r="X73" s="6">
        <f t="shared" si="22"/>
        <v>2507.0452674687494</v>
      </c>
      <c r="Y73" s="2"/>
      <c r="Z73" s="7">
        <f t="shared" si="23"/>
        <v>0.22169653827739025</v>
      </c>
    </row>
    <row r="74" spans="1:26" s="24" customFormat="1" hidden="1" outlineLevel="2" x14ac:dyDescent="0.25">
      <c r="A74" s="25"/>
      <c r="B74" s="11" t="str">
        <f>CONCATENATE("          ", "6112", " - ", "COMPENSATION INSURANCE")</f>
        <v xml:space="preserve">          6112 - COMPENSATION INSURANCE</v>
      </c>
      <c r="C74" s="11"/>
      <c r="D74" s="6">
        <v>571.94000000000005</v>
      </c>
      <c r="E74" s="2"/>
      <c r="F74" s="7">
        <f t="shared" si="16"/>
        <v>1.8616167813324824E-3</v>
      </c>
      <c r="G74" s="2"/>
      <c r="H74" s="6">
        <v>658.96346249999999</v>
      </c>
      <c r="I74" s="2"/>
      <c r="J74" s="7">
        <f t="shared" si="17"/>
        <v>1.8604290214624148E-3</v>
      </c>
      <c r="K74" s="2"/>
      <c r="L74" s="6">
        <f t="shared" si="18"/>
        <v>-87.023462499999937</v>
      </c>
      <c r="M74" s="2"/>
      <c r="N74" s="7">
        <f t="shared" si="19"/>
        <v>-0.1320611345731478</v>
      </c>
      <c r="O74" s="11"/>
      <c r="P74" s="6">
        <v>4779.3</v>
      </c>
      <c r="Q74" s="2"/>
      <c r="R74" s="7">
        <f t="shared" si="20"/>
        <v>2.0525355917887242E-3</v>
      </c>
      <c r="S74" s="2"/>
      <c r="T74" s="6">
        <v>4945.5572268749993</v>
      </c>
      <c r="U74" s="2"/>
      <c r="V74" s="7">
        <f t="shared" si="21"/>
        <v>2.1104847703778754E-3</v>
      </c>
      <c r="W74" s="2"/>
      <c r="X74" s="6">
        <f t="shared" si="22"/>
        <v>-166.25722687499911</v>
      </c>
      <c r="Y74" s="2"/>
      <c r="Z74" s="7">
        <f t="shared" si="23"/>
        <v>-3.3617491264994179E-2</v>
      </c>
    </row>
    <row r="75" spans="1:26" s="24" customFormat="1" hidden="1" outlineLevel="2" x14ac:dyDescent="0.25">
      <c r="A75" s="25"/>
      <c r="B75" s="11" t="str">
        <f>CONCATENATE("          ", "6113", " - ", "GROUP INSURANCE")</f>
        <v xml:space="preserve">          6113 - GROUP INSURANCE</v>
      </c>
      <c r="C75" s="11"/>
      <c r="D75" s="6">
        <v>2447</v>
      </c>
      <c r="E75" s="2"/>
      <c r="F75" s="7">
        <f t="shared" si="16"/>
        <v>7.9647799837755436E-3</v>
      </c>
      <c r="G75" s="2"/>
      <c r="H75" s="6">
        <v>2863.75</v>
      </c>
      <c r="I75" s="2"/>
      <c r="J75" s="7">
        <f t="shared" si="17"/>
        <v>8.0851274970544975E-3</v>
      </c>
      <c r="K75" s="2"/>
      <c r="L75" s="6">
        <f t="shared" si="18"/>
        <v>-416.75</v>
      </c>
      <c r="M75" s="2"/>
      <c r="N75" s="7">
        <f t="shared" si="19"/>
        <v>-0.14552597119161939</v>
      </c>
      <c r="O75" s="11"/>
      <c r="P75" s="6">
        <v>23987.329999999998</v>
      </c>
      <c r="Q75" s="2"/>
      <c r="R75" s="7">
        <f t="shared" si="20"/>
        <v>1.0301686141690502E-2</v>
      </c>
      <c r="S75" s="2"/>
      <c r="T75" s="6">
        <v>22910</v>
      </c>
      <c r="U75" s="2"/>
      <c r="V75" s="7">
        <f t="shared" si="21"/>
        <v>9.7766952986831183E-3</v>
      </c>
      <c r="W75" s="2"/>
      <c r="X75" s="6">
        <f t="shared" si="22"/>
        <v>1077.3299999999981</v>
      </c>
      <c r="Y75" s="2"/>
      <c r="Z75" s="7">
        <f t="shared" si="23"/>
        <v>4.7024443474465216E-2</v>
      </c>
    </row>
    <row r="76" spans="1:26" s="24" customFormat="1" hidden="1" outlineLevel="2" x14ac:dyDescent="0.25">
      <c r="A76" s="25"/>
      <c r="B76" s="11" t="str">
        <f>CONCATENATE("          ", "6114", " - ", "STATE UNEMPLOYMENT INSURANCE")</f>
        <v xml:space="preserve">          6114 - STATE UNEMPLOYMENT INSURANCE</v>
      </c>
      <c r="C76" s="11"/>
      <c r="D76" s="6">
        <v>83.41</v>
      </c>
      <c r="E76" s="2"/>
      <c r="F76" s="7">
        <f t="shared" si="16"/>
        <v>2.7149256168643973E-4</v>
      </c>
      <c r="G76" s="2"/>
      <c r="H76" s="6">
        <v>90.173947499999997</v>
      </c>
      <c r="I76" s="2"/>
      <c r="J76" s="7">
        <f t="shared" si="17"/>
        <v>2.5458502398959361E-4</v>
      </c>
      <c r="K76" s="2"/>
      <c r="L76" s="6">
        <f t="shared" si="18"/>
        <v>-6.7639475000000004</v>
      </c>
      <c r="M76" s="2"/>
      <c r="N76" s="7">
        <f t="shared" si="19"/>
        <v>-7.5009996651194635E-2</v>
      </c>
      <c r="O76" s="11"/>
      <c r="P76" s="6">
        <v>744.45</v>
      </c>
      <c r="Q76" s="2"/>
      <c r="R76" s="7">
        <f t="shared" si="20"/>
        <v>3.1971420946731027E-4</v>
      </c>
      <c r="S76" s="2"/>
      <c r="T76" s="6">
        <v>676.76046262500006</v>
      </c>
      <c r="U76" s="2"/>
      <c r="V76" s="7">
        <f t="shared" si="21"/>
        <v>2.8880317910434092E-4</v>
      </c>
      <c r="W76" s="2"/>
      <c r="X76" s="6">
        <f t="shared" si="22"/>
        <v>67.689537374999986</v>
      </c>
      <c r="Y76" s="2"/>
      <c r="Z76" s="7">
        <f t="shared" si="23"/>
        <v>0.10001993484141737</v>
      </c>
    </row>
    <row r="77" spans="1:26" s="24" customFormat="1" hidden="1" outlineLevel="2" x14ac:dyDescent="0.25">
      <c r="A77" s="25"/>
      <c r="B77" s="11" t="str">
        <f>CONCATENATE("          ", "6115", " - ", "P.E.R.S.")</f>
        <v xml:space="preserve">          6115 - P.E.R.S.</v>
      </c>
      <c r="C77" s="11"/>
      <c r="D77" s="6">
        <v>777.67</v>
      </c>
      <c r="E77" s="2"/>
      <c r="F77" s="7">
        <f t="shared" si="16"/>
        <v>2.5312506947211795E-3</v>
      </c>
      <c r="G77" s="2"/>
      <c r="H77" s="6">
        <v>782.03906500000005</v>
      </c>
      <c r="I77" s="2"/>
      <c r="J77" s="7">
        <f t="shared" si="17"/>
        <v>2.2079041634927247E-3</v>
      </c>
      <c r="K77" s="2"/>
      <c r="L77" s="6">
        <f t="shared" si="18"/>
        <v>-4.3690650000000915</v>
      </c>
      <c r="M77" s="2"/>
      <c r="N77" s="7">
        <f t="shared" si="19"/>
        <v>-5.5867605539629802E-3</v>
      </c>
      <c r="O77" s="11"/>
      <c r="P77" s="6">
        <v>8319.07</v>
      </c>
      <c r="Q77" s="2"/>
      <c r="R77" s="7">
        <f t="shared" si="20"/>
        <v>3.5727381134437724E-3</v>
      </c>
      <c r="S77" s="2"/>
      <c r="T77" s="6">
        <v>6842.8418187499992</v>
      </c>
      <c r="U77" s="2"/>
      <c r="V77" s="7">
        <f t="shared" si="21"/>
        <v>2.9201387795288239E-3</v>
      </c>
      <c r="W77" s="2"/>
      <c r="X77" s="6">
        <f t="shared" si="22"/>
        <v>1476.2281812500005</v>
      </c>
      <c r="Y77" s="2"/>
      <c r="Z77" s="7">
        <f t="shared" si="23"/>
        <v>0.21573320271776605</v>
      </c>
    </row>
    <row r="78" spans="1:26" s="24" customFormat="1" hidden="1" outlineLevel="2" x14ac:dyDescent="0.25">
      <c r="A78" s="25"/>
      <c r="B78" s="11" t="str">
        <f>CONCATENATE("          ", "6116", " - ", "EDUCATIONAL BENEFITS")</f>
        <v xml:space="preserve">          6116 - EDUCATIONAL BENEFITS</v>
      </c>
      <c r="C78" s="11"/>
      <c r="D78" s="6"/>
      <c r="E78" s="2"/>
      <c r="F78" s="7">
        <f t="shared" si="16"/>
        <v>0</v>
      </c>
      <c r="G78" s="2"/>
      <c r="H78" s="6">
        <v>0</v>
      </c>
      <c r="I78" s="2"/>
      <c r="J78" s="7">
        <f t="shared" si="17"/>
        <v>0</v>
      </c>
      <c r="K78" s="2"/>
      <c r="L78" s="6">
        <f t="shared" si="18"/>
        <v>0</v>
      </c>
      <c r="M78" s="2"/>
      <c r="N78" s="7">
        <f t="shared" si="19"/>
        <v>0</v>
      </c>
      <c r="O78" s="11"/>
      <c r="P78" s="6"/>
      <c r="Q78" s="2"/>
      <c r="R78" s="7">
        <f t="shared" si="20"/>
        <v>0</v>
      </c>
      <c r="S78" s="2"/>
      <c r="T78" s="6">
        <v>0</v>
      </c>
      <c r="U78" s="2"/>
      <c r="V78" s="7">
        <f t="shared" si="21"/>
        <v>0</v>
      </c>
      <c r="W78" s="2"/>
      <c r="X78" s="6">
        <f t="shared" si="22"/>
        <v>0</v>
      </c>
      <c r="Y78" s="2"/>
      <c r="Z78" s="7">
        <f t="shared" si="23"/>
        <v>0</v>
      </c>
    </row>
    <row r="79" spans="1:26" s="24" customFormat="1" hidden="1" outlineLevel="2" x14ac:dyDescent="0.25">
      <c r="A79" s="25"/>
      <c r="B79" s="11" t="str">
        <f>CONCATENATE("          ", "6118", " - ", "VACATION")</f>
        <v xml:space="preserve">          6118 - VACATION</v>
      </c>
      <c r="C79" s="11"/>
      <c r="D79" s="6">
        <v>784.96</v>
      </c>
      <c r="E79" s="2"/>
      <c r="F79" s="7">
        <f t="shared" si="16"/>
        <v>2.5549790339454231E-3</v>
      </c>
      <c r="G79" s="2"/>
      <c r="H79" s="6">
        <v>272.80432499999989</v>
      </c>
      <c r="I79" s="2"/>
      <c r="J79" s="7">
        <f t="shared" si="17"/>
        <v>7.7019912679978731E-4</v>
      </c>
      <c r="K79" s="2"/>
      <c r="L79" s="6">
        <f t="shared" si="18"/>
        <v>512.1556750000002</v>
      </c>
      <c r="M79" s="2"/>
      <c r="N79" s="7">
        <f t="shared" si="19"/>
        <v>1.8773737366517207</v>
      </c>
      <c r="O79" s="11"/>
      <c r="P79" s="6">
        <v>7317.89</v>
      </c>
      <c r="Q79" s="2"/>
      <c r="R79" s="7">
        <f t="shared" si="20"/>
        <v>3.1427677027587278E-3</v>
      </c>
      <c r="S79" s="2"/>
      <c r="T79" s="6">
        <v>2387.0378437500003</v>
      </c>
      <c r="U79" s="2"/>
      <c r="V79" s="7">
        <f t="shared" si="21"/>
        <v>1.0186530626263342E-3</v>
      </c>
      <c r="W79" s="2"/>
      <c r="X79" s="6">
        <f t="shared" si="22"/>
        <v>4930.85215625</v>
      </c>
      <c r="Y79" s="2"/>
      <c r="Z79" s="7">
        <f t="shared" si="23"/>
        <v>2.0656782502047415</v>
      </c>
    </row>
    <row r="80" spans="1:26" s="24" customFormat="1" hidden="1" outlineLevel="2" x14ac:dyDescent="0.25">
      <c r="A80" s="25"/>
      <c r="B80" s="11" t="str">
        <f>CONCATENATE("          ", "6119", " - ", "SICK LEAVE")</f>
        <v xml:space="preserve">          6119 - SICK LEAVE</v>
      </c>
      <c r="C80" s="11"/>
      <c r="D80" s="6">
        <v>560.63</v>
      </c>
      <c r="E80" s="2"/>
      <c r="F80" s="7">
        <f t="shared" si="16"/>
        <v>1.8248036789146231E-3</v>
      </c>
      <c r="G80" s="2"/>
      <c r="H80" s="6">
        <v>437.75765000000001</v>
      </c>
      <c r="I80" s="2"/>
      <c r="J80" s="7">
        <f t="shared" si="17"/>
        <v>1.2359062114573405E-3</v>
      </c>
      <c r="K80" s="2"/>
      <c r="L80" s="6">
        <f t="shared" si="18"/>
        <v>122.87234999999998</v>
      </c>
      <c r="M80" s="2"/>
      <c r="N80" s="7">
        <f t="shared" si="19"/>
        <v>0.28068578584520448</v>
      </c>
      <c r="O80" s="11"/>
      <c r="P80" s="6">
        <v>5615.26</v>
      </c>
      <c r="Q80" s="2"/>
      <c r="R80" s="7">
        <f t="shared" si="20"/>
        <v>2.4115500192805543E-3</v>
      </c>
      <c r="S80" s="2"/>
      <c r="T80" s="6">
        <v>3398.6041375000004</v>
      </c>
      <c r="U80" s="2"/>
      <c r="V80" s="7">
        <f t="shared" si="21"/>
        <v>1.4503324789690638E-3</v>
      </c>
      <c r="W80" s="2"/>
      <c r="X80" s="6">
        <f t="shared" si="22"/>
        <v>2216.6558624999998</v>
      </c>
      <c r="Y80" s="2"/>
      <c r="Z80" s="7">
        <f t="shared" si="23"/>
        <v>0.65222537630715738</v>
      </c>
    </row>
    <row r="81" spans="1:26" s="24" customFormat="1" hidden="1" outlineLevel="2" x14ac:dyDescent="0.25">
      <c r="A81" s="25"/>
      <c r="B81" s="11" t="str">
        <f>CONCATENATE("          ", "6156", " - ", "EMPLOYEE MEALS")</f>
        <v xml:space="preserve">          6156 - EMPLOYEE MEALS</v>
      </c>
      <c r="C81" s="11"/>
      <c r="D81" s="6">
        <v>263.94</v>
      </c>
      <c r="E81" s="2"/>
      <c r="F81" s="7">
        <f t="shared" si="16"/>
        <v>8.5910258639874005E-4</v>
      </c>
      <c r="G81" s="2"/>
      <c r="H81" s="6"/>
      <c r="I81" s="2"/>
      <c r="J81" s="7">
        <f t="shared" si="17"/>
        <v>0</v>
      </c>
      <c r="K81" s="2"/>
      <c r="L81" s="6">
        <f t="shared" si="18"/>
        <v>263.94</v>
      </c>
      <c r="M81" s="2"/>
      <c r="N81" s="7">
        <f t="shared" si="19"/>
        <v>0</v>
      </c>
      <c r="O81" s="11"/>
      <c r="P81" s="6">
        <v>2006.2</v>
      </c>
      <c r="Q81" s="2"/>
      <c r="R81" s="7">
        <f t="shared" si="20"/>
        <v>8.6158996176145851E-4</v>
      </c>
      <c r="S81" s="2"/>
      <c r="T81" s="6"/>
      <c r="U81" s="2"/>
      <c r="V81" s="7">
        <f t="shared" si="21"/>
        <v>0</v>
      </c>
      <c r="W81" s="2"/>
      <c r="X81" s="6">
        <f t="shared" si="22"/>
        <v>2006.2</v>
      </c>
      <c r="Y81" s="2"/>
      <c r="Z81" s="7">
        <f t="shared" si="23"/>
        <v>0</v>
      </c>
    </row>
    <row r="82" spans="1:26" s="27" customFormat="1" outlineLevel="1" collapsed="1" x14ac:dyDescent="0.25">
      <c r="A82" s="26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34269.72</v>
      </c>
      <c r="E82" s="1"/>
      <c r="F82" s="5">
        <f t="shared" ref="F82:F92" si="24">IF(D$12=0,0,D82/D$12)</f>
        <v>0.11154506739092457</v>
      </c>
      <c r="G82" s="1"/>
      <c r="H82" s="1">
        <f>SUM(OSRRefH22_1x_0)</f>
        <v>34227.613624999998</v>
      </c>
      <c r="I82" s="1"/>
      <c r="J82" s="5">
        <f t="shared" ref="J82:J92" si="25">IF(H$12=0,0,H82/H$12)</f>
        <v>9.6633651707741477E-2</v>
      </c>
      <c r="K82" s="1"/>
      <c r="L82" s="1">
        <f t="shared" ref="L82:L92" si="26">+D82-H82</f>
        <v>42.106375000003027</v>
      </c>
      <c r="M82" s="1"/>
      <c r="N82" s="5">
        <f t="shared" ref="N82:N92" si="27">IF(H82=0,0,L82/H82)</f>
        <v>1.2301872827396984E-3</v>
      </c>
      <c r="O82" s="13"/>
      <c r="P82" s="1">
        <f>SUM(OSRRefP22_1x_0)</f>
        <v>284554.77999999997</v>
      </c>
      <c r="Q82" s="1"/>
      <c r="R82" s="5">
        <f t="shared" ref="R82:R92" si="28">IF(P$12=0,0,P82/P$12)</f>
        <v>0.12220593261850275</v>
      </c>
      <c r="S82" s="1"/>
      <c r="T82" s="1">
        <f>SUM(OSRRefT22_1x_0)</f>
        <v>256314.08921875001</v>
      </c>
      <c r="U82" s="1"/>
      <c r="V82" s="5">
        <f t="shared" ref="V82:V92" si="29">IF(T$12=0,0,T82/T$12)</f>
        <v>0.10938039070498466</v>
      </c>
      <c r="W82" s="1"/>
      <c r="X82" s="1">
        <f t="shared" ref="X82:X92" si="30">+P82-T82</f>
        <v>28240.690781249956</v>
      </c>
      <c r="Y82" s="1"/>
      <c r="Z82" s="5">
        <f t="shared" ref="Z82:Z92" si="31">IF(T82=0,0,X82/T82)</f>
        <v>0.11018001728788336</v>
      </c>
    </row>
    <row r="83" spans="1:26" s="24" customFormat="1" hidden="1" outlineLevel="2" x14ac:dyDescent="0.25">
      <c r="A83" s="25"/>
      <c r="B83" s="11" t="str">
        <f>CONCATENATE("          ", "6001", " - ", "ADMINISTRATIVE SALARIES")</f>
        <v xml:space="preserve">          6001 - ADMINISTRATIVE SALARIES</v>
      </c>
      <c r="C83" s="11"/>
      <c r="D83" s="6"/>
      <c r="E83" s="2"/>
      <c r="F83" s="7">
        <f t="shared" si="24"/>
        <v>0</v>
      </c>
      <c r="G83" s="2"/>
      <c r="H83" s="6">
        <v>0</v>
      </c>
      <c r="I83" s="2"/>
      <c r="J83" s="7">
        <f t="shared" si="25"/>
        <v>0</v>
      </c>
      <c r="K83" s="2"/>
      <c r="L83" s="6">
        <f t="shared" si="26"/>
        <v>0</v>
      </c>
      <c r="M83" s="2"/>
      <c r="N83" s="7">
        <f t="shared" si="27"/>
        <v>0</v>
      </c>
      <c r="O83" s="11"/>
      <c r="P83" s="6"/>
      <c r="Q83" s="2"/>
      <c r="R83" s="7">
        <f t="shared" si="28"/>
        <v>0</v>
      </c>
      <c r="S83" s="2"/>
      <c r="T83" s="6">
        <v>0</v>
      </c>
      <c r="U83" s="2"/>
      <c r="V83" s="7">
        <f t="shared" si="29"/>
        <v>0</v>
      </c>
      <c r="W83" s="2"/>
      <c r="X83" s="6">
        <f t="shared" si="30"/>
        <v>0</v>
      </c>
      <c r="Y83" s="2"/>
      <c r="Z83" s="7">
        <f t="shared" si="31"/>
        <v>0</v>
      </c>
    </row>
    <row r="84" spans="1:26" s="24" customFormat="1" hidden="1" outlineLevel="2" x14ac:dyDescent="0.25">
      <c r="A84" s="25"/>
      <c r="B84" s="11" t="str">
        <f>CONCATENATE("          ", "6002", " - ", "STAFF SALARIES")</f>
        <v xml:space="preserve">          6002 - STAFF SALARIES</v>
      </c>
      <c r="C84" s="11"/>
      <c r="D84" s="6">
        <v>7656.02</v>
      </c>
      <c r="E84" s="2"/>
      <c r="F84" s="7">
        <f t="shared" si="24"/>
        <v>2.4919703658105939E-2</v>
      </c>
      <c r="G84" s="2"/>
      <c r="H84" s="6">
        <v>8638.8036250000005</v>
      </c>
      <c r="I84" s="2"/>
      <c r="J84" s="7">
        <f t="shared" si="25"/>
        <v>2.4389639015326609E-2</v>
      </c>
      <c r="K84" s="2"/>
      <c r="L84" s="6">
        <f t="shared" si="26"/>
        <v>-982.78362500000003</v>
      </c>
      <c r="M84" s="2"/>
      <c r="N84" s="7">
        <f t="shared" si="27"/>
        <v>-0.1137638575503561</v>
      </c>
      <c r="O84" s="11"/>
      <c r="P84" s="6">
        <v>78464.53</v>
      </c>
      <c r="Q84" s="2"/>
      <c r="R84" s="7">
        <f t="shared" si="28"/>
        <v>3.3697662946032707E-2</v>
      </c>
      <c r="S84" s="2"/>
      <c r="T84" s="6">
        <v>75589.531718750004</v>
      </c>
      <c r="U84" s="2"/>
      <c r="V84" s="7">
        <f t="shared" si="29"/>
        <v>3.2257346983167248E-2</v>
      </c>
      <c r="W84" s="2"/>
      <c r="X84" s="6">
        <f t="shared" si="30"/>
        <v>2874.9982812499948</v>
      </c>
      <c r="Y84" s="2"/>
      <c r="Z84" s="7">
        <f t="shared" si="31"/>
        <v>3.8034344384446694E-2</v>
      </c>
    </row>
    <row r="85" spans="1:26" s="24" customFormat="1" hidden="1" outlineLevel="2" x14ac:dyDescent="0.25">
      <c r="A85" s="25"/>
      <c r="B85" s="11" t="str">
        <f>CONCATENATE("          ", "6003", " - ", "STAFF HOURLY-9 MONTH")</f>
        <v xml:space="preserve">          6003 - STAFF HOURLY-9 MONTH</v>
      </c>
      <c r="C85" s="11"/>
      <c r="D85" s="6"/>
      <c r="E85" s="2"/>
      <c r="F85" s="7">
        <f t="shared" si="24"/>
        <v>0</v>
      </c>
      <c r="G85" s="2"/>
      <c r="H85" s="6">
        <v>0</v>
      </c>
      <c r="I85" s="2"/>
      <c r="J85" s="7">
        <f t="shared" si="25"/>
        <v>0</v>
      </c>
      <c r="K85" s="2"/>
      <c r="L85" s="6">
        <f t="shared" si="26"/>
        <v>0</v>
      </c>
      <c r="M85" s="2"/>
      <c r="N85" s="7">
        <f t="shared" si="27"/>
        <v>0</v>
      </c>
      <c r="O85" s="11"/>
      <c r="P85" s="6"/>
      <c r="Q85" s="2"/>
      <c r="R85" s="7">
        <f t="shared" si="28"/>
        <v>0</v>
      </c>
      <c r="S85" s="2"/>
      <c r="T85" s="6">
        <v>0</v>
      </c>
      <c r="U85" s="2"/>
      <c r="V85" s="7">
        <f t="shared" si="29"/>
        <v>0</v>
      </c>
      <c r="W85" s="2"/>
      <c r="X85" s="6">
        <f t="shared" si="30"/>
        <v>0</v>
      </c>
      <c r="Y85" s="2"/>
      <c r="Z85" s="7">
        <f t="shared" si="31"/>
        <v>0</v>
      </c>
    </row>
    <row r="86" spans="1:26" s="24" customFormat="1" hidden="1" outlineLevel="2" x14ac:dyDescent="0.25">
      <c r="A86" s="25"/>
      <c r="B86" s="11" t="str">
        <f>CONCATENATE("          ", "6004", " - ", "STAFF HOURLY")</f>
        <v xml:space="preserve">          6004 - STAFF HOURLY</v>
      </c>
      <c r="C86" s="11"/>
      <c r="D86" s="6">
        <v>3923.28</v>
      </c>
      <c r="E86" s="2"/>
      <c r="F86" s="7">
        <f t="shared" si="24"/>
        <v>1.2769947697076794E-2</v>
      </c>
      <c r="G86" s="2"/>
      <c r="H86" s="6">
        <v>3733.75</v>
      </c>
      <c r="I86" s="2"/>
      <c r="J86" s="7">
        <f t="shared" si="25"/>
        <v>1.0541368761982447E-2</v>
      </c>
      <c r="K86" s="2"/>
      <c r="L86" s="6">
        <f t="shared" si="26"/>
        <v>189.5300000000002</v>
      </c>
      <c r="M86" s="2"/>
      <c r="N86" s="7">
        <f t="shared" si="27"/>
        <v>5.0761298962169452E-2</v>
      </c>
      <c r="O86" s="11"/>
      <c r="P86" s="6">
        <v>4567.67</v>
      </c>
      <c r="Q86" s="2"/>
      <c r="R86" s="7">
        <f t="shared" si="28"/>
        <v>1.961648200896701E-3</v>
      </c>
      <c r="S86" s="2"/>
      <c r="T86" s="6">
        <v>32670.312499999996</v>
      </c>
      <c r="U86" s="2"/>
      <c r="V86" s="7">
        <f t="shared" si="29"/>
        <v>1.3941845946104684E-2</v>
      </c>
      <c r="W86" s="2"/>
      <c r="X86" s="6">
        <f t="shared" si="30"/>
        <v>-28102.642499999994</v>
      </c>
      <c r="Y86" s="2"/>
      <c r="Z86" s="7">
        <f t="shared" si="31"/>
        <v>-0.86018897125639671</v>
      </c>
    </row>
    <row r="87" spans="1:26" s="24" customFormat="1" hidden="1" outlineLevel="2" x14ac:dyDescent="0.25">
      <c r="A87" s="25"/>
      <c r="B87" s="11" t="str">
        <f>CONCATENATE("          ", "6005", " - ", "TEMPORARY WAGES-HOURLY")</f>
        <v xml:space="preserve">          6005 - TEMPORARY WAGES-HOURLY</v>
      </c>
      <c r="C87" s="11"/>
      <c r="D87" s="6">
        <v>4191.1400000000003</v>
      </c>
      <c r="E87" s="2"/>
      <c r="F87" s="7">
        <f t="shared" si="24"/>
        <v>1.3641809555047417E-2</v>
      </c>
      <c r="G87" s="2"/>
      <c r="H87" s="6">
        <v>0</v>
      </c>
      <c r="I87" s="2"/>
      <c r="J87" s="7">
        <f t="shared" si="25"/>
        <v>0</v>
      </c>
      <c r="K87" s="2"/>
      <c r="L87" s="6">
        <f t="shared" si="26"/>
        <v>4191.1400000000003</v>
      </c>
      <c r="M87" s="2"/>
      <c r="N87" s="7">
        <f t="shared" si="27"/>
        <v>0</v>
      </c>
      <c r="O87" s="11"/>
      <c r="P87" s="6">
        <v>34800.230000000003</v>
      </c>
      <c r="Q87" s="2"/>
      <c r="R87" s="7">
        <f t="shared" si="28"/>
        <v>1.4945433573417388E-2</v>
      </c>
      <c r="S87" s="2"/>
      <c r="T87" s="6">
        <v>0</v>
      </c>
      <c r="U87" s="2"/>
      <c r="V87" s="7">
        <f t="shared" si="29"/>
        <v>0</v>
      </c>
      <c r="W87" s="2"/>
      <c r="X87" s="6">
        <f t="shared" si="30"/>
        <v>34800.230000000003</v>
      </c>
      <c r="Y87" s="2"/>
      <c r="Z87" s="7">
        <f t="shared" si="31"/>
        <v>0</v>
      </c>
    </row>
    <row r="88" spans="1:26" s="24" customFormat="1" hidden="1" outlineLevel="2" x14ac:dyDescent="0.25">
      <c r="A88" s="25"/>
      <c r="B88" s="11" t="str">
        <f>CONCATENATE("          ", "6006", " - ", "TEMPORARY PART TIME")</f>
        <v xml:space="preserve">          6006 - TEMPORARY PART TIME</v>
      </c>
      <c r="C88" s="11"/>
      <c r="D88" s="6">
        <v>728.98</v>
      </c>
      <c r="E88" s="2"/>
      <c r="F88" s="7">
        <f t="shared" si="24"/>
        <v>2.3727688240999982E-3</v>
      </c>
      <c r="G88" s="2"/>
      <c r="H88" s="6">
        <v>0</v>
      </c>
      <c r="I88" s="2"/>
      <c r="J88" s="7">
        <f t="shared" si="25"/>
        <v>0</v>
      </c>
      <c r="K88" s="2"/>
      <c r="L88" s="6">
        <f t="shared" si="26"/>
        <v>728.98</v>
      </c>
      <c r="M88" s="2"/>
      <c r="N88" s="7">
        <f t="shared" si="27"/>
        <v>0</v>
      </c>
      <c r="O88" s="11"/>
      <c r="P88" s="6">
        <v>795.48</v>
      </c>
      <c r="Q88" s="2"/>
      <c r="R88" s="7">
        <f t="shared" si="28"/>
        <v>3.416297391994841E-4</v>
      </c>
      <c r="S88" s="2"/>
      <c r="T88" s="6">
        <v>0</v>
      </c>
      <c r="U88" s="2"/>
      <c r="V88" s="7">
        <f t="shared" si="29"/>
        <v>0</v>
      </c>
      <c r="W88" s="2"/>
      <c r="X88" s="6">
        <f t="shared" si="30"/>
        <v>795.48</v>
      </c>
      <c r="Y88" s="2"/>
      <c r="Z88" s="7">
        <f t="shared" si="31"/>
        <v>0</v>
      </c>
    </row>
    <row r="89" spans="1:26" s="24" customFormat="1" hidden="1" outlineLevel="2" x14ac:dyDescent="0.25">
      <c r="A89" s="25"/>
      <c r="B89" s="11" t="str">
        <f>CONCATENATE("          ", "6007", " - ", "STUDENT HOURLY")</f>
        <v xml:space="preserve">          6007 - STUDENT HOURLY</v>
      </c>
      <c r="C89" s="11"/>
      <c r="D89" s="6">
        <v>17770.3</v>
      </c>
      <c r="E89" s="2"/>
      <c r="F89" s="7">
        <f t="shared" si="24"/>
        <v>5.784083765659441E-2</v>
      </c>
      <c r="G89" s="2"/>
      <c r="H89" s="6">
        <v>0</v>
      </c>
      <c r="I89" s="2"/>
      <c r="J89" s="7">
        <f t="shared" si="25"/>
        <v>0</v>
      </c>
      <c r="K89" s="2"/>
      <c r="L89" s="6">
        <f t="shared" si="26"/>
        <v>17770.3</v>
      </c>
      <c r="M89" s="2"/>
      <c r="N89" s="7">
        <f t="shared" si="27"/>
        <v>0</v>
      </c>
      <c r="O89" s="11"/>
      <c r="P89" s="6">
        <v>165731.87</v>
      </c>
      <c r="Q89" s="2"/>
      <c r="R89" s="7">
        <f t="shared" si="28"/>
        <v>7.1175812748457287E-2</v>
      </c>
      <c r="S89" s="2"/>
      <c r="T89" s="6">
        <v>35526.75</v>
      </c>
      <c r="U89" s="2"/>
      <c r="V89" s="7">
        <f t="shared" si="29"/>
        <v>1.5160812296049344E-2</v>
      </c>
      <c r="W89" s="2"/>
      <c r="X89" s="6">
        <f t="shared" si="30"/>
        <v>130205.12</v>
      </c>
      <c r="Y89" s="2"/>
      <c r="Z89" s="7">
        <f t="shared" si="31"/>
        <v>3.6649882131070251</v>
      </c>
    </row>
    <row r="90" spans="1:26" s="24" customFormat="1" hidden="1" outlineLevel="2" x14ac:dyDescent="0.25">
      <c r="A90" s="25"/>
      <c r="B90" s="11" t="str">
        <f>CONCATENATE("          ", "6008", " - ", "STUDENT HOURLY-FICA EXEMPT")</f>
        <v xml:space="preserve">          6008 - STUDENT HOURLY-FICA EXEMPT</v>
      </c>
      <c r="C90" s="11"/>
      <c r="D90" s="6"/>
      <c r="E90" s="2"/>
      <c r="F90" s="7">
        <f t="shared" si="24"/>
        <v>0</v>
      </c>
      <c r="G90" s="2"/>
      <c r="H90" s="6">
        <v>21855.06</v>
      </c>
      <c r="I90" s="2"/>
      <c r="J90" s="7">
        <f t="shared" si="25"/>
        <v>6.1702643930432434E-2</v>
      </c>
      <c r="K90" s="2"/>
      <c r="L90" s="6">
        <f t="shared" si="26"/>
        <v>-21855.06</v>
      </c>
      <c r="M90" s="2"/>
      <c r="N90" s="7">
        <f t="shared" si="27"/>
        <v>-1</v>
      </c>
      <c r="O90" s="11"/>
      <c r="P90" s="6">
        <v>195</v>
      </c>
      <c r="Q90" s="2"/>
      <c r="R90" s="7">
        <f t="shared" si="28"/>
        <v>8.37454104991947E-5</v>
      </c>
      <c r="S90" s="2"/>
      <c r="T90" s="6">
        <v>112527.495</v>
      </c>
      <c r="U90" s="2"/>
      <c r="V90" s="7">
        <f t="shared" si="29"/>
        <v>4.8020385479663384E-2</v>
      </c>
      <c r="W90" s="2"/>
      <c r="X90" s="6">
        <f t="shared" si="30"/>
        <v>-112332.495</v>
      </c>
      <c r="Y90" s="2"/>
      <c r="Z90" s="7">
        <f t="shared" si="31"/>
        <v>-0.99826709018982429</v>
      </c>
    </row>
    <row r="91" spans="1:26" s="24" customFormat="1" hidden="1" outlineLevel="2" x14ac:dyDescent="0.25">
      <c r="A91" s="25"/>
      <c r="B91" s="11" t="str">
        <f>CONCATENATE("          ", "6009", " - ", "TEMPORARY-SEASONAL")</f>
        <v xml:space="preserve">          6009 - TEMPORARY-SEASONAL</v>
      </c>
      <c r="C91" s="11"/>
      <c r="D91" s="6"/>
      <c r="E91" s="2"/>
      <c r="F91" s="7">
        <f t="shared" si="24"/>
        <v>0</v>
      </c>
      <c r="G91" s="2"/>
      <c r="H91" s="6">
        <v>0</v>
      </c>
      <c r="I91" s="2"/>
      <c r="J91" s="7">
        <f t="shared" si="25"/>
        <v>0</v>
      </c>
      <c r="K91" s="2"/>
      <c r="L91" s="6">
        <f t="shared" si="26"/>
        <v>0</v>
      </c>
      <c r="M91" s="2"/>
      <c r="N91" s="7">
        <f t="shared" si="27"/>
        <v>0</v>
      </c>
      <c r="O91" s="11"/>
      <c r="P91" s="6"/>
      <c r="Q91" s="2"/>
      <c r="R91" s="7">
        <f t="shared" si="28"/>
        <v>0</v>
      </c>
      <c r="S91" s="2"/>
      <c r="T91" s="6">
        <v>0</v>
      </c>
      <c r="U91" s="2"/>
      <c r="V91" s="7">
        <f t="shared" si="29"/>
        <v>0</v>
      </c>
      <c r="W91" s="2"/>
      <c r="X91" s="6">
        <f t="shared" si="30"/>
        <v>0</v>
      </c>
      <c r="Y91" s="2"/>
      <c r="Z91" s="7">
        <f t="shared" si="31"/>
        <v>0</v>
      </c>
    </row>
    <row r="92" spans="1:26" s="24" customFormat="1" hidden="1" outlineLevel="2" x14ac:dyDescent="0.25">
      <c r="A92" s="25"/>
      <c r="B92" s="11" t="str">
        <f>CONCATENATE("          ", "6010", " - ", "GRATUITY")</f>
        <v xml:space="preserve">          6010 - GRATUITY</v>
      </c>
      <c r="C92" s="11"/>
      <c r="D92" s="6"/>
      <c r="E92" s="2"/>
      <c r="F92" s="7">
        <f t="shared" si="24"/>
        <v>0</v>
      </c>
      <c r="G92" s="2"/>
      <c r="H92" s="6">
        <v>0</v>
      </c>
      <c r="I92" s="2"/>
      <c r="J92" s="7">
        <f t="shared" si="25"/>
        <v>0</v>
      </c>
      <c r="K92" s="2"/>
      <c r="L92" s="6">
        <f t="shared" si="26"/>
        <v>0</v>
      </c>
      <c r="M92" s="2"/>
      <c r="N92" s="7">
        <f t="shared" si="27"/>
        <v>0</v>
      </c>
      <c r="O92" s="11"/>
      <c r="P92" s="6"/>
      <c r="Q92" s="2"/>
      <c r="R92" s="7">
        <f t="shared" si="28"/>
        <v>0</v>
      </c>
      <c r="S92" s="2"/>
      <c r="T92" s="6">
        <v>0</v>
      </c>
      <c r="U92" s="2"/>
      <c r="V92" s="7">
        <f t="shared" si="29"/>
        <v>0</v>
      </c>
      <c r="W92" s="2"/>
      <c r="X92" s="6">
        <f t="shared" si="30"/>
        <v>0</v>
      </c>
      <c r="Y92" s="2"/>
      <c r="Z92" s="7">
        <f t="shared" si="31"/>
        <v>0</v>
      </c>
    </row>
    <row r="93" spans="1:26" s="27" customFormat="1" outlineLevel="1" collapsed="1" x14ac:dyDescent="0.25">
      <c r="A93" s="26"/>
      <c r="B93" s="13" t="str">
        <f>CONCATENATE("     ","Advertising/Promo                                 ")</f>
        <v xml:space="preserve">     Advertising/Promo                                 </v>
      </c>
      <c r="C93" s="13"/>
      <c r="D93" s="1">
        <f>SUM(OSRRefD22_2x_0)</f>
        <v>1020.41</v>
      </c>
      <c r="E93" s="1"/>
      <c r="F93" s="5">
        <f t="shared" ref="F93:F97" si="32">IF(D$12=0,0,D93/D$12)</f>
        <v>3.3213490573127916E-3</v>
      </c>
      <c r="G93" s="1"/>
      <c r="H93" s="1">
        <f>SUM(OSRRefH22_2x_0)</f>
        <v>600</v>
      </c>
      <c r="I93" s="1"/>
      <c r="J93" s="5">
        <f t="shared" ref="J93:J97" si="33">IF(H$12=0,0,H93/H$12)</f>
        <v>1.6939594930537576E-3</v>
      </c>
      <c r="K93" s="1"/>
      <c r="L93" s="1">
        <f t="shared" ref="L93:L97" si="34">+D93-H93</f>
        <v>420.40999999999997</v>
      </c>
      <c r="M93" s="1"/>
      <c r="N93" s="5">
        <f t="shared" ref="N93:N97" si="35">IF(H93=0,0,L93/H93)</f>
        <v>0.70068333333333332</v>
      </c>
      <c r="O93" s="13"/>
      <c r="P93" s="1">
        <f>SUM(OSRRefP22_2x_0)</f>
        <v>21003.4</v>
      </c>
      <c r="Q93" s="1"/>
      <c r="R93" s="5">
        <f t="shared" ref="R93:R97" si="36">IF(P$12=0,0,P93/P$12)</f>
        <v>9.0201966916860828E-3</v>
      </c>
      <c r="S93" s="1"/>
      <c r="T93" s="1">
        <f>SUM(OSRRefT22_2x_0)</f>
        <v>8850</v>
      </c>
      <c r="U93" s="1"/>
      <c r="V93" s="5">
        <f t="shared" ref="V93:V97" si="37">IF(T$12=0,0,T93/T$12)</f>
        <v>3.7766806369858401E-3</v>
      </c>
      <c r="W93" s="1"/>
      <c r="X93" s="1">
        <f t="shared" ref="X93:X97" si="38">+P93-T93</f>
        <v>12153.400000000001</v>
      </c>
      <c r="Y93" s="1"/>
      <c r="Z93" s="5">
        <f t="shared" ref="Z93:Z97" si="39">IF(T93=0,0,X93/T93)</f>
        <v>1.3732655367231641</v>
      </c>
    </row>
    <row r="94" spans="1:26" s="24" customFormat="1" hidden="1" outlineLevel="2" x14ac:dyDescent="0.25">
      <c r="A94" s="25"/>
      <c r="B94" s="11" t="str">
        <f>CONCATENATE("          ", "6362", " - ", "ADVERTISING EXPENSE")</f>
        <v xml:space="preserve">          6362 - ADVERTISING EXPENSE</v>
      </c>
      <c r="C94" s="11"/>
      <c r="D94" s="6">
        <v>1020.41</v>
      </c>
      <c r="E94" s="2"/>
      <c r="F94" s="7">
        <f t="shared" si="32"/>
        <v>3.3213490573127916E-3</v>
      </c>
      <c r="G94" s="2"/>
      <c r="H94" s="6">
        <v>600</v>
      </c>
      <c r="I94" s="2"/>
      <c r="J94" s="7">
        <f t="shared" si="33"/>
        <v>1.6939594930537576E-3</v>
      </c>
      <c r="K94" s="2"/>
      <c r="L94" s="6">
        <f t="shared" si="34"/>
        <v>420.40999999999997</v>
      </c>
      <c r="M94" s="2"/>
      <c r="N94" s="7">
        <f t="shared" si="35"/>
        <v>0.70068333333333332</v>
      </c>
      <c r="O94" s="11"/>
      <c r="P94" s="6">
        <v>21003.4</v>
      </c>
      <c r="Q94" s="2"/>
      <c r="R94" s="7">
        <f t="shared" si="36"/>
        <v>9.0201966916860828E-3</v>
      </c>
      <c r="S94" s="2"/>
      <c r="T94" s="6">
        <v>8850</v>
      </c>
      <c r="U94" s="2"/>
      <c r="V94" s="7">
        <f t="shared" si="37"/>
        <v>3.7766806369858401E-3</v>
      </c>
      <c r="W94" s="2"/>
      <c r="X94" s="6">
        <f t="shared" si="38"/>
        <v>12153.400000000001</v>
      </c>
      <c r="Y94" s="2"/>
      <c r="Z94" s="7">
        <f t="shared" si="39"/>
        <v>1.3732655367231641</v>
      </c>
    </row>
    <row r="95" spans="1:26" s="27" customFormat="1" outlineLevel="1" collapsed="1" x14ac:dyDescent="0.25">
      <c r="A95" s="26"/>
      <c r="B95" s="13" t="str">
        <f>CONCATENATE("     ","Bad Debts/Over/Short                              ")</f>
        <v xml:space="preserve">     Bad Debts/Over/Short                              </v>
      </c>
      <c r="C95" s="13"/>
      <c r="D95" s="1">
        <f>SUM(OSRRefD22_3x_0)</f>
        <v>-1.33</v>
      </c>
      <c r="E95" s="1"/>
      <c r="F95" s="5">
        <f t="shared" si="32"/>
        <v>-4.3290385690320687E-6</v>
      </c>
      <c r="G95" s="1"/>
      <c r="H95" s="1">
        <f>SUM(OSRRefH22_3x_0)</f>
        <v>10</v>
      </c>
      <c r="I95" s="1"/>
      <c r="J95" s="5">
        <f t="shared" si="33"/>
        <v>2.8232658217562628E-5</v>
      </c>
      <c r="K95" s="1"/>
      <c r="L95" s="1">
        <f t="shared" si="34"/>
        <v>-11.33</v>
      </c>
      <c r="M95" s="1"/>
      <c r="N95" s="5">
        <f t="shared" si="35"/>
        <v>-1.133</v>
      </c>
      <c r="O95" s="13"/>
      <c r="P95" s="1">
        <f>SUM(OSRRefP22_3x_0)</f>
        <v>44.48</v>
      </c>
      <c r="Q95" s="1"/>
      <c r="R95" s="5">
        <f t="shared" si="36"/>
        <v>1.9102542866688103E-5</v>
      </c>
      <c r="S95" s="1"/>
      <c r="T95" s="1">
        <f>SUM(OSRRefT22_3x_0)</f>
        <v>80</v>
      </c>
      <c r="U95" s="1"/>
      <c r="V95" s="5">
        <f t="shared" si="37"/>
        <v>3.4139485984052791E-5</v>
      </c>
      <c r="W95" s="1"/>
      <c r="X95" s="1">
        <f t="shared" si="38"/>
        <v>-35.520000000000003</v>
      </c>
      <c r="Y95" s="1"/>
      <c r="Z95" s="5">
        <f t="shared" si="39"/>
        <v>-0.44400000000000006</v>
      </c>
    </row>
    <row r="96" spans="1:26" s="24" customFormat="1" hidden="1" outlineLevel="2" x14ac:dyDescent="0.25">
      <c r="A96" s="25"/>
      <c r="B96" s="11" t="str">
        <f>CONCATENATE("          ", "6272", " - ", "CASH (OVER/SHORT)")</f>
        <v xml:space="preserve">          6272 - CASH (OVER/SHORT)</v>
      </c>
      <c r="C96" s="11"/>
      <c r="D96" s="6">
        <v>-1.33</v>
      </c>
      <c r="E96" s="2"/>
      <c r="F96" s="7">
        <f t="shared" si="32"/>
        <v>-4.3290385690320687E-6</v>
      </c>
      <c r="G96" s="2"/>
      <c r="H96" s="6"/>
      <c r="I96" s="2"/>
      <c r="J96" s="7">
        <f t="shared" si="33"/>
        <v>0</v>
      </c>
      <c r="K96" s="2"/>
      <c r="L96" s="6">
        <f t="shared" si="34"/>
        <v>-1.33</v>
      </c>
      <c r="M96" s="2"/>
      <c r="N96" s="7">
        <f t="shared" si="35"/>
        <v>0</v>
      </c>
      <c r="O96" s="11"/>
      <c r="P96" s="6">
        <v>44.48</v>
      </c>
      <c r="Q96" s="2"/>
      <c r="R96" s="7">
        <f t="shared" si="36"/>
        <v>1.9102542866688103E-5</v>
      </c>
      <c r="S96" s="2"/>
      <c r="T96" s="6"/>
      <c r="U96" s="2"/>
      <c r="V96" s="7">
        <f t="shared" si="37"/>
        <v>0</v>
      </c>
      <c r="W96" s="2"/>
      <c r="X96" s="6">
        <f t="shared" si="38"/>
        <v>44.48</v>
      </c>
      <c r="Y96" s="2"/>
      <c r="Z96" s="7">
        <f t="shared" si="39"/>
        <v>0</v>
      </c>
    </row>
    <row r="97" spans="1:26" s="24" customFormat="1" hidden="1" outlineLevel="2" x14ac:dyDescent="0.25">
      <c r="A97" s="25"/>
      <c r="B97" s="11" t="str">
        <f>CONCATENATE("          ", "6342", " - ", "BAD DEBT")</f>
        <v xml:space="preserve">          6342 - BAD DEBT</v>
      </c>
      <c r="C97" s="11"/>
      <c r="D97" s="6"/>
      <c r="E97" s="2"/>
      <c r="F97" s="7">
        <f t="shared" si="32"/>
        <v>0</v>
      </c>
      <c r="G97" s="2"/>
      <c r="H97" s="6">
        <v>10</v>
      </c>
      <c r="I97" s="2"/>
      <c r="J97" s="7">
        <f t="shared" si="33"/>
        <v>2.8232658217562628E-5</v>
      </c>
      <c r="K97" s="2"/>
      <c r="L97" s="6">
        <f t="shared" si="34"/>
        <v>-10</v>
      </c>
      <c r="M97" s="2"/>
      <c r="N97" s="7">
        <f t="shared" si="35"/>
        <v>-1</v>
      </c>
      <c r="O97" s="11"/>
      <c r="P97" s="6"/>
      <c r="Q97" s="2"/>
      <c r="R97" s="7">
        <f t="shared" si="36"/>
        <v>0</v>
      </c>
      <c r="S97" s="2"/>
      <c r="T97" s="6">
        <v>80</v>
      </c>
      <c r="U97" s="2"/>
      <c r="V97" s="7">
        <f t="shared" si="37"/>
        <v>3.4139485984052791E-5</v>
      </c>
      <c r="W97" s="2"/>
      <c r="X97" s="6">
        <f t="shared" si="38"/>
        <v>-80</v>
      </c>
      <c r="Y97" s="2"/>
      <c r="Z97" s="7">
        <f t="shared" si="39"/>
        <v>-1</v>
      </c>
    </row>
    <row r="98" spans="1:26" s="27" customFormat="1" outlineLevel="1" collapsed="1" x14ac:dyDescent="0.25">
      <c r="A98" s="26"/>
      <c r="B98" s="13" t="str">
        <f>CONCATENATE("     ","Bank/card Fees                                    ")</f>
        <v xml:space="preserve">     Bank/card Fees                                    </v>
      </c>
      <c r="C98" s="13"/>
      <c r="D98" s="1">
        <f>SUM(OSRRefD22_4x_0)</f>
        <v>626.4</v>
      </c>
      <c r="E98" s="1"/>
      <c r="F98" s="5">
        <f t="shared" ref="F98:F102" si="40">IF(D$12=0,0,D98/D$12)</f>
        <v>2.038879518527585E-3</v>
      </c>
      <c r="G98" s="1"/>
      <c r="H98" s="1">
        <f>SUM(OSRRefH22_4x_0)</f>
        <v>600</v>
      </c>
      <c r="I98" s="1"/>
      <c r="J98" s="5">
        <f t="shared" ref="J98:J102" si="41">IF(H$12=0,0,H98/H$12)</f>
        <v>1.6939594930537576E-3</v>
      </c>
      <c r="K98" s="1"/>
      <c r="L98" s="1">
        <f t="shared" ref="L98:L102" si="42">+D98-H98</f>
        <v>26.399999999999977</v>
      </c>
      <c r="M98" s="1"/>
      <c r="N98" s="5">
        <f t="shared" ref="N98:N102" si="43">IF(H98=0,0,L98/H98)</f>
        <v>4.3999999999999963E-2</v>
      </c>
      <c r="O98" s="13"/>
      <c r="P98" s="1">
        <f>SUM(OSRRefP22_4x_0)</f>
        <v>5800.45</v>
      </c>
      <c r="Q98" s="1"/>
      <c r="R98" s="5">
        <f t="shared" ref="R98:R102" si="44">IF(P$12=0,0,P98/P$12)</f>
        <v>2.4910823914361738E-3</v>
      </c>
      <c r="S98" s="1"/>
      <c r="T98" s="1">
        <f>SUM(OSRRefT22_4x_0)</f>
        <v>5585</v>
      </c>
      <c r="U98" s="1"/>
      <c r="V98" s="5">
        <f t="shared" ref="V98:V102" si="45">IF(T$12=0,0,T98/T$12)</f>
        <v>2.3833628652616856E-3</v>
      </c>
      <c r="W98" s="1"/>
      <c r="X98" s="1">
        <f t="shared" ref="X98:X102" si="46">+P98-T98</f>
        <v>215.44999999999982</v>
      </c>
      <c r="Y98" s="1"/>
      <c r="Z98" s="5">
        <f t="shared" ref="Z98:Z102" si="47">IF(T98=0,0,X98/T98)</f>
        <v>3.8576544315129781E-2</v>
      </c>
    </row>
    <row r="99" spans="1:26" s="24" customFormat="1" hidden="1" outlineLevel="2" x14ac:dyDescent="0.25">
      <c r="A99" s="25"/>
      <c r="B99" s="11" t="str">
        <f>CONCATENATE("          ", "6381", " - ", "BANK/CREDIT CARD FEES")</f>
        <v xml:space="preserve">          6381 - BANK/CREDIT CARD FEES</v>
      </c>
      <c r="C99" s="11"/>
      <c r="D99" s="6">
        <v>626.4</v>
      </c>
      <c r="E99" s="2"/>
      <c r="F99" s="7">
        <f t="shared" si="40"/>
        <v>2.038879518527585E-3</v>
      </c>
      <c r="G99" s="2"/>
      <c r="H99" s="6">
        <v>600</v>
      </c>
      <c r="I99" s="2"/>
      <c r="J99" s="7">
        <f t="shared" si="41"/>
        <v>1.6939594930537576E-3</v>
      </c>
      <c r="K99" s="2"/>
      <c r="L99" s="6">
        <f t="shared" si="42"/>
        <v>26.399999999999977</v>
      </c>
      <c r="M99" s="2"/>
      <c r="N99" s="7">
        <f t="shared" si="43"/>
        <v>4.3999999999999963E-2</v>
      </c>
      <c r="O99" s="11"/>
      <c r="P99" s="6">
        <v>5800.45</v>
      </c>
      <c r="Q99" s="2"/>
      <c r="R99" s="7">
        <f t="shared" si="44"/>
        <v>2.4910823914361738E-3</v>
      </c>
      <c r="S99" s="2"/>
      <c r="T99" s="6">
        <v>5585</v>
      </c>
      <c r="U99" s="2"/>
      <c r="V99" s="7">
        <f t="shared" si="45"/>
        <v>2.3833628652616856E-3</v>
      </c>
      <c r="W99" s="2"/>
      <c r="X99" s="6">
        <f t="shared" si="46"/>
        <v>215.44999999999982</v>
      </c>
      <c r="Y99" s="2"/>
      <c r="Z99" s="7">
        <f t="shared" si="47"/>
        <v>3.8576544315129781E-2</v>
      </c>
    </row>
    <row r="100" spans="1:26" s="27" customFormat="1" outlineLevel="1" collapsed="1" x14ac:dyDescent="0.25">
      <c r="A100" s="26"/>
      <c r="B100" s="13" t="str">
        <f>CONCATENATE("     ","Discounts and Markdowns                           ")</f>
        <v xml:space="preserve">     Discounts and Markdowns                           </v>
      </c>
      <c r="C100" s="13"/>
      <c r="D100" s="1">
        <f>SUM(OSRRefD22_5x_0)</f>
        <v>32245.230000000003</v>
      </c>
      <c r="E100" s="1"/>
      <c r="F100" s="5">
        <f t="shared" si="40"/>
        <v>0.10495552205812778</v>
      </c>
      <c r="G100" s="1"/>
      <c r="H100" s="1">
        <f>SUM(OSRRefH22_5x_0)</f>
        <v>23000</v>
      </c>
      <c r="I100" s="1"/>
      <c r="J100" s="5">
        <f t="shared" si="41"/>
        <v>6.493511390039404E-2</v>
      </c>
      <c r="K100" s="1"/>
      <c r="L100" s="1">
        <f t="shared" si="42"/>
        <v>9245.2300000000032</v>
      </c>
      <c r="M100" s="1"/>
      <c r="N100" s="5">
        <f t="shared" si="43"/>
        <v>0.40196652173913056</v>
      </c>
      <c r="O100" s="13"/>
      <c r="P100" s="1">
        <f>SUM(OSRRefP22_5x_0)</f>
        <v>242731.85</v>
      </c>
      <c r="Q100" s="1"/>
      <c r="R100" s="5">
        <f t="shared" si="44"/>
        <v>0.10424450471527669</v>
      </c>
      <c r="S100" s="1"/>
      <c r="T100" s="1">
        <f>SUM(OSRRefT22_5x_0)</f>
        <v>213000</v>
      </c>
      <c r="U100" s="1"/>
      <c r="V100" s="5">
        <f t="shared" si="45"/>
        <v>9.0896381432540557E-2</v>
      </c>
      <c r="W100" s="1"/>
      <c r="X100" s="1">
        <f t="shared" si="46"/>
        <v>29731.850000000006</v>
      </c>
      <c r="Y100" s="1"/>
      <c r="Z100" s="5">
        <f t="shared" si="47"/>
        <v>0.1395861502347418</v>
      </c>
    </row>
    <row r="101" spans="1:26" s="24" customFormat="1" hidden="1" outlineLevel="2" x14ac:dyDescent="0.25">
      <c r="A101" s="25"/>
      <c r="B101" s="11" t="str">
        <f>CONCATENATE("          ", "6382", " - ", "DISCOUNTS/MARK DOWNS")</f>
        <v xml:space="preserve">          6382 - DISCOUNTS/MARK DOWNS</v>
      </c>
      <c r="C101" s="11"/>
      <c r="D101" s="6">
        <v>32245.230000000003</v>
      </c>
      <c r="E101" s="2"/>
      <c r="F101" s="7">
        <f t="shared" si="40"/>
        <v>0.10495552205812778</v>
      </c>
      <c r="G101" s="2"/>
      <c r="H101" s="6">
        <v>23000</v>
      </c>
      <c r="I101" s="2"/>
      <c r="J101" s="7">
        <f t="shared" si="41"/>
        <v>6.493511390039404E-2</v>
      </c>
      <c r="K101" s="2"/>
      <c r="L101" s="6">
        <f t="shared" si="42"/>
        <v>9245.2300000000032</v>
      </c>
      <c r="M101" s="2"/>
      <c r="N101" s="7">
        <f t="shared" si="43"/>
        <v>0.40196652173913056</v>
      </c>
      <c r="O101" s="11"/>
      <c r="P101" s="6">
        <v>242751.24000000002</v>
      </c>
      <c r="Q101" s="2"/>
      <c r="R101" s="7">
        <f t="shared" si="44"/>
        <v>0.10425283201532581</v>
      </c>
      <c r="S101" s="2"/>
      <c r="T101" s="6">
        <v>213000</v>
      </c>
      <c r="U101" s="2"/>
      <c r="V101" s="7">
        <f t="shared" si="45"/>
        <v>9.0896381432540557E-2</v>
      </c>
      <c r="W101" s="2"/>
      <c r="X101" s="6">
        <f t="shared" si="46"/>
        <v>29751.24000000002</v>
      </c>
      <c r="Y101" s="2"/>
      <c r="Z101" s="7">
        <f t="shared" si="47"/>
        <v>0.13967718309859165</v>
      </c>
    </row>
    <row r="102" spans="1:26" s="24" customFormat="1" hidden="1" outlineLevel="2" x14ac:dyDescent="0.25">
      <c r="A102" s="25"/>
      <c r="B102" s="11" t="str">
        <f>CONCATENATE("          ", "9175", " - ", "EARNED DISCOUNTS")</f>
        <v xml:space="preserve">          9175 - EARNED DISCOUNTS</v>
      </c>
      <c r="C102" s="11"/>
      <c r="D102" s="6"/>
      <c r="E102" s="2"/>
      <c r="F102" s="7">
        <f t="shared" si="40"/>
        <v>0</v>
      </c>
      <c r="G102" s="2"/>
      <c r="H102" s="6"/>
      <c r="I102" s="2"/>
      <c r="J102" s="7">
        <f t="shared" si="41"/>
        <v>0</v>
      </c>
      <c r="K102" s="2"/>
      <c r="L102" s="6">
        <f t="shared" si="42"/>
        <v>0</v>
      </c>
      <c r="M102" s="2"/>
      <c r="N102" s="7">
        <f t="shared" si="43"/>
        <v>0</v>
      </c>
      <c r="O102" s="11"/>
      <c r="P102" s="6">
        <v>-19.39</v>
      </c>
      <c r="Q102" s="2"/>
      <c r="R102" s="7">
        <f t="shared" si="44"/>
        <v>-8.3273000491250521E-6</v>
      </c>
      <c r="S102" s="2"/>
      <c r="T102" s="6"/>
      <c r="U102" s="2"/>
      <c r="V102" s="7">
        <f t="shared" si="45"/>
        <v>0</v>
      </c>
      <c r="W102" s="2"/>
      <c r="X102" s="6">
        <f t="shared" si="46"/>
        <v>-19.39</v>
      </c>
      <c r="Y102" s="2"/>
      <c r="Z102" s="7">
        <f t="shared" si="47"/>
        <v>0</v>
      </c>
    </row>
    <row r="103" spans="1:26" s="27" customFormat="1" outlineLevel="1" collapsed="1" x14ac:dyDescent="0.25">
      <c r="A103" s="26"/>
      <c r="B103" s="13" t="str">
        <f>CONCATENATE("     ","Donations                                         ")</f>
        <v xml:space="preserve">     Donations                                         </v>
      </c>
      <c r="C103" s="13"/>
      <c r="D103" s="1">
        <f>SUM(OSRRefD22_6x_0)</f>
        <v>0</v>
      </c>
      <c r="E103" s="1"/>
      <c r="F103" s="5">
        <f t="shared" ref="F103:F109" si="48">IF(D$12=0,0,D103/D$12)</f>
        <v>0</v>
      </c>
      <c r="G103" s="1"/>
      <c r="H103" s="1">
        <f>SUM(OSRRefH22_6x_0)</f>
        <v>25</v>
      </c>
      <c r="I103" s="1"/>
      <c r="J103" s="5">
        <f t="shared" ref="J103:J109" si="49">IF(H$12=0,0,H103/H$12)</f>
        <v>7.0581645543906573E-5</v>
      </c>
      <c r="K103" s="1"/>
      <c r="L103" s="1">
        <f t="shared" ref="L103:L109" si="50">+D103-H103</f>
        <v>-25</v>
      </c>
      <c r="M103" s="1"/>
      <c r="N103" s="5">
        <f t="shared" ref="N103:N109" si="51">IF(H103=0,0,L103/H103)</f>
        <v>-1</v>
      </c>
      <c r="O103" s="13"/>
      <c r="P103" s="1">
        <f>SUM(OSRRefP22_6x_0)</f>
        <v>0</v>
      </c>
      <c r="Q103" s="1"/>
      <c r="R103" s="5">
        <f t="shared" ref="R103:R109" si="52">IF(P$12=0,0,P103/P$12)</f>
        <v>0</v>
      </c>
      <c r="S103" s="1"/>
      <c r="T103" s="1">
        <f>SUM(OSRRefT22_6x_0)</f>
        <v>275</v>
      </c>
      <c r="U103" s="1"/>
      <c r="V103" s="5">
        <f t="shared" ref="V103:V109" si="53">IF(T$12=0,0,T103/T$12)</f>
        <v>1.1735448307018147E-4</v>
      </c>
      <c r="W103" s="1"/>
      <c r="X103" s="1">
        <f t="shared" ref="X103:X109" si="54">+P103-T103</f>
        <v>-275</v>
      </c>
      <c r="Y103" s="1"/>
      <c r="Z103" s="5">
        <f t="shared" ref="Z103:Z109" si="55">IF(T103=0,0,X103/T103)</f>
        <v>-1</v>
      </c>
    </row>
    <row r="104" spans="1:26" s="24" customFormat="1" hidden="1" outlineLevel="2" x14ac:dyDescent="0.25">
      <c r="A104" s="25"/>
      <c r="B104" s="11" t="str">
        <f>CONCATENATE("          ", "6395", " - ", "DONATION-OFF CAMPUS")</f>
        <v xml:space="preserve">          6395 - DONATION-OFF CAMPUS</v>
      </c>
      <c r="C104" s="11"/>
      <c r="D104" s="6"/>
      <c r="E104" s="2"/>
      <c r="F104" s="7">
        <f t="shared" si="48"/>
        <v>0</v>
      </c>
      <c r="G104" s="2"/>
      <c r="H104" s="6">
        <v>25</v>
      </c>
      <c r="I104" s="2"/>
      <c r="J104" s="7">
        <f t="shared" si="49"/>
        <v>7.0581645543906573E-5</v>
      </c>
      <c r="K104" s="2"/>
      <c r="L104" s="6">
        <f t="shared" si="50"/>
        <v>-25</v>
      </c>
      <c r="M104" s="2"/>
      <c r="N104" s="7">
        <f t="shared" si="51"/>
        <v>-1</v>
      </c>
      <c r="O104" s="11"/>
      <c r="P104" s="6"/>
      <c r="Q104" s="2"/>
      <c r="R104" s="7">
        <f t="shared" si="52"/>
        <v>0</v>
      </c>
      <c r="S104" s="2"/>
      <c r="T104" s="6">
        <v>275</v>
      </c>
      <c r="U104" s="2"/>
      <c r="V104" s="7">
        <f t="shared" si="53"/>
        <v>1.1735448307018147E-4</v>
      </c>
      <c r="W104" s="2"/>
      <c r="X104" s="6">
        <f t="shared" si="54"/>
        <v>-275</v>
      </c>
      <c r="Y104" s="2"/>
      <c r="Z104" s="7">
        <f t="shared" si="55"/>
        <v>-1</v>
      </c>
    </row>
    <row r="105" spans="1:26" s="27" customFormat="1" outlineLevel="1" collapsed="1" x14ac:dyDescent="0.25">
      <c r="A105" s="26"/>
      <c r="B105" s="13" t="str">
        <f>CONCATENATE("     ","Employees' Appreciation                           ")</f>
        <v xml:space="preserve">     Employees' Appreciation                           </v>
      </c>
      <c r="C105" s="13"/>
      <c r="D105" s="1">
        <f>SUM(OSRRefD22_7x_0)</f>
        <v>45.96</v>
      </c>
      <c r="E105" s="1"/>
      <c r="F105" s="5">
        <f t="shared" si="48"/>
        <v>1.4959594934790517E-4</v>
      </c>
      <c r="G105" s="1"/>
      <c r="H105" s="1">
        <f>SUM(OSRRefH22_7x_0)</f>
        <v>200</v>
      </c>
      <c r="I105" s="1"/>
      <c r="J105" s="5">
        <f t="shared" si="49"/>
        <v>5.6465316435125258E-4</v>
      </c>
      <c r="K105" s="1"/>
      <c r="L105" s="1">
        <f t="shared" si="50"/>
        <v>-154.04</v>
      </c>
      <c r="M105" s="1"/>
      <c r="N105" s="5">
        <f t="shared" si="51"/>
        <v>-0.7702</v>
      </c>
      <c r="O105" s="13"/>
      <c r="P105" s="1">
        <f>SUM(OSRRefP22_7x_0)</f>
        <v>376.37</v>
      </c>
      <c r="Q105" s="1"/>
      <c r="R105" s="5">
        <f t="shared" si="52"/>
        <v>1.616372315363175E-4</v>
      </c>
      <c r="S105" s="1"/>
      <c r="T105" s="1">
        <f>SUM(OSRRefT22_7x_0)</f>
        <v>1775</v>
      </c>
      <c r="U105" s="1"/>
      <c r="V105" s="5">
        <f t="shared" si="53"/>
        <v>7.574698452711714E-4</v>
      </c>
      <c r="W105" s="1"/>
      <c r="X105" s="1">
        <f t="shared" si="54"/>
        <v>-1398.63</v>
      </c>
      <c r="Y105" s="1"/>
      <c r="Z105" s="5">
        <f t="shared" si="55"/>
        <v>-0.78796056338028175</v>
      </c>
    </row>
    <row r="106" spans="1:26" s="24" customFormat="1" hidden="1" outlineLevel="2" x14ac:dyDescent="0.25">
      <c r="A106" s="25"/>
      <c r="B106" s="11" t="str">
        <f>CONCATENATE("          ", "6277", " - ", "EMPLOYEE APPRECIATION")</f>
        <v xml:space="preserve">          6277 - EMPLOYEE APPRECIATION</v>
      </c>
      <c r="C106" s="11"/>
      <c r="D106" s="6">
        <v>45.96</v>
      </c>
      <c r="E106" s="2"/>
      <c r="F106" s="7">
        <f t="shared" si="48"/>
        <v>1.4959594934790517E-4</v>
      </c>
      <c r="G106" s="2"/>
      <c r="H106" s="6">
        <v>200</v>
      </c>
      <c r="I106" s="2"/>
      <c r="J106" s="7">
        <f t="shared" si="49"/>
        <v>5.6465316435125258E-4</v>
      </c>
      <c r="K106" s="2"/>
      <c r="L106" s="6">
        <f t="shared" si="50"/>
        <v>-154.04</v>
      </c>
      <c r="M106" s="2"/>
      <c r="N106" s="7">
        <f t="shared" si="51"/>
        <v>-0.7702</v>
      </c>
      <c r="O106" s="11"/>
      <c r="P106" s="6">
        <v>376.37</v>
      </c>
      <c r="Q106" s="2"/>
      <c r="R106" s="7">
        <f t="shared" si="52"/>
        <v>1.616372315363175E-4</v>
      </c>
      <c r="S106" s="2"/>
      <c r="T106" s="6">
        <v>1775</v>
      </c>
      <c r="U106" s="2"/>
      <c r="V106" s="7">
        <f t="shared" si="53"/>
        <v>7.574698452711714E-4</v>
      </c>
      <c r="W106" s="2"/>
      <c r="X106" s="6">
        <f t="shared" si="54"/>
        <v>-1398.63</v>
      </c>
      <c r="Y106" s="2"/>
      <c r="Z106" s="7">
        <f t="shared" si="55"/>
        <v>-0.78796056338028175</v>
      </c>
    </row>
    <row r="107" spans="1:26" s="27" customFormat="1" outlineLevel="1" collapsed="1" x14ac:dyDescent="0.25">
      <c r="A107" s="26"/>
      <c r="B107" s="13" t="str">
        <f>CONCATENATE("     ","Freight out/Postage                               ")</f>
        <v xml:space="preserve">     Freight out/Postage                               </v>
      </c>
      <c r="C107" s="13"/>
      <c r="D107" s="1">
        <f>SUM(OSRRefD22_8x_0)</f>
        <v>0</v>
      </c>
      <c r="E107" s="1"/>
      <c r="F107" s="5">
        <f t="shared" si="48"/>
        <v>0</v>
      </c>
      <c r="G107" s="1"/>
      <c r="H107" s="1">
        <f>SUM(OSRRefH22_8x_0)</f>
        <v>50</v>
      </c>
      <c r="I107" s="1"/>
      <c r="J107" s="5">
        <f t="shared" si="49"/>
        <v>1.4116329108781315E-4</v>
      </c>
      <c r="K107" s="1"/>
      <c r="L107" s="1">
        <f t="shared" si="50"/>
        <v>-50</v>
      </c>
      <c r="M107" s="1"/>
      <c r="N107" s="5">
        <f t="shared" si="51"/>
        <v>-1</v>
      </c>
      <c r="O107" s="13"/>
      <c r="P107" s="1">
        <f>SUM(OSRRefP22_8x_0)</f>
        <v>81.180000000000007</v>
      </c>
      <c r="Q107" s="1"/>
      <c r="R107" s="5">
        <f t="shared" si="52"/>
        <v>3.4863858586280138E-5</v>
      </c>
      <c r="S107" s="1"/>
      <c r="T107" s="1">
        <f>SUM(OSRRefT22_8x_0)</f>
        <v>400</v>
      </c>
      <c r="U107" s="1"/>
      <c r="V107" s="5">
        <f t="shared" si="53"/>
        <v>1.7069742992026398E-4</v>
      </c>
      <c r="W107" s="1"/>
      <c r="X107" s="1">
        <f t="shared" si="54"/>
        <v>-318.82</v>
      </c>
      <c r="Y107" s="1"/>
      <c r="Z107" s="5">
        <f t="shared" si="55"/>
        <v>-0.79705000000000004</v>
      </c>
    </row>
    <row r="108" spans="1:26" s="24" customFormat="1" hidden="1" outlineLevel="2" x14ac:dyDescent="0.25">
      <c r="A108" s="25"/>
      <c r="B108" s="11" t="str">
        <f>CONCATENATE("          ", "6305", " - ", "FREIGHT OUT")</f>
        <v xml:space="preserve">          6305 - FREIGHT OUT</v>
      </c>
      <c r="C108" s="11"/>
      <c r="D108" s="6"/>
      <c r="E108" s="2"/>
      <c r="F108" s="7">
        <f t="shared" si="48"/>
        <v>0</v>
      </c>
      <c r="G108" s="2"/>
      <c r="H108" s="6">
        <v>50</v>
      </c>
      <c r="I108" s="2"/>
      <c r="J108" s="7">
        <f t="shared" si="49"/>
        <v>1.4116329108781315E-4</v>
      </c>
      <c r="K108" s="2"/>
      <c r="L108" s="6">
        <f t="shared" si="50"/>
        <v>-50</v>
      </c>
      <c r="M108" s="2"/>
      <c r="N108" s="7">
        <f t="shared" si="51"/>
        <v>-1</v>
      </c>
      <c r="O108" s="11"/>
      <c r="P108" s="6">
        <v>80.680000000000007</v>
      </c>
      <c r="Q108" s="2"/>
      <c r="R108" s="7">
        <f t="shared" si="52"/>
        <v>3.4649126764487328E-5</v>
      </c>
      <c r="S108" s="2"/>
      <c r="T108" s="6">
        <v>400</v>
      </c>
      <c r="U108" s="2"/>
      <c r="V108" s="7">
        <f t="shared" si="53"/>
        <v>1.7069742992026398E-4</v>
      </c>
      <c r="W108" s="2"/>
      <c r="X108" s="6">
        <f t="shared" si="54"/>
        <v>-319.32</v>
      </c>
      <c r="Y108" s="2"/>
      <c r="Z108" s="7">
        <f t="shared" si="55"/>
        <v>-0.79830000000000001</v>
      </c>
    </row>
    <row r="109" spans="1:26" s="24" customFormat="1" hidden="1" outlineLevel="2" x14ac:dyDescent="0.25">
      <c r="A109" s="25"/>
      <c r="B109" s="11" t="str">
        <f>CONCATENATE("          ", "6307", " - ", "POSTAGE")</f>
        <v xml:space="preserve">          6307 - POSTAGE</v>
      </c>
      <c r="C109" s="11"/>
      <c r="D109" s="6"/>
      <c r="E109" s="2"/>
      <c r="F109" s="7">
        <f t="shared" si="48"/>
        <v>0</v>
      </c>
      <c r="G109" s="2"/>
      <c r="H109" s="6"/>
      <c r="I109" s="2"/>
      <c r="J109" s="7">
        <f t="shared" si="49"/>
        <v>0</v>
      </c>
      <c r="K109" s="2"/>
      <c r="L109" s="6">
        <f t="shared" si="50"/>
        <v>0</v>
      </c>
      <c r="M109" s="2"/>
      <c r="N109" s="7">
        <f t="shared" si="51"/>
        <v>0</v>
      </c>
      <c r="O109" s="11"/>
      <c r="P109" s="6">
        <v>0.5</v>
      </c>
      <c r="Q109" s="2"/>
      <c r="R109" s="7">
        <f t="shared" si="52"/>
        <v>2.1473182179280694E-7</v>
      </c>
      <c r="S109" s="2"/>
      <c r="T109" s="6"/>
      <c r="U109" s="2"/>
      <c r="V109" s="7">
        <f t="shared" si="53"/>
        <v>0</v>
      </c>
      <c r="W109" s="2"/>
      <c r="X109" s="6">
        <f t="shared" si="54"/>
        <v>0.5</v>
      </c>
      <c r="Y109" s="2"/>
      <c r="Z109" s="7">
        <f t="shared" si="55"/>
        <v>0</v>
      </c>
    </row>
    <row r="110" spans="1:26" s="27" customFormat="1" outlineLevel="1" collapsed="1" x14ac:dyDescent="0.25">
      <c r="A110" s="26"/>
      <c r="B110" s="13" t="str">
        <f>CONCATENATE("     ","General                                           ")</f>
        <v xml:space="preserve">     General                                           </v>
      </c>
      <c r="C110" s="13"/>
      <c r="D110" s="1">
        <f>SUM(OSRRefD22_9x_0)</f>
        <v>0</v>
      </c>
      <c r="E110" s="1"/>
      <c r="F110" s="5">
        <f t="shared" ref="F110:F122" si="56">IF(D$12=0,0,D110/D$12)</f>
        <v>0</v>
      </c>
      <c r="G110" s="1"/>
      <c r="H110" s="1">
        <f>SUM(OSRRefH22_9x_0)</f>
        <v>0</v>
      </c>
      <c r="I110" s="1"/>
      <c r="J110" s="5">
        <f t="shared" ref="J110:J122" si="57">IF(H$12=0,0,H110/H$12)</f>
        <v>0</v>
      </c>
      <c r="K110" s="1"/>
      <c r="L110" s="1">
        <f t="shared" ref="L110:L122" si="58">+D110-H110</f>
        <v>0</v>
      </c>
      <c r="M110" s="1"/>
      <c r="N110" s="5">
        <f t="shared" ref="N110:N122" si="59">IF(H110=0,0,L110/H110)</f>
        <v>0</v>
      </c>
      <c r="O110" s="13"/>
      <c r="P110" s="1">
        <f>SUM(OSRRefP22_9x_0)</f>
        <v>1271.44</v>
      </c>
      <c r="Q110" s="1"/>
      <c r="R110" s="5">
        <f t="shared" ref="R110:R122" si="60">IF(P$12=0,0,P110/P$12)</f>
        <v>5.4603725500049292E-4</v>
      </c>
      <c r="S110" s="1"/>
      <c r="T110" s="1">
        <f>SUM(OSRRefT22_9x_0)</f>
        <v>1865</v>
      </c>
      <c r="U110" s="1"/>
      <c r="V110" s="5">
        <f t="shared" ref="V110:V122" si="61">IF(T$12=0,0,T110/T$12)</f>
        <v>7.9587676700323073E-4</v>
      </c>
      <c r="W110" s="1"/>
      <c r="X110" s="1">
        <f t="shared" ref="X110:X122" si="62">+P110-T110</f>
        <v>-593.55999999999995</v>
      </c>
      <c r="Y110" s="1"/>
      <c r="Z110" s="5">
        <f t="shared" ref="Z110:Z122" si="63">IF(T110=0,0,X110/T110)</f>
        <v>-0.31826273458445037</v>
      </c>
    </row>
    <row r="111" spans="1:26" s="24" customFormat="1" hidden="1" outlineLevel="2" x14ac:dyDescent="0.25">
      <c r="A111" s="25"/>
      <c r="B111" s="11" t="str">
        <f>CONCATENATE("          ", "6279", " - ", "GENERAL EXPENSE")</f>
        <v xml:space="preserve">          6279 - GENERAL EXPENSE</v>
      </c>
      <c r="C111" s="11"/>
      <c r="D111" s="6"/>
      <c r="E111" s="2"/>
      <c r="F111" s="7">
        <f t="shared" si="56"/>
        <v>0</v>
      </c>
      <c r="G111" s="2"/>
      <c r="H111" s="6">
        <v>0</v>
      </c>
      <c r="I111" s="2"/>
      <c r="J111" s="7">
        <f t="shared" si="57"/>
        <v>0</v>
      </c>
      <c r="K111" s="2"/>
      <c r="L111" s="6">
        <f t="shared" si="58"/>
        <v>0</v>
      </c>
      <c r="M111" s="2"/>
      <c r="N111" s="7">
        <f t="shared" si="59"/>
        <v>0</v>
      </c>
      <c r="O111" s="11"/>
      <c r="P111" s="6">
        <v>1271.44</v>
      </c>
      <c r="Q111" s="2"/>
      <c r="R111" s="7">
        <f t="shared" si="60"/>
        <v>5.4603725500049292E-4</v>
      </c>
      <c r="S111" s="2"/>
      <c r="T111" s="6">
        <v>1865</v>
      </c>
      <c r="U111" s="2"/>
      <c r="V111" s="7">
        <f t="shared" si="61"/>
        <v>7.9587676700323073E-4</v>
      </c>
      <c r="W111" s="2"/>
      <c r="X111" s="6">
        <f t="shared" si="62"/>
        <v>-593.55999999999995</v>
      </c>
      <c r="Y111" s="2"/>
      <c r="Z111" s="7">
        <f t="shared" si="63"/>
        <v>-0.31826273458445037</v>
      </c>
    </row>
    <row r="112" spans="1:26" s="27" customFormat="1" outlineLevel="1" collapsed="1" x14ac:dyDescent="0.25">
      <c r="A112" s="26"/>
      <c r="B112" s="13" t="str">
        <f>CONCATENATE("     ","Insurance                                         ")</f>
        <v xml:space="preserve">     Insurance                                         </v>
      </c>
      <c r="C112" s="13"/>
      <c r="D112" s="1">
        <f>SUM(OSRRefD22_10x_0)</f>
        <v>161.18</v>
      </c>
      <c r="E112" s="1"/>
      <c r="F112" s="5">
        <f t="shared" si="56"/>
        <v>5.2462739590720963E-4</v>
      </c>
      <c r="G112" s="1"/>
      <c r="H112" s="1">
        <f>SUM(OSRRefH22_10x_0)</f>
        <v>155</v>
      </c>
      <c r="I112" s="1"/>
      <c r="J112" s="5">
        <f t="shared" si="57"/>
        <v>4.376062023722207E-4</v>
      </c>
      <c r="K112" s="1"/>
      <c r="L112" s="1">
        <f t="shared" si="58"/>
        <v>6.1800000000000068</v>
      </c>
      <c r="M112" s="1"/>
      <c r="N112" s="5">
        <f t="shared" si="59"/>
        <v>3.9870967741935527E-2</v>
      </c>
      <c r="O112" s="13"/>
      <c r="P112" s="1">
        <f>SUM(OSRRefP22_10x_0)</f>
        <v>1289.44</v>
      </c>
      <c r="Q112" s="1"/>
      <c r="R112" s="5">
        <f t="shared" si="60"/>
        <v>5.53767600585034E-4</v>
      </c>
      <c r="S112" s="1"/>
      <c r="T112" s="1">
        <f>SUM(OSRRefT22_10x_0)</f>
        <v>1240</v>
      </c>
      <c r="U112" s="1"/>
      <c r="V112" s="5">
        <f t="shared" si="61"/>
        <v>5.2916203275281827E-4</v>
      </c>
      <c r="W112" s="1"/>
      <c r="X112" s="1">
        <f t="shared" si="62"/>
        <v>49.440000000000055</v>
      </c>
      <c r="Y112" s="1"/>
      <c r="Z112" s="5">
        <f t="shared" si="63"/>
        <v>3.9870967741935527E-2</v>
      </c>
    </row>
    <row r="113" spans="1:26" s="24" customFormat="1" hidden="1" outlineLevel="2" x14ac:dyDescent="0.25">
      <c r="A113" s="25"/>
      <c r="B113" s="11" t="str">
        <f>CONCATENATE("          ", "6314", " - ", "LIABILITY INSURANCE")</f>
        <v xml:space="preserve">          6314 - LIABILITY INSURANCE</v>
      </c>
      <c r="C113" s="11"/>
      <c r="D113" s="6">
        <v>161.18</v>
      </c>
      <c r="E113" s="2"/>
      <c r="F113" s="7">
        <f t="shared" si="56"/>
        <v>5.2462739590720963E-4</v>
      </c>
      <c r="G113" s="2"/>
      <c r="H113" s="6">
        <v>155</v>
      </c>
      <c r="I113" s="2"/>
      <c r="J113" s="7">
        <f t="shared" si="57"/>
        <v>4.376062023722207E-4</v>
      </c>
      <c r="K113" s="2"/>
      <c r="L113" s="6">
        <f t="shared" si="58"/>
        <v>6.1800000000000068</v>
      </c>
      <c r="M113" s="2"/>
      <c r="N113" s="7">
        <f t="shared" si="59"/>
        <v>3.9870967741935527E-2</v>
      </c>
      <c r="O113" s="11"/>
      <c r="P113" s="6">
        <v>1289.44</v>
      </c>
      <c r="Q113" s="2"/>
      <c r="R113" s="7">
        <f t="shared" si="60"/>
        <v>5.53767600585034E-4</v>
      </c>
      <c r="S113" s="2"/>
      <c r="T113" s="6">
        <v>1240</v>
      </c>
      <c r="U113" s="2"/>
      <c r="V113" s="7">
        <f t="shared" si="61"/>
        <v>5.2916203275281827E-4</v>
      </c>
      <c r="W113" s="2"/>
      <c r="X113" s="6">
        <f t="shared" si="62"/>
        <v>49.440000000000055</v>
      </c>
      <c r="Y113" s="2"/>
      <c r="Z113" s="7">
        <f t="shared" si="63"/>
        <v>3.9870967741935527E-2</v>
      </c>
    </row>
    <row r="114" spans="1:26" s="27" customFormat="1" outlineLevel="1" collapsed="1" x14ac:dyDescent="0.25">
      <c r="A114" s="26"/>
      <c r="B114" s="13" t="str">
        <f>CONCATENATE("     ","Inventory Adjustment                              ")</f>
        <v xml:space="preserve">     Inventory Adjustment                              </v>
      </c>
      <c r="C114" s="13"/>
      <c r="D114" s="1">
        <f>SUM(OSRRefD22_11x_0)</f>
        <v>3150</v>
      </c>
      <c r="E114" s="1"/>
      <c r="F114" s="5">
        <f t="shared" si="56"/>
        <v>1.0252986084549637E-2</v>
      </c>
      <c r="G114" s="1"/>
      <c r="H114" s="1">
        <f>SUM(OSRRefH22_11x_0)</f>
        <v>3150</v>
      </c>
      <c r="I114" s="1"/>
      <c r="J114" s="5">
        <f t="shared" si="57"/>
        <v>8.893287338532228E-3</v>
      </c>
      <c r="K114" s="1"/>
      <c r="L114" s="1">
        <f t="shared" si="58"/>
        <v>0</v>
      </c>
      <c r="M114" s="1"/>
      <c r="N114" s="5">
        <f t="shared" si="59"/>
        <v>0</v>
      </c>
      <c r="O114" s="13"/>
      <c r="P114" s="1">
        <f>SUM(OSRRefP22_11x_0)</f>
        <v>25200</v>
      </c>
      <c r="Q114" s="1"/>
      <c r="R114" s="5">
        <f t="shared" si="60"/>
        <v>1.0822483818357469E-2</v>
      </c>
      <c r="S114" s="1"/>
      <c r="T114" s="1">
        <f>SUM(OSRRefT22_11x_0)</f>
        <v>25200</v>
      </c>
      <c r="U114" s="1"/>
      <c r="V114" s="5">
        <f t="shared" si="61"/>
        <v>1.0753938084976629E-2</v>
      </c>
      <c r="W114" s="1"/>
      <c r="X114" s="1">
        <f t="shared" si="62"/>
        <v>0</v>
      </c>
      <c r="Y114" s="1"/>
      <c r="Z114" s="5">
        <f t="shared" si="63"/>
        <v>0</v>
      </c>
    </row>
    <row r="115" spans="1:26" s="24" customFormat="1" hidden="1" outlineLevel="2" x14ac:dyDescent="0.25">
      <c r="A115" s="25"/>
      <c r="B115" s="11" t="str">
        <f>CONCATENATE("          ", "6408", " - ", "INVENTORY ADJUSTMENT")</f>
        <v xml:space="preserve">          6408 - INVENTORY ADJUSTMENT</v>
      </c>
      <c r="C115" s="11"/>
      <c r="D115" s="6">
        <v>3150</v>
      </c>
      <c r="E115" s="2"/>
      <c r="F115" s="7">
        <f t="shared" si="56"/>
        <v>1.0252986084549637E-2</v>
      </c>
      <c r="G115" s="2"/>
      <c r="H115" s="6">
        <v>3150</v>
      </c>
      <c r="I115" s="2"/>
      <c r="J115" s="7">
        <f t="shared" si="57"/>
        <v>8.893287338532228E-3</v>
      </c>
      <c r="K115" s="2"/>
      <c r="L115" s="6">
        <f t="shared" si="58"/>
        <v>0</v>
      </c>
      <c r="M115" s="2"/>
      <c r="N115" s="7">
        <f t="shared" si="59"/>
        <v>0</v>
      </c>
      <c r="O115" s="11"/>
      <c r="P115" s="6">
        <v>25200</v>
      </c>
      <c r="Q115" s="2"/>
      <c r="R115" s="7">
        <f t="shared" si="60"/>
        <v>1.0822483818357469E-2</v>
      </c>
      <c r="S115" s="2"/>
      <c r="T115" s="6">
        <v>25200</v>
      </c>
      <c r="U115" s="2"/>
      <c r="V115" s="7">
        <f t="shared" si="61"/>
        <v>1.0753938084976629E-2</v>
      </c>
      <c r="W115" s="2"/>
      <c r="X115" s="6">
        <f t="shared" si="62"/>
        <v>0</v>
      </c>
      <c r="Y115" s="2"/>
      <c r="Z115" s="7">
        <f t="shared" si="63"/>
        <v>0</v>
      </c>
    </row>
    <row r="116" spans="1:26" s="27" customFormat="1" outlineLevel="1" collapsed="1" x14ac:dyDescent="0.25">
      <c r="A116" s="26"/>
      <c r="B116" s="13" t="str">
        <f>CONCATENATE("     ","Professional Services                             ")</f>
        <v xml:space="preserve">     Professional Services                             </v>
      </c>
      <c r="C116" s="13"/>
      <c r="D116" s="1">
        <f>SUM(OSRRefD22_12x_0)</f>
        <v>0</v>
      </c>
      <c r="E116" s="1"/>
      <c r="F116" s="5">
        <f t="shared" si="56"/>
        <v>0</v>
      </c>
      <c r="G116" s="1"/>
      <c r="H116" s="1">
        <f>SUM(OSRRefH22_12x_0)</f>
        <v>0</v>
      </c>
      <c r="I116" s="1"/>
      <c r="J116" s="5">
        <f t="shared" si="57"/>
        <v>0</v>
      </c>
      <c r="K116" s="1"/>
      <c r="L116" s="1">
        <f t="shared" si="58"/>
        <v>0</v>
      </c>
      <c r="M116" s="1"/>
      <c r="N116" s="5">
        <f t="shared" si="59"/>
        <v>0</v>
      </c>
      <c r="O116" s="13"/>
      <c r="P116" s="1">
        <f>SUM(OSRRefP22_12x_0)</f>
        <v>750</v>
      </c>
      <c r="Q116" s="1"/>
      <c r="R116" s="5">
        <f t="shared" si="60"/>
        <v>3.2209773268921039E-4</v>
      </c>
      <c r="S116" s="1"/>
      <c r="T116" s="1">
        <f>SUM(OSRRefT22_12x_0)</f>
        <v>2900</v>
      </c>
      <c r="U116" s="1"/>
      <c r="V116" s="5">
        <f t="shared" si="61"/>
        <v>1.2375563669219138E-3</v>
      </c>
      <c r="W116" s="1"/>
      <c r="X116" s="1">
        <f t="shared" si="62"/>
        <v>-2150</v>
      </c>
      <c r="Y116" s="1"/>
      <c r="Z116" s="5">
        <f t="shared" si="63"/>
        <v>-0.74137931034482762</v>
      </c>
    </row>
    <row r="117" spans="1:26" s="24" customFormat="1" hidden="1" outlineLevel="2" x14ac:dyDescent="0.25">
      <c r="A117" s="25"/>
      <c r="B117" s="11" t="str">
        <f>CONCATENATE("          ", "6336", " - ", "PROFESSIONAL SERVICES")</f>
        <v xml:space="preserve">          6336 - PROFESSIONAL SERVICES</v>
      </c>
      <c r="C117" s="11"/>
      <c r="D117" s="6"/>
      <c r="E117" s="2"/>
      <c r="F117" s="7">
        <f t="shared" si="56"/>
        <v>0</v>
      </c>
      <c r="G117" s="2"/>
      <c r="H117" s="6">
        <v>0</v>
      </c>
      <c r="I117" s="2"/>
      <c r="J117" s="7">
        <f t="shared" si="57"/>
        <v>0</v>
      </c>
      <c r="K117" s="2"/>
      <c r="L117" s="6">
        <f t="shared" si="58"/>
        <v>0</v>
      </c>
      <c r="M117" s="2"/>
      <c r="N117" s="7">
        <f t="shared" si="59"/>
        <v>0</v>
      </c>
      <c r="O117" s="11"/>
      <c r="P117" s="6">
        <v>750</v>
      </c>
      <c r="Q117" s="2"/>
      <c r="R117" s="7">
        <f t="shared" si="60"/>
        <v>3.2209773268921039E-4</v>
      </c>
      <c r="S117" s="2"/>
      <c r="T117" s="6">
        <v>2900</v>
      </c>
      <c r="U117" s="2"/>
      <c r="V117" s="7">
        <f t="shared" si="61"/>
        <v>1.2375563669219138E-3</v>
      </c>
      <c r="W117" s="2"/>
      <c r="X117" s="6">
        <f t="shared" si="62"/>
        <v>-2150</v>
      </c>
      <c r="Y117" s="2"/>
      <c r="Z117" s="7">
        <f t="shared" si="63"/>
        <v>-0.74137931034482762</v>
      </c>
    </row>
    <row r="118" spans="1:26" s="27" customFormat="1" outlineLevel="1" collapsed="1" x14ac:dyDescent="0.25">
      <c r="A118" s="26"/>
      <c r="B118" s="13" t="str">
        <f>CONCATENATE("     ","Rent                                              ")</f>
        <v xml:space="preserve">     Rent                                              </v>
      </c>
      <c r="C118" s="13"/>
      <c r="D118" s="1">
        <f>SUM(OSRRefD22_13x_0)</f>
        <v>6900</v>
      </c>
      <c r="E118" s="1"/>
      <c r="F118" s="5">
        <f t="shared" si="56"/>
        <v>2.245892189948968E-2</v>
      </c>
      <c r="G118" s="1"/>
      <c r="H118" s="1">
        <f>SUM(OSRRefH22_13x_0)</f>
        <v>7200</v>
      </c>
      <c r="I118" s="1"/>
      <c r="J118" s="5">
        <f t="shared" si="57"/>
        <v>2.0327513916645092E-2</v>
      </c>
      <c r="K118" s="1"/>
      <c r="L118" s="1">
        <f t="shared" si="58"/>
        <v>-300</v>
      </c>
      <c r="M118" s="1"/>
      <c r="N118" s="5">
        <f t="shared" si="59"/>
        <v>-4.1666666666666664E-2</v>
      </c>
      <c r="O118" s="13"/>
      <c r="P118" s="1">
        <f>SUM(OSRRefP22_13x_0)</f>
        <v>55200</v>
      </c>
      <c r="Q118" s="1"/>
      <c r="R118" s="5">
        <f t="shared" si="60"/>
        <v>2.3706393125925884E-2</v>
      </c>
      <c r="S118" s="1"/>
      <c r="T118" s="1">
        <f>SUM(OSRRefT22_13x_0)</f>
        <v>57600</v>
      </c>
      <c r="U118" s="1"/>
      <c r="V118" s="5">
        <f t="shared" si="61"/>
        <v>2.4580429908518012E-2</v>
      </c>
      <c r="W118" s="1"/>
      <c r="X118" s="1">
        <f t="shared" si="62"/>
        <v>-2400</v>
      </c>
      <c r="Y118" s="1"/>
      <c r="Z118" s="5">
        <f t="shared" si="63"/>
        <v>-4.1666666666666664E-2</v>
      </c>
    </row>
    <row r="119" spans="1:26" s="24" customFormat="1" hidden="1" outlineLevel="2" x14ac:dyDescent="0.25">
      <c r="A119" s="25"/>
      <c r="B119" s="11" t="str">
        <f>CONCATENATE("          ", "6273", " - ", "RENT")</f>
        <v xml:space="preserve">          6273 - RENT</v>
      </c>
      <c r="C119" s="11"/>
      <c r="D119" s="6">
        <v>6900</v>
      </c>
      <c r="E119" s="2"/>
      <c r="F119" s="7">
        <f t="shared" si="56"/>
        <v>2.245892189948968E-2</v>
      </c>
      <c r="G119" s="2"/>
      <c r="H119" s="6">
        <v>7200</v>
      </c>
      <c r="I119" s="2"/>
      <c r="J119" s="7">
        <f t="shared" si="57"/>
        <v>2.0327513916645092E-2</v>
      </c>
      <c r="K119" s="2"/>
      <c r="L119" s="6">
        <f t="shared" si="58"/>
        <v>-300</v>
      </c>
      <c r="M119" s="2"/>
      <c r="N119" s="7">
        <f t="shared" si="59"/>
        <v>-4.1666666666666664E-2</v>
      </c>
      <c r="O119" s="11"/>
      <c r="P119" s="6">
        <v>55200</v>
      </c>
      <c r="Q119" s="2"/>
      <c r="R119" s="7">
        <f t="shared" si="60"/>
        <v>2.3706393125925884E-2</v>
      </c>
      <c r="S119" s="2"/>
      <c r="T119" s="6">
        <v>57600</v>
      </c>
      <c r="U119" s="2"/>
      <c r="V119" s="7">
        <f t="shared" si="61"/>
        <v>2.4580429908518012E-2</v>
      </c>
      <c r="W119" s="2"/>
      <c r="X119" s="6">
        <f t="shared" si="62"/>
        <v>-2400</v>
      </c>
      <c r="Y119" s="2"/>
      <c r="Z119" s="7">
        <f t="shared" si="63"/>
        <v>-4.1666666666666664E-2</v>
      </c>
    </row>
    <row r="120" spans="1:26" s="27" customFormat="1" outlineLevel="1" collapsed="1" x14ac:dyDescent="0.25">
      <c r="A120" s="26"/>
      <c r="B120" s="13" t="str">
        <f>CONCATENATE("     ","Repair and Maintenance                            ")</f>
        <v xml:space="preserve">     Repair and Maintenance                            </v>
      </c>
      <c r="C120" s="13"/>
      <c r="D120" s="1">
        <f>SUM(OSRRefD22_14x_0)</f>
        <v>0</v>
      </c>
      <c r="E120" s="1"/>
      <c r="F120" s="5">
        <f t="shared" si="56"/>
        <v>0</v>
      </c>
      <c r="G120" s="1"/>
      <c r="H120" s="1">
        <f>SUM(OSRRefH22_14x_0)</f>
        <v>150</v>
      </c>
      <c r="I120" s="1"/>
      <c r="J120" s="5">
        <f t="shared" si="57"/>
        <v>4.2348987326343941E-4</v>
      </c>
      <c r="K120" s="1"/>
      <c r="L120" s="1">
        <f t="shared" si="58"/>
        <v>-150</v>
      </c>
      <c r="M120" s="1"/>
      <c r="N120" s="5">
        <f t="shared" si="59"/>
        <v>-1</v>
      </c>
      <c r="O120" s="13"/>
      <c r="P120" s="1">
        <f>SUM(OSRRefP22_14x_0)</f>
        <v>275.75</v>
      </c>
      <c r="Q120" s="1"/>
      <c r="R120" s="5">
        <f t="shared" si="60"/>
        <v>1.1842459971873302E-4</v>
      </c>
      <c r="S120" s="1"/>
      <c r="T120" s="1">
        <f>SUM(OSRRefT22_14x_0)</f>
        <v>1550</v>
      </c>
      <c r="U120" s="1"/>
      <c r="V120" s="5">
        <f t="shared" si="61"/>
        <v>6.6145254094102286E-4</v>
      </c>
      <c r="W120" s="1"/>
      <c r="X120" s="1">
        <f t="shared" si="62"/>
        <v>-1274.25</v>
      </c>
      <c r="Y120" s="1"/>
      <c r="Z120" s="5">
        <f t="shared" si="63"/>
        <v>-0.82209677419354843</v>
      </c>
    </row>
    <row r="121" spans="1:26" s="24" customFormat="1" hidden="1" outlineLevel="2" x14ac:dyDescent="0.25">
      <c r="A121" s="25"/>
      <c r="B121" s="11" t="str">
        <f>CONCATENATE("          ", "6373", " - ", "MAINTENANCE CONTRACTS")</f>
        <v xml:space="preserve">          6373 - MAINTENANCE CONTRACTS</v>
      </c>
      <c r="C121" s="11"/>
      <c r="D121" s="6"/>
      <c r="E121" s="2"/>
      <c r="F121" s="7">
        <f t="shared" si="56"/>
        <v>0</v>
      </c>
      <c r="G121" s="2"/>
      <c r="H121" s="6">
        <v>0</v>
      </c>
      <c r="I121" s="2"/>
      <c r="J121" s="7">
        <f t="shared" si="57"/>
        <v>0</v>
      </c>
      <c r="K121" s="2"/>
      <c r="L121" s="6">
        <f t="shared" si="58"/>
        <v>0</v>
      </c>
      <c r="M121" s="2"/>
      <c r="N121" s="7">
        <f t="shared" si="59"/>
        <v>0</v>
      </c>
      <c r="O121" s="11"/>
      <c r="P121" s="6">
        <v>93.22</v>
      </c>
      <c r="Q121" s="2"/>
      <c r="R121" s="7">
        <f t="shared" si="60"/>
        <v>4.0034600855050925E-5</v>
      </c>
      <c r="S121" s="2"/>
      <c r="T121" s="6">
        <v>75</v>
      </c>
      <c r="U121" s="2"/>
      <c r="V121" s="7">
        <f t="shared" si="61"/>
        <v>3.2005768110049492E-5</v>
      </c>
      <c r="W121" s="2"/>
      <c r="X121" s="6">
        <f t="shared" si="62"/>
        <v>18.22</v>
      </c>
      <c r="Y121" s="2"/>
      <c r="Z121" s="7">
        <f t="shared" si="63"/>
        <v>0.24293333333333331</v>
      </c>
    </row>
    <row r="122" spans="1:26" s="24" customFormat="1" hidden="1" outlineLevel="2" x14ac:dyDescent="0.25">
      <c r="A122" s="25"/>
      <c r="B122" s="11" t="str">
        <f>CONCATENATE("          ", "6375", " - ", "OUTSIDE REPAIRS &amp; MAINTENANCE")</f>
        <v xml:space="preserve">          6375 - OUTSIDE REPAIRS &amp; MAINTENANCE</v>
      </c>
      <c r="C122" s="11"/>
      <c r="D122" s="6"/>
      <c r="E122" s="2"/>
      <c r="F122" s="7">
        <f t="shared" si="56"/>
        <v>0</v>
      </c>
      <c r="G122" s="2"/>
      <c r="H122" s="6">
        <v>150</v>
      </c>
      <c r="I122" s="2"/>
      <c r="J122" s="7">
        <f t="shared" si="57"/>
        <v>4.2348987326343941E-4</v>
      </c>
      <c r="K122" s="2"/>
      <c r="L122" s="6">
        <f t="shared" si="58"/>
        <v>-150</v>
      </c>
      <c r="M122" s="2"/>
      <c r="N122" s="7">
        <f t="shared" si="59"/>
        <v>-1</v>
      </c>
      <c r="O122" s="11"/>
      <c r="P122" s="6">
        <v>182.53</v>
      </c>
      <c r="Q122" s="2"/>
      <c r="R122" s="7">
        <f t="shared" si="60"/>
        <v>7.8389998863682099E-5</v>
      </c>
      <c r="S122" s="2"/>
      <c r="T122" s="6">
        <v>1475</v>
      </c>
      <c r="U122" s="2"/>
      <c r="V122" s="7">
        <f t="shared" si="61"/>
        <v>6.2944677283097335E-4</v>
      </c>
      <c r="W122" s="2"/>
      <c r="X122" s="6">
        <f t="shared" si="62"/>
        <v>-1292.47</v>
      </c>
      <c r="Y122" s="2"/>
      <c r="Z122" s="7">
        <f t="shared" si="63"/>
        <v>-0.87625084745762716</v>
      </c>
    </row>
    <row r="123" spans="1:26" s="27" customFormat="1" outlineLevel="1" collapsed="1" x14ac:dyDescent="0.25">
      <c r="A123" s="26"/>
      <c r="B123" s="13" t="str">
        <f>CONCATENATE("     ","Royalty &amp; Commissions                             ")</f>
        <v xml:space="preserve">     Royalty &amp; Commissions                             </v>
      </c>
      <c r="C123" s="13"/>
      <c r="D123" s="1">
        <f>SUM(OSRRefD22_15x_0)</f>
        <v>15749.59</v>
      </c>
      <c r="E123" s="1"/>
      <c r="F123" s="5">
        <f t="shared" ref="F123:F126" si="64">IF(D$12=0,0,D123/D$12)</f>
        <v>5.1263595907099085E-2</v>
      </c>
      <c r="G123" s="1"/>
      <c r="H123" s="1">
        <f>SUM(OSRRefH22_15x_0)</f>
        <v>5485</v>
      </c>
      <c r="I123" s="1"/>
      <c r="J123" s="5">
        <f t="shared" ref="J123:J126" si="65">IF(H$12=0,0,H123/H$12)</f>
        <v>1.5485613032333102E-2</v>
      </c>
      <c r="K123" s="1"/>
      <c r="L123" s="1">
        <f t="shared" ref="L123:L126" si="66">+D123-H123</f>
        <v>10264.59</v>
      </c>
      <c r="M123" s="1"/>
      <c r="N123" s="5">
        <f t="shared" ref="N123:N126" si="67">IF(H123=0,0,L123/H123)</f>
        <v>1.8713928896991796</v>
      </c>
      <c r="O123" s="13"/>
      <c r="P123" s="1">
        <f>SUM(OSRRefP22_15x_0)</f>
        <v>23441.19</v>
      </c>
      <c r="Q123" s="1"/>
      <c r="R123" s="5">
        <f t="shared" ref="R123:R126" si="68">IF(P$12=0,0,P123/P$12)</f>
        <v>1.0067138867382655E-2</v>
      </c>
      <c r="S123" s="1"/>
      <c r="T123" s="1">
        <f>SUM(OSRRefT22_15x_0)</f>
        <v>43880</v>
      </c>
      <c r="U123" s="1"/>
      <c r="V123" s="5">
        <f t="shared" ref="V123:V126" si="69">IF(T$12=0,0,T123/T$12)</f>
        <v>1.8725508062252958E-2</v>
      </c>
      <c r="W123" s="1"/>
      <c r="X123" s="1">
        <f t="shared" ref="X123:X126" si="70">+P123-T123</f>
        <v>-20438.810000000001</v>
      </c>
      <c r="Y123" s="1"/>
      <c r="Z123" s="5">
        <f t="shared" ref="Z123:Z126" si="71">IF(T123=0,0,X123/T123)</f>
        <v>-0.46578874202370102</v>
      </c>
    </row>
    <row r="124" spans="1:26" s="24" customFormat="1" hidden="1" outlineLevel="2" x14ac:dyDescent="0.25">
      <c r="A124" s="25"/>
      <c r="B124" s="11" t="str">
        <f>CONCATENATE("          ", "6252", " - ", "ROYALTY DUE CSTV")</f>
        <v xml:space="preserve">          6252 - ROYALTY DUE CSTV</v>
      </c>
      <c r="C124" s="11"/>
      <c r="D124" s="6"/>
      <c r="E124" s="2"/>
      <c r="F124" s="7">
        <f t="shared" si="64"/>
        <v>0</v>
      </c>
      <c r="G124" s="2"/>
      <c r="H124" s="6">
        <v>1085</v>
      </c>
      <c r="I124" s="2"/>
      <c r="J124" s="7">
        <f t="shared" si="65"/>
        <v>3.063243416605545E-3</v>
      </c>
      <c r="K124" s="2"/>
      <c r="L124" s="6">
        <f t="shared" si="66"/>
        <v>-1085</v>
      </c>
      <c r="M124" s="2"/>
      <c r="N124" s="7">
        <f t="shared" si="67"/>
        <v>-1</v>
      </c>
      <c r="O124" s="11"/>
      <c r="P124" s="6"/>
      <c r="Q124" s="2"/>
      <c r="R124" s="7">
        <f t="shared" si="68"/>
        <v>0</v>
      </c>
      <c r="S124" s="2"/>
      <c r="T124" s="6">
        <v>8680</v>
      </c>
      <c r="U124" s="2"/>
      <c r="V124" s="7">
        <f t="shared" si="69"/>
        <v>3.7041342292697282E-3</v>
      </c>
      <c r="W124" s="2"/>
      <c r="X124" s="6">
        <f t="shared" si="70"/>
        <v>-8680</v>
      </c>
      <c r="Y124" s="2"/>
      <c r="Z124" s="7">
        <f t="shared" si="71"/>
        <v>-1</v>
      </c>
    </row>
    <row r="125" spans="1:26" s="24" customFormat="1" hidden="1" outlineLevel="2" x14ac:dyDescent="0.25">
      <c r="A125" s="25"/>
      <c r="B125" s="11" t="str">
        <f>CONCATENATE("          ", "6253", " - ", "ROYALTY DUE ATHLETICS-LRG")</f>
        <v xml:space="preserve">          6253 - ROYALTY DUE ATHLETICS-LRG</v>
      </c>
      <c r="C125" s="11"/>
      <c r="D125" s="6">
        <v>12278.49</v>
      </c>
      <c r="E125" s="2"/>
      <c r="F125" s="7">
        <f t="shared" si="64"/>
        <v>3.9965456225168845E-2</v>
      </c>
      <c r="G125" s="2"/>
      <c r="H125" s="6">
        <v>3700</v>
      </c>
      <c r="I125" s="2"/>
      <c r="J125" s="7">
        <f t="shared" si="65"/>
        <v>1.0446083540498172E-2</v>
      </c>
      <c r="K125" s="2"/>
      <c r="L125" s="6">
        <f t="shared" si="66"/>
        <v>8578.49</v>
      </c>
      <c r="M125" s="2"/>
      <c r="N125" s="7">
        <f t="shared" si="67"/>
        <v>2.3185108108108108</v>
      </c>
      <c r="O125" s="11"/>
      <c r="P125" s="6">
        <v>16645.439999999999</v>
      </c>
      <c r="Q125" s="2"/>
      <c r="R125" s="7">
        <f t="shared" si="68"/>
        <v>7.1486113114857201E-3</v>
      </c>
      <c r="S125" s="2"/>
      <c r="T125" s="6">
        <v>29600</v>
      </c>
      <c r="U125" s="2"/>
      <c r="V125" s="7">
        <f t="shared" si="69"/>
        <v>1.2631609814099533E-2</v>
      </c>
      <c r="W125" s="2"/>
      <c r="X125" s="6">
        <f t="shared" si="70"/>
        <v>-12954.560000000001</v>
      </c>
      <c r="Y125" s="2"/>
      <c r="Z125" s="7">
        <f t="shared" si="71"/>
        <v>-0.43765405405405411</v>
      </c>
    </row>
    <row r="126" spans="1:26" s="24" customFormat="1" hidden="1" outlineLevel="2" x14ac:dyDescent="0.25">
      <c r="A126" s="25"/>
      <c r="B126" s="11" t="str">
        <f>CONCATENATE("          ", "6254", " - ", "ROYALTY &amp; COMMISSIONS")</f>
        <v xml:space="preserve">          6254 - ROYALTY &amp; COMMISSIONS</v>
      </c>
      <c r="C126" s="11"/>
      <c r="D126" s="6">
        <v>3471.1</v>
      </c>
      <c r="E126" s="2"/>
      <c r="F126" s="7">
        <f t="shared" si="64"/>
        <v>1.1298139681930235E-2</v>
      </c>
      <c r="G126" s="2"/>
      <c r="H126" s="6">
        <v>700</v>
      </c>
      <c r="I126" s="2"/>
      <c r="J126" s="7">
        <f t="shared" si="65"/>
        <v>1.9762860752293838E-3</v>
      </c>
      <c r="K126" s="2"/>
      <c r="L126" s="6">
        <f t="shared" si="66"/>
        <v>2771.1</v>
      </c>
      <c r="M126" s="2"/>
      <c r="N126" s="7">
        <f t="shared" si="67"/>
        <v>3.9587142857142856</v>
      </c>
      <c r="O126" s="11"/>
      <c r="P126" s="6">
        <v>6795.75</v>
      </c>
      <c r="Q126" s="2"/>
      <c r="R126" s="7">
        <f t="shared" si="68"/>
        <v>2.9185275558969354E-3</v>
      </c>
      <c r="S126" s="2"/>
      <c r="T126" s="6">
        <v>5600</v>
      </c>
      <c r="U126" s="2"/>
      <c r="V126" s="7">
        <f t="shared" si="69"/>
        <v>2.3897640188836953E-3</v>
      </c>
      <c r="W126" s="2"/>
      <c r="X126" s="6">
        <f t="shared" si="70"/>
        <v>1195.75</v>
      </c>
      <c r="Y126" s="2"/>
      <c r="Z126" s="7">
        <f t="shared" si="71"/>
        <v>0.21352678571428571</v>
      </c>
    </row>
    <row r="127" spans="1:26" s="27" customFormat="1" outlineLevel="1" collapsed="1" x14ac:dyDescent="0.25">
      <c r="A127" s="26"/>
      <c r="B127" s="13" t="str">
        <f>CONCATENATE("     ","Services                                          ")</f>
        <v xml:space="preserve">     Services                                          </v>
      </c>
      <c r="C127" s="13"/>
      <c r="D127" s="1">
        <f>SUM(OSRRefD22_16x_0)</f>
        <v>189.45</v>
      </c>
      <c r="E127" s="1"/>
      <c r="F127" s="5">
        <f t="shared" ref="F127:F130" si="72">IF(D$12=0,0,D127/D$12)</f>
        <v>6.1664387737077092E-4</v>
      </c>
      <c r="G127" s="1"/>
      <c r="H127" s="1">
        <f>SUM(OSRRefH22_16x_0)</f>
        <v>242.5</v>
      </c>
      <c r="I127" s="1"/>
      <c r="J127" s="5">
        <f t="shared" ref="J127:J130" si="73">IF(H$12=0,0,H127/H$12)</f>
        <v>6.8464196177589367E-4</v>
      </c>
      <c r="K127" s="1"/>
      <c r="L127" s="1">
        <f t="shared" ref="L127:L130" si="74">+D127-H127</f>
        <v>-53.050000000000011</v>
      </c>
      <c r="M127" s="1"/>
      <c r="N127" s="5">
        <f t="shared" ref="N127:N130" si="75">IF(H127=0,0,L127/H127)</f>
        <v>-0.21876288659793819</v>
      </c>
      <c r="O127" s="13"/>
      <c r="P127" s="1">
        <f>SUM(OSRRefP22_16x_0)</f>
        <v>2381.1800000000003</v>
      </c>
      <c r="Q127" s="1"/>
      <c r="R127" s="5">
        <f t="shared" ref="R127:R130" si="76">IF(P$12=0,0,P127/P$12)</f>
        <v>1.0226302388331922E-3</v>
      </c>
      <c r="S127" s="1"/>
      <c r="T127" s="1">
        <f>SUM(OSRRefT22_16x_0)</f>
        <v>2205</v>
      </c>
      <c r="U127" s="1"/>
      <c r="V127" s="5">
        <f t="shared" ref="V127:V130" si="77">IF(T$12=0,0,T127/T$12)</f>
        <v>9.4096958243545517E-4</v>
      </c>
      <c r="W127" s="1"/>
      <c r="X127" s="1">
        <f t="shared" ref="X127:X130" si="78">+P127-T127</f>
        <v>176.18000000000029</v>
      </c>
      <c r="Y127" s="1"/>
      <c r="Z127" s="5">
        <f t="shared" ref="Z127:Z130" si="79">IF(T127=0,0,X127/T127)</f>
        <v>7.9900226757369741E-2</v>
      </c>
    </row>
    <row r="128" spans="1:26" s="24" customFormat="1" hidden="1" outlineLevel="2" x14ac:dyDescent="0.25">
      <c r="A128" s="25"/>
      <c r="B128" s="11" t="str">
        <f>CONCATENATE("          ", "6283", " - ", "PLANT SERVICE")</f>
        <v xml:space="preserve">          6283 - PLANT SERVICE</v>
      </c>
      <c r="C128" s="11"/>
      <c r="D128" s="6"/>
      <c r="E128" s="2"/>
      <c r="F128" s="7">
        <f t="shared" si="72"/>
        <v>0</v>
      </c>
      <c r="G128" s="2"/>
      <c r="H128" s="6">
        <v>60</v>
      </c>
      <c r="I128" s="2"/>
      <c r="J128" s="7">
        <f t="shared" si="73"/>
        <v>1.6939594930537576E-4</v>
      </c>
      <c r="K128" s="2"/>
      <c r="L128" s="6">
        <f t="shared" si="74"/>
        <v>-60</v>
      </c>
      <c r="M128" s="2"/>
      <c r="N128" s="7">
        <f t="shared" si="75"/>
        <v>-1</v>
      </c>
      <c r="O128" s="11"/>
      <c r="P128" s="6">
        <v>178.65</v>
      </c>
      <c r="Q128" s="2"/>
      <c r="R128" s="7">
        <f t="shared" si="76"/>
        <v>7.6723679926569911E-5</v>
      </c>
      <c r="S128" s="2"/>
      <c r="T128" s="6">
        <v>480</v>
      </c>
      <c r="U128" s="2"/>
      <c r="V128" s="7">
        <f t="shared" si="77"/>
        <v>2.0483691590431676E-4</v>
      </c>
      <c r="W128" s="2"/>
      <c r="X128" s="6">
        <f t="shared" si="78"/>
        <v>-301.35000000000002</v>
      </c>
      <c r="Y128" s="2"/>
      <c r="Z128" s="7">
        <f t="shared" si="79"/>
        <v>-0.6278125</v>
      </c>
    </row>
    <row r="129" spans="1:26" s="24" customFormat="1" hidden="1" outlineLevel="2" x14ac:dyDescent="0.25">
      <c r="A129" s="25"/>
      <c r="B129" s="11" t="str">
        <f>CONCATENATE("          ", "6284", " - ", "TRASH REMOVAL EXPENSE")</f>
        <v xml:space="preserve">          6284 - TRASH REMOVAL EXPENSE</v>
      </c>
      <c r="C129" s="11"/>
      <c r="D129" s="6">
        <v>134.82</v>
      </c>
      <c r="E129" s="2"/>
      <c r="F129" s="7">
        <f t="shared" si="72"/>
        <v>4.3882780441872443E-4</v>
      </c>
      <c r="G129" s="2"/>
      <c r="H129" s="6">
        <v>62.5</v>
      </c>
      <c r="I129" s="2"/>
      <c r="J129" s="7">
        <f t="shared" si="73"/>
        <v>1.7645411385976641E-4</v>
      </c>
      <c r="K129" s="2"/>
      <c r="L129" s="6">
        <f t="shared" si="74"/>
        <v>72.319999999999993</v>
      </c>
      <c r="M129" s="2"/>
      <c r="N129" s="7">
        <f t="shared" si="75"/>
        <v>1.1571199999999999</v>
      </c>
      <c r="O129" s="11"/>
      <c r="P129" s="6">
        <v>1078.56</v>
      </c>
      <c r="Q129" s="2"/>
      <c r="R129" s="7">
        <f t="shared" si="76"/>
        <v>4.6320230742569966E-4</v>
      </c>
      <c r="S129" s="2"/>
      <c r="T129" s="6">
        <v>500</v>
      </c>
      <c r="U129" s="2"/>
      <c r="V129" s="7">
        <f t="shared" si="77"/>
        <v>2.1337178740032996E-4</v>
      </c>
      <c r="W129" s="2"/>
      <c r="X129" s="6">
        <f t="shared" si="78"/>
        <v>578.55999999999995</v>
      </c>
      <c r="Y129" s="2"/>
      <c r="Z129" s="7">
        <f t="shared" si="79"/>
        <v>1.1571199999999999</v>
      </c>
    </row>
    <row r="130" spans="1:26" s="24" customFormat="1" hidden="1" outlineLevel="2" x14ac:dyDescent="0.25">
      <c r="A130" s="25"/>
      <c r="B130" s="11" t="str">
        <f>CONCATENATE("          ", "6285", " - ", "JANITORIAL SERVICES")</f>
        <v xml:space="preserve">          6285 - JANITORIAL SERVICES</v>
      </c>
      <c r="C130" s="11"/>
      <c r="D130" s="6">
        <v>54.63</v>
      </c>
      <c r="E130" s="2"/>
      <c r="F130" s="7">
        <f t="shared" si="72"/>
        <v>1.7781607295204655E-4</v>
      </c>
      <c r="G130" s="2"/>
      <c r="H130" s="6">
        <v>120</v>
      </c>
      <c r="I130" s="2"/>
      <c r="J130" s="7">
        <f t="shared" si="73"/>
        <v>3.3879189861075153E-4</v>
      </c>
      <c r="K130" s="2"/>
      <c r="L130" s="6">
        <f t="shared" si="74"/>
        <v>-65.37</v>
      </c>
      <c r="M130" s="2"/>
      <c r="N130" s="7">
        <f t="shared" si="75"/>
        <v>-0.54475000000000007</v>
      </c>
      <c r="O130" s="11"/>
      <c r="P130" s="6">
        <v>1123.97</v>
      </c>
      <c r="Q130" s="2"/>
      <c r="R130" s="7">
        <f t="shared" si="76"/>
        <v>4.8270425148092244E-4</v>
      </c>
      <c r="S130" s="2"/>
      <c r="T130" s="6">
        <v>1225</v>
      </c>
      <c r="U130" s="2"/>
      <c r="V130" s="7">
        <f t="shared" si="77"/>
        <v>5.2276087913080845E-4</v>
      </c>
      <c r="W130" s="2"/>
      <c r="X130" s="6">
        <f t="shared" si="78"/>
        <v>-101.02999999999997</v>
      </c>
      <c r="Y130" s="2"/>
      <c r="Z130" s="7">
        <f t="shared" si="79"/>
        <v>-8.2473469387755086E-2</v>
      </c>
    </row>
    <row r="131" spans="1:26" s="27" customFormat="1" outlineLevel="1" collapsed="1" x14ac:dyDescent="0.25">
      <c r="A131" s="26"/>
      <c r="B131" s="13" t="str">
        <f>CONCATENATE("     ","Subscriptions &amp; Dues                              ")</f>
        <v xml:space="preserve">     Subscriptions &amp; Dues                              </v>
      </c>
      <c r="C131" s="13"/>
      <c r="D131" s="1">
        <f>SUM(OSRRefD22_17x_0)</f>
        <v>122.93</v>
      </c>
      <c r="E131" s="1"/>
      <c r="F131" s="5">
        <f t="shared" ref="F131:F133" si="80">IF(D$12=0,0,D131/D$12)</f>
        <v>4.0012685059482125E-4</v>
      </c>
      <c r="G131" s="1"/>
      <c r="H131" s="1">
        <f>SUM(OSRRefH22_17x_0)</f>
        <v>615</v>
      </c>
      <c r="I131" s="1"/>
      <c r="J131" s="5">
        <f t="shared" ref="J131:J133" si="81">IF(H$12=0,0,H131/H$12)</f>
        <v>1.7363084803801016E-3</v>
      </c>
      <c r="K131" s="1"/>
      <c r="L131" s="1">
        <f t="shared" ref="L131:L133" si="82">+D131-H131</f>
        <v>-492.07</v>
      </c>
      <c r="M131" s="1"/>
      <c r="N131" s="5">
        <f t="shared" ref="N131:N133" si="83">IF(H131=0,0,L131/H131)</f>
        <v>-0.80011382113821139</v>
      </c>
      <c r="O131" s="13"/>
      <c r="P131" s="1">
        <f>SUM(OSRRefP22_17x_0)</f>
        <v>582.99</v>
      </c>
      <c r="Q131" s="1"/>
      <c r="R131" s="5">
        <f t="shared" ref="R131:R133" si="84">IF(P$12=0,0,P131/P$12)</f>
        <v>2.50373009573977E-4</v>
      </c>
      <c r="S131" s="1"/>
      <c r="T131" s="1">
        <f>SUM(OSRRefT22_17x_0)</f>
        <v>5390</v>
      </c>
      <c r="U131" s="1"/>
      <c r="V131" s="5">
        <f t="shared" ref="V131:V133" si="85">IF(T$12=0,0,T131/T$12)</f>
        <v>2.3001478681755568E-3</v>
      </c>
      <c r="W131" s="1"/>
      <c r="X131" s="1">
        <f t="shared" ref="X131:X133" si="86">+P131-T131</f>
        <v>-4807.01</v>
      </c>
      <c r="Y131" s="1"/>
      <c r="Z131" s="5">
        <f t="shared" ref="Z131:Z133" si="87">IF(T131=0,0,X131/T131)</f>
        <v>-0.89183858998144716</v>
      </c>
    </row>
    <row r="132" spans="1:26" s="24" customFormat="1" hidden="1" outlineLevel="2" x14ac:dyDescent="0.25">
      <c r="A132" s="25"/>
      <c r="B132" s="11" t="str">
        <f>CONCATENATE("          ", "6258", " - ", "MEMBERSHIP DUES")</f>
        <v xml:space="preserve">          6258 - MEMBERSHIP DUES</v>
      </c>
      <c r="C132" s="11"/>
      <c r="D132" s="6">
        <v>122.93</v>
      </c>
      <c r="E132" s="2"/>
      <c r="F132" s="7">
        <f t="shared" si="80"/>
        <v>4.0012685059482125E-4</v>
      </c>
      <c r="G132" s="2"/>
      <c r="H132" s="6">
        <v>0</v>
      </c>
      <c r="I132" s="2"/>
      <c r="J132" s="7">
        <f t="shared" si="81"/>
        <v>0</v>
      </c>
      <c r="K132" s="2"/>
      <c r="L132" s="6">
        <f t="shared" si="82"/>
        <v>122.93</v>
      </c>
      <c r="M132" s="2"/>
      <c r="N132" s="7">
        <f t="shared" si="83"/>
        <v>0</v>
      </c>
      <c r="O132" s="11"/>
      <c r="P132" s="6">
        <v>122.93</v>
      </c>
      <c r="Q132" s="2"/>
      <c r="R132" s="7">
        <f t="shared" si="84"/>
        <v>5.2793965705979512E-5</v>
      </c>
      <c r="S132" s="2"/>
      <c r="T132" s="6">
        <v>1895</v>
      </c>
      <c r="U132" s="2"/>
      <c r="V132" s="7">
        <f t="shared" si="85"/>
        <v>8.0867907424725057E-4</v>
      </c>
      <c r="W132" s="2"/>
      <c r="X132" s="6">
        <f t="shared" si="86"/>
        <v>-1772.07</v>
      </c>
      <c r="Y132" s="2"/>
      <c r="Z132" s="7">
        <f t="shared" si="87"/>
        <v>-0.93512928759894454</v>
      </c>
    </row>
    <row r="133" spans="1:26" s="24" customFormat="1" hidden="1" outlineLevel="2" x14ac:dyDescent="0.25">
      <c r="A133" s="25"/>
      <c r="B133" s="11" t="str">
        <f>CONCATENATE("          ", "6275", " - ", "SUBSCRIPTIONS")</f>
        <v xml:space="preserve">          6275 - SUBSCRIPTIONS</v>
      </c>
      <c r="C133" s="11"/>
      <c r="D133" s="6"/>
      <c r="E133" s="2"/>
      <c r="F133" s="7">
        <f t="shared" si="80"/>
        <v>0</v>
      </c>
      <c r="G133" s="2"/>
      <c r="H133" s="6">
        <v>615</v>
      </c>
      <c r="I133" s="2"/>
      <c r="J133" s="7">
        <f t="shared" si="81"/>
        <v>1.7363084803801016E-3</v>
      </c>
      <c r="K133" s="2"/>
      <c r="L133" s="6">
        <f t="shared" si="82"/>
        <v>-615</v>
      </c>
      <c r="M133" s="2"/>
      <c r="N133" s="7">
        <f t="shared" si="83"/>
        <v>-1</v>
      </c>
      <c r="O133" s="11"/>
      <c r="P133" s="6">
        <v>460.06</v>
      </c>
      <c r="Q133" s="2"/>
      <c r="R133" s="7">
        <f t="shared" si="84"/>
        <v>1.9757904386799751E-4</v>
      </c>
      <c r="S133" s="2"/>
      <c r="T133" s="6">
        <v>3495</v>
      </c>
      <c r="U133" s="2"/>
      <c r="V133" s="7">
        <f t="shared" si="85"/>
        <v>1.4914687939283065E-3</v>
      </c>
      <c r="W133" s="2"/>
      <c r="X133" s="6">
        <f t="shared" si="86"/>
        <v>-3034.94</v>
      </c>
      <c r="Y133" s="2"/>
      <c r="Z133" s="7">
        <f t="shared" si="87"/>
        <v>-0.86836623748211728</v>
      </c>
    </row>
    <row r="134" spans="1:26" s="27" customFormat="1" outlineLevel="1" collapsed="1" x14ac:dyDescent="0.25">
      <c r="A134" s="26"/>
      <c r="B134" s="13" t="str">
        <f>CONCATENATE("     ","Supplies                                          ")</f>
        <v xml:space="preserve">     Supplies                                          </v>
      </c>
      <c r="C134" s="13"/>
      <c r="D134" s="1">
        <f>SUM(OSRRefD22_18x_0)</f>
        <v>572.91</v>
      </c>
      <c r="E134" s="1"/>
      <c r="F134" s="5">
        <f t="shared" ref="F134:F140" si="88">IF(D$12=0,0,D134/D$12)</f>
        <v>1.8647740500632799E-3</v>
      </c>
      <c r="G134" s="1"/>
      <c r="H134" s="1">
        <f>SUM(OSRRefH22_18x_0)</f>
        <v>1075</v>
      </c>
      <c r="I134" s="1"/>
      <c r="J134" s="5">
        <f t="shared" ref="J134:J140" si="89">IF(H$12=0,0,H134/H$12)</f>
        <v>3.0350107583879825E-3</v>
      </c>
      <c r="K134" s="1"/>
      <c r="L134" s="1">
        <f t="shared" ref="L134:L140" si="90">+D134-H134</f>
        <v>-502.09000000000003</v>
      </c>
      <c r="M134" s="1"/>
      <c r="N134" s="5">
        <f t="shared" ref="N134:N140" si="91">IF(H134=0,0,L134/H134)</f>
        <v>-0.46706046511627908</v>
      </c>
      <c r="O134" s="13"/>
      <c r="P134" s="1">
        <f>SUM(OSRRefP22_18x_0)</f>
        <v>6481.4899999999989</v>
      </c>
      <c r="Q134" s="1"/>
      <c r="R134" s="5">
        <f t="shared" ref="R134:R140" si="92">IF(P$12=0,0,P134/P$12)</f>
        <v>2.7835643112637198E-3</v>
      </c>
      <c r="S134" s="1"/>
      <c r="T134" s="1">
        <f>SUM(OSRRefT22_18x_0)</f>
        <v>12505</v>
      </c>
      <c r="U134" s="1"/>
      <c r="V134" s="5">
        <f t="shared" ref="V134:V140" si="93">IF(T$12=0,0,T134/T$12)</f>
        <v>5.3364284028822526E-3</v>
      </c>
      <c r="W134" s="1"/>
      <c r="X134" s="1">
        <f t="shared" ref="X134:X140" si="94">+P134-T134</f>
        <v>-6023.5100000000011</v>
      </c>
      <c r="Y134" s="1"/>
      <c r="Z134" s="5">
        <f t="shared" ref="Z134:Z140" si="95">IF(T134=0,0,X134/T134)</f>
        <v>-0.48168812475010003</v>
      </c>
    </row>
    <row r="135" spans="1:26" s="24" customFormat="1" hidden="1" outlineLevel="2" x14ac:dyDescent="0.25">
      <c r="A135" s="25"/>
      <c r="B135" s="11" t="str">
        <f>CONCATENATE("          ", "6234", " - ", "EXPENDABLE SUPPLIES &amp; EQUIPMEN")</f>
        <v xml:space="preserve">          6234 - EXPENDABLE SUPPLIES &amp; EQUIPMEN</v>
      </c>
      <c r="C135" s="11"/>
      <c r="D135" s="6"/>
      <c r="E135" s="2"/>
      <c r="F135" s="7">
        <f t="shared" si="88"/>
        <v>0</v>
      </c>
      <c r="G135" s="2"/>
      <c r="H135" s="6">
        <v>400</v>
      </c>
      <c r="I135" s="2"/>
      <c r="J135" s="7">
        <f t="shared" si="89"/>
        <v>1.1293063287025052E-3</v>
      </c>
      <c r="K135" s="2"/>
      <c r="L135" s="6">
        <f t="shared" si="90"/>
        <v>-400</v>
      </c>
      <c r="M135" s="2"/>
      <c r="N135" s="7">
        <f t="shared" si="91"/>
        <v>-1</v>
      </c>
      <c r="O135" s="11"/>
      <c r="P135" s="6">
        <v>836.14</v>
      </c>
      <c r="Q135" s="2"/>
      <c r="R135" s="7">
        <f t="shared" si="92"/>
        <v>3.5909173094767518E-4</v>
      </c>
      <c r="S135" s="2"/>
      <c r="T135" s="6">
        <v>6250</v>
      </c>
      <c r="U135" s="2"/>
      <c r="V135" s="7">
        <f t="shared" si="93"/>
        <v>2.6671473425041244E-3</v>
      </c>
      <c r="W135" s="2"/>
      <c r="X135" s="6">
        <f t="shared" si="94"/>
        <v>-5413.86</v>
      </c>
      <c r="Y135" s="2"/>
      <c r="Z135" s="7">
        <f t="shared" si="95"/>
        <v>-0.86621759999999992</v>
      </c>
    </row>
    <row r="136" spans="1:26" s="24" customFormat="1" hidden="1" outlineLevel="2" x14ac:dyDescent="0.25">
      <c r="A136" s="25"/>
      <c r="B136" s="11" t="str">
        <f>CONCATENATE("          ", "6237", " - ", "JANITORIAL SUPPLIES")</f>
        <v xml:space="preserve">          6237 - JANITORIAL SUPPLIES</v>
      </c>
      <c r="C136" s="11"/>
      <c r="D136" s="6"/>
      <c r="E136" s="2"/>
      <c r="F136" s="7">
        <f t="shared" si="88"/>
        <v>0</v>
      </c>
      <c r="G136" s="2"/>
      <c r="H136" s="6">
        <v>50</v>
      </c>
      <c r="I136" s="2"/>
      <c r="J136" s="7">
        <f t="shared" si="89"/>
        <v>1.4116329108781315E-4</v>
      </c>
      <c r="K136" s="2"/>
      <c r="L136" s="6">
        <f t="shared" si="90"/>
        <v>-50</v>
      </c>
      <c r="M136" s="2"/>
      <c r="N136" s="7">
        <f t="shared" si="91"/>
        <v>-1</v>
      </c>
      <c r="O136" s="11"/>
      <c r="P136" s="6">
        <v>287.72000000000003</v>
      </c>
      <c r="Q136" s="2"/>
      <c r="R136" s="7">
        <f t="shared" si="92"/>
        <v>1.2356527953245284E-4</v>
      </c>
      <c r="S136" s="2"/>
      <c r="T136" s="6">
        <v>355</v>
      </c>
      <c r="U136" s="2"/>
      <c r="V136" s="7">
        <f t="shared" si="93"/>
        <v>1.5149396905423426E-4</v>
      </c>
      <c r="W136" s="2"/>
      <c r="X136" s="6">
        <f t="shared" si="94"/>
        <v>-67.279999999999973</v>
      </c>
      <c r="Y136" s="2"/>
      <c r="Z136" s="7">
        <f t="shared" si="95"/>
        <v>-0.18952112676056329</v>
      </c>
    </row>
    <row r="137" spans="1:26" s="24" customFormat="1" hidden="1" outlineLevel="2" x14ac:dyDescent="0.25">
      <c r="A137" s="25"/>
      <c r="B137" s="11" t="str">
        <f>CONCATENATE("          ", "6241", " - ", "OFFICE EXPENSE")</f>
        <v xml:space="preserve">          6241 - OFFICE EXPENSE</v>
      </c>
      <c r="C137" s="11"/>
      <c r="D137" s="6">
        <v>112.71</v>
      </c>
      <c r="E137" s="2"/>
      <c r="F137" s="7">
        <f t="shared" si="88"/>
        <v>3.6686160685383792E-4</v>
      </c>
      <c r="G137" s="2"/>
      <c r="H137" s="6">
        <v>400</v>
      </c>
      <c r="I137" s="2"/>
      <c r="J137" s="7">
        <f t="shared" si="89"/>
        <v>1.1293063287025052E-3</v>
      </c>
      <c r="K137" s="2"/>
      <c r="L137" s="6">
        <f t="shared" si="90"/>
        <v>-287.29000000000002</v>
      </c>
      <c r="M137" s="2"/>
      <c r="N137" s="7">
        <f t="shared" si="91"/>
        <v>-0.718225</v>
      </c>
      <c r="O137" s="11"/>
      <c r="P137" s="6">
        <v>4621.2</v>
      </c>
      <c r="Q137" s="2"/>
      <c r="R137" s="7">
        <f t="shared" si="92"/>
        <v>1.9846373897378388E-3</v>
      </c>
      <c r="S137" s="2"/>
      <c r="T137" s="6">
        <v>3300</v>
      </c>
      <c r="U137" s="2"/>
      <c r="V137" s="7">
        <f t="shared" si="93"/>
        <v>1.4082537968421777E-3</v>
      </c>
      <c r="W137" s="2"/>
      <c r="X137" s="6">
        <f t="shared" si="94"/>
        <v>1321.1999999999998</v>
      </c>
      <c r="Y137" s="2"/>
      <c r="Z137" s="7">
        <f t="shared" si="95"/>
        <v>0.40036363636363631</v>
      </c>
    </row>
    <row r="138" spans="1:26" s="24" customFormat="1" hidden="1" outlineLevel="2" x14ac:dyDescent="0.25">
      <c r="A138" s="25"/>
      <c r="B138" s="11" t="str">
        <f>CONCATENATE("          ", "6245", " - ", "PRINTING")</f>
        <v xml:space="preserve">          6245 - PRINTING</v>
      </c>
      <c r="C138" s="11"/>
      <c r="D138" s="6"/>
      <c r="E138" s="2"/>
      <c r="F138" s="7">
        <f t="shared" si="88"/>
        <v>0</v>
      </c>
      <c r="G138" s="2"/>
      <c r="H138" s="6"/>
      <c r="I138" s="2"/>
      <c r="J138" s="7">
        <f t="shared" si="89"/>
        <v>0</v>
      </c>
      <c r="K138" s="2"/>
      <c r="L138" s="6">
        <f t="shared" si="90"/>
        <v>0</v>
      </c>
      <c r="M138" s="2"/>
      <c r="N138" s="7">
        <f t="shared" si="91"/>
        <v>0</v>
      </c>
      <c r="O138" s="11"/>
      <c r="P138" s="6">
        <v>-506.93</v>
      </c>
      <c r="Q138" s="2"/>
      <c r="R138" s="7">
        <f t="shared" si="92"/>
        <v>-2.1770800484285523E-4</v>
      </c>
      <c r="S138" s="2"/>
      <c r="T138" s="6"/>
      <c r="U138" s="2"/>
      <c r="V138" s="7">
        <f t="shared" si="93"/>
        <v>0</v>
      </c>
      <c r="W138" s="2"/>
      <c r="X138" s="6">
        <f t="shared" si="94"/>
        <v>-506.93</v>
      </c>
      <c r="Y138" s="2"/>
      <c r="Z138" s="7">
        <f t="shared" si="95"/>
        <v>0</v>
      </c>
    </row>
    <row r="139" spans="1:26" s="24" customFormat="1" hidden="1" outlineLevel="2" x14ac:dyDescent="0.25">
      <c r="A139" s="25"/>
      <c r="B139" s="11" t="str">
        <f>CONCATENATE("          ", "6247", " - ", "STORE SUPPLIES")</f>
        <v xml:space="preserve">          6247 - STORE SUPPLIES</v>
      </c>
      <c r="C139" s="11"/>
      <c r="D139" s="6">
        <v>460.2</v>
      </c>
      <c r="E139" s="2"/>
      <c r="F139" s="7">
        <f t="shared" si="88"/>
        <v>1.4979124432094421E-3</v>
      </c>
      <c r="G139" s="2"/>
      <c r="H139" s="6">
        <v>225</v>
      </c>
      <c r="I139" s="2"/>
      <c r="J139" s="7">
        <f t="shared" si="89"/>
        <v>6.3523480989515911E-4</v>
      </c>
      <c r="K139" s="2"/>
      <c r="L139" s="6">
        <f t="shared" si="90"/>
        <v>235.2</v>
      </c>
      <c r="M139" s="2"/>
      <c r="N139" s="7">
        <f t="shared" si="91"/>
        <v>1.0453333333333332</v>
      </c>
      <c r="O139" s="11"/>
      <c r="P139" s="6">
        <v>1243.3599999999999</v>
      </c>
      <c r="Q139" s="2"/>
      <c r="R139" s="7">
        <f t="shared" si="92"/>
        <v>5.3397791588860881E-4</v>
      </c>
      <c r="S139" s="2"/>
      <c r="T139" s="6">
        <v>2100</v>
      </c>
      <c r="U139" s="2"/>
      <c r="V139" s="7">
        <f t="shared" si="93"/>
        <v>8.9616150708138581E-4</v>
      </c>
      <c r="W139" s="2"/>
      <c r="X139" s="6">
        <f t="shared" si="94"/>
        <v>-856.6400000000001</v>
      </c>
      <c r="Y139" s="2"/>
      <c r="Z139" s="7">
        <f t="shared" si="95"/>
        <v>-0.40792380952380958</v>
      </c>
    </row>
    <row r="140" spans="1:26" s="24" customFormat="1" hidden="1" outlineLevel="2" x14ac:dyDescent="0.25">
      <c r="A140" s="25"/>
      <c r="B140" s="11" t="str">
        <f>CONCATENATE("          ", "6248", " - ", "UNIFORMS")</f>
        <v xml:space="preserve">          6248 - UNIFORMS</v>
      </c>
      <c r="C140" s="11"/>
      <c r="D140" s="6"/>
      <c r="E140" s="2"/>
      <c r="F140" s="7">
        <f t="shared" si="88"/>
        <v>0</v>
      </c>
      <c r="G140" s="2"/>
      <c r="H140" s="6">
        <v>0</v>
      </c>
      <c r="I140" s="2"/>
      <c r="J140" s="7">
        <f t="shared" si="89"/>
        <v>0</v>
      </c>
      <c r="K140" s="2"/>
      <c r="L140" s="6">
        <f t="shared" si="90"/>
        <v>0</v>
      </c>
      <c r="M140" s="2"/>
      <c r="N140" s="7">
        <f t="shared" si="91"/>
        <v>0</v>
      </c>
      <c r="O140" s="11"/>
      <c r="P140" s="6"/>
      <c r="Q140" s="2"/>
      <c r="R140" s="7">
        <f t="shared" si="92"/>
        <v>0</v>
      </c>
      <c r="S140" s="2"/>
      <c r="T140" s="6">
        <v>500</v>
      </c>
      <c r="U140" s="2"/>
      <c r="V140" s="7">
        <f t="shared" si="93"/>
        <v>2.1337178740032996E-4</v>
      </c>
      <c r="W140" s="2"/>
      <c r="X140" s="6">
        <f t="shared" si="94"/>
        <v>-500</v>
      </c>
      <c r="Y140" s="2"/>
      <c r="Z140" s="7">
        <f t="shared" si="95"/>
        <v>-1</v>
      </c>
    </row>
    <row r="141" spans="1:26" s="27" customFormat="1" outlineLevel="1" collapsed="1" x14ac:dyDescent="0.25">
      <c r="A141" s="26"/>
      <c r="B141" s="13" t="str">
        <f>CONCATENATE("     ","Telephone/Data Lines                              ")</f>
        <v xml:space="preserve">     Telephone/Data Lines                              </v>
      </c>
      <c r="C141" s="13"/>
      <c r="D141" s="1">
        <f>SUM(OSRRefD22_19x_0)</f>
        <v>1476.65</v>
      </c>
      <c r="E141" s="1"/>
      <c r="F141" s="5">
        <f t="shared" ref="F141:F143" si="96">IF(D$12=0,0,D141/D$12)</f>
        <v>4.8063720323016576E-3</v>
      </c>
      <c r="G141" s="1"/>
      <c r="H141" s="1">
        <f>SUM(OSRRefH22_19x_0)</f>
        <v>1600</v>
      </c>
      <c r="I141" s="1"/>
      <c r="J141" s="5">
        <f t="shared" ref="J141:J143" si="97">IF(H$12=0,0,H141/H$12)</f>
        <v>4.5172253148100206E-3</v>
      </c>
      <c r="K141" s="1"/>
      <c r="L141" s="1">
        <f t="shared" ref="L141:L143" si="98">+D141-H141</f>
        <v>-123.34999999999991</v>
      </c>
      <c r="M141" s="1"/>
      <c r="N141" s="5">
        <f t="shared" ref="N141:N143" si="99">IF(H141=0,0,L141/H141)</f>
        <v>-7.7093749999999947E-2</v>
      </c>
      <c r="O141" s="13"/>
      <c r="P141" s="1">
        <f>SUM(OSRRefP22_19x_0)</f>
        <v>7335.79</v>
      </c>
      <c r="Q141" s="1"/>
      <c r="R141" s="5">
        <f t="shared" ref="R141:R143" si="100">IF(P$12=0,0,P141/P$12)</f>
        <v>3.15045510197891E-3</v>
      </c>
      <c r="S141" s="1"/>
      <c r="T141" s="1">
        <f>SUM(OSRRefT22_19x_0)</f>
        <v>9375</v>
      </c>
      <c r="U141" s="1"/>
      <c r="V141" s="5">
        <f t="shared" ref="V141:V143" si="101">IF(T$12=0,0,T141/T$12)</f>
        <v>4.0007210137561868E-3</v>
      </c>
      <c r="W141" s="1"/>
      <c r="X141" s="1">
        <f t="shared" ref="X141:X143" si="102">+P141-T141</f>
        <v>-2039.21</v>
      </c>
      <c r="Y141" s="1"/>
      <c r="Z141" s="5">
        <f t="shared" ref="Z141:Z143" si="103">IF(T141=0,0,X141/T141)</f>
        <v>-0.21751573333333335</v>
      </c>
    </row>
    <row r="142" spans="1:26" s="24" customFormat="1" hidden="1" outlineLevel="2" x14ac:dyDescent="0.25">
      <c r="A142" s="25"/>
      <c r="B142" s="11" t="str">
        <f>CONCATENATE("          ", "6303", " - ", "DATA PHONE LINES")</f>
        <v xml:space="preserve">          6303 - DATA PHONE LINES</v>
      </c>
      <c r="C142" s="11"/>
      <c r="D142" s="6"/>
      <c r="E142" s="2"/>
      <c r="F142" s="7">
        <f t="shared" si="96"/>
        <v>0</v>
      </c>
      <c r="G142" s="2"/>
      <c r="H142" s="6">
        <v>850</v>
      </c>
      <c r="I142" s="2"/>
      <c r="J142" s="7">
        <f t="shared" si="97"/>
        <v>2.3997759484928232E-3</v>
      </c>
      <c r="K142" s="2"/>
      <c r="L142" s="6">
        <f t="shared" si="98"/>
        <v>-850</v>
      </c>
      <c r="M142" s="2"/>
      <c r="N142" s="7">
        <f t="shared" si="99"/>
        <v>-1</v>
      </c>
      <c r="O142" s="11"/>
      <c r="P142" s="6"/>
      <c r="Q142" s="2"/>
      <c r="R142" s="7">
        <f t="shared" si="100"/>
        <v>0</v>
      </c>
      <c r="S142" s="2"/>
      <c r="T142" s="6">
        <v>4725</v>
      </c>
      <c r="U142" s="2"/>
      <c r="V142" s="7">
        <f t="shared" si="101"/>
        <v>2.0163633909331181E-3</v>
      </c>
      <c r="W142" s="2"/>
      <c r="X142" s="6">
        <f t="shared" si="102"/>
        <v>-4725</v>
      </c>
      <c r="Y142" s="2"/>
      <c r="Z142" s="7">
        <f t="shared" si="103"/>
        <v>-1</v>
      </c>
    </row>
    <row r="143" spans="1:26" s="24" customFormat="1" hidden="1" outlineLevel="2" x14ac:dyDescent="0.25">
      <c r="A143" s="25"/>
      <c r="B143" s="11" t="str">
        <f>CONCATENATE("          ", "6309", " - ", "TELEPHONE")</f>
        <v xml:space="preserve">          6309 - TELEPHONE</v>
      </c>
      <c r="C143" s="11"/>
      <c r="D143" s="6">
        <v>1476.65</v>
      </c>
      <c r="E143" s="2"/>
      <c r="F143" s="7">
        <f t="shared" si="96"/>
        <v>4.8063720323016576E-3</v>
      </c>
      <c r="G143" s="2"/>
      <c r="H143" s="6">
        <v>750</v>
      </c>
      <c r="I143" s="2"/>
      <c r="J143" s="7">
        <f t="shared" si="97"/>
        <v>2.117449366317197E-3</v>
      </c>
      <c r="K143" s="2"/>
      <c r="L143" s="6">
        <f t="shared" si="98"/>
        <v>726.65000000000009</v>
      </c>
      <c r="M143" s="2"/>
      <c r="N143" s="7">
        <f t="shared" si="99"/>
        <v>0.96886666666666676</v>
      </c>
      <c r="O143" s="11"/>
      <c r="P143" s="6">
        <v>7335.79</v>
      </c>
      <c r="Q143" s="2"/>
      <c r="R143" s="7">
        <f t="shared" si="100"/>
        <v>3.15045510197891E-3</v>
      </c>
      <c r="S143" s="2"/>
      <c r="T143" s="6">
        <v>4650</v>
      </c>
      <c r="U143" s="2"/>
      <c r="V143" s="7">
        <f t="shared" si="101"/>
        <v>1.9843576228230687E-3</v>
      </c>
      <c r="W143" s="2"/>
      <c r="X143" s="6">
        <f t="shared" si="102"/>
        <v>2685.79</v>
      </c>
      <c r="Y143" s="2"/>
      <c r="Z143" s="7">
        <f t="shared" si="103"/>
        <v>0.57758924731182792</v>
      </c>
    </row>
    <row r="144" spans="1:26" s="27" customFormat="1" outlineLevel="1" collapsed="1" x14ac:dyDescent="0.25">
      <c r="A144" s="26"/>
      <c r="B144" s="13" t="str">
        <f>CONCATENATE("     ","Training                                          ")</f>
        <v xml:space="preserve">     Training                                          </v>
      </c>
      <c r="C144" s="13"/>
      <c r="D144" s="1">
        <f>SUM(OSRRefD22_20x_0)</f>
        <v>2326.81</v>
      </c>
      <c r="E144" s="1"/>
      <c r="F144" s="5">
        <f t="shared" ref="F144:F148" si="104">IF(D$12=0,0,D144/D$12)</f>
        <v>7.5735716036161712E-3</v>
      </c>
      <c r="G144" s="1"/>
      <c r="H144" s="1">
        <f>SUM(OSRRefH22_20x_0)</f>
        <v>1000</v>
      </c>
      <c r="I144" s="1"/>
      <c r="J144" s="5">
        <f t="shared" ref="J144:J148" si="105">IF(H$12=0,0,H144/H$12)</f>
        <v>2.8232658217562626E-3</v>
      </c>
      <c r="K144" s="1"/>
      <c r="L144" s="1">
        <f t="shared" ref="L144:L148" si="106">+D144-H144</f>
        <v>1326.81</v>
      </c>
      <c r="M144" s="1"/>
      <c r="N144" s="5">
        <f t="shared" ref="N144:N148" si="107">IF(H144=0,0,L144/H144)</f>
        <v>1.32681</v>
      </c>
      <c r="O144" s="13"/>
      <c r="P144" s="1">
        <f>SUM(OSRRefP22_20x_0)</f>
        <v>3705.99</v>
      </c>
      <c r="Q144" s="1"/>
      <c r="R144" s="5">
        <f t="shared" ref="R144:R148" si="108">IF(P$12=0,0,P144/P$12)</f>
        <v>1.591587968491849E-3</v>
      </c>
      <c r="S144" s="1"/>
      <c r="T144" s="1">
        <f>SUM(OSRRefT22_20x_0)</f>
        <v>4600</v>
      </c>
      <c r="U144" s="1"/>
      <c r="V144" s="5">
        <f t="shared" ref="V144:V148" si="109">IF(T$12=0,0,T144/T$12)</f>
        <v>1.9630204440830358E-3</v>
      </c>
      <c r="W144" s="1"/>
      <c r="X144" s="1">
        <f t="shared" ref="X144:X148" si="110">+P144-T144</f>
        <v>-894.01000000000022</v>
      </c>
      <c r="Y144" s="1"/>
      <c r="Z144" s="5">
        <f t="shared" ref="Z144:Z148" si="111">IF(T144=0,0,X144/T144)</f>
        <v>-0.19435000000000005</v>
      </c>
    </row>
    <row r="145" spans="1:26" s="24" customFormat="1" hidden="1" outlineLevel="2" x14ac:dyDescent="0.25">
      <c r="A145" s="25"/>
      <c r="B145" s="11" t="str">
        <f>CONCATENATE("          ", "6376", " - ", "TRAINING")</f>
        <v xml:space="preserve">          6376 - TRAINING</v>
      </c>
      <c r="C145" s="11"/>
      <c r="D145" s="6">
        <v>2326.81</v>
      </c>
      <c r="E145" s="2"/>
      <c r="F145" s="7">
        <f t="shared" si="104"/>
        <v>7.5735716036161712E-3</v>
      </c>
      <c r="G145" s="2"/>
      <c r="H145" s="6">
        <v>1000</v>
      </c>
      <c r="I145" s="2"/>
      <c r="J145" s="7">
        <f t="shared" si="105"/>
        <v>2.8232658217562626E-3</v>
      </c>
      <c r="K145" s="2"/>
      <c r="L145" s="6">
        <f t="shared" si="106"/>
        <v>1326.81</v>
      </c>
      <c r="M145" s="2"/>
      <c r="N145" s="7">
        <f t="shared" si="107"/>
        <v>1.32681</v>
      </c>
      <c r="O145" s="11"/>
      <c r="P145" s="6">
        <v>3705.99</v>
      </c>
      <c r="Q145" s="2"/>
      <c r="R145" s="7">
        <f t="shared" si="108"/>
        <v>1.591587968491849E-3</v>
      </c>
      <c r="S145" s="2"/>
      <c r="T145" s="6">
        <v>4600</v>
      </c>
      <c r="U145" s="2"/>
      <c r="V145" s="7">
        <f t="shared" si="109"/>
        <v>1.9630204440830358E-3</v>
      </c>
      <c r="W145" s="2"/>
      <c r="X145" s="6">
        <f t="shared" si="110"/>
        <v>-894.01000000000022</v>
      </c>
      <c r="Y145" s="2"/>
      <c r="Z145" s="7">
        <f t="shared" si="111"/>
        <v>-0.19435000000000005</v>
      </c>
    </row>
    <row r="146" spans="1:26" s="27" customFormat="1" outlineLevel="1" collapsed="1" x14ac:dyDescent="0.25">
      <c r="A146" s="26"/>
      <c r="B146" s="13" t="str">
        <f>CONCATENATE("     ","Travel                                            ")</f>
        <v xml:space="preserve">     Travel                                            </v>
      </c>
      <c r="C146" s="13"/>
      <c r="D146" s="1">
        <f>SUM(OSRRefD22_21x_0)</f>
        <v>35.29</v>
      </c>
      <c r="E146" s="1"/>
      <c r="F146" s="5">
        <f t="shared" si="104"/>
        <v>1.148659933091291E-4</v>
      </c>
      <c r="G146" s="1"/>
      <c r="H146" s="1">
        <f>SUM(OSRRefH22_21x_0)</f>
        <v>75</v>
      </c>
      <c r="I146" s="1"/>
      <c r="J146" s="5">
        <f t="shared" si="105"/>
        <v>2.117449366317197E-4</v>
      </c>
      <c r="K146" s="1"/>
      <c r="L146" s="1">
        <f t="shared" si="106"/>
        <v>-39.71</v>
      </c>
      <c r="M146" s="1"/>
      <c r="N146" s="5">
        <f t="shared" si="107"/>
        <v>-0.52946666666666664</v>
      </c>
      <c r="O146" s="13"/>
      <c r="P146" s="1">
        <f>SUM(OSRRefP22_21x_0)</f>
        <v>598.85</v>
      </c>
      <c r="Q146" s="1"/>
      <c r="R146" s="5">
        <f t="shared" si="108"/>
        <v>2.5718430296124489E-4</v>
      </c>
      <c r="S146" s="1"/>
      <c r="T146" s="1">
        <f>SUM(OSRRefT22_21x_0)</f>
        <v>785</v>
      </c>
      <c r="U146" s="1"/>
      <c r="V146" s="5">
        <f t="shared" si="109"/>
        <v>3.3499370621851803E-4</v>
      </c>
      <c r="W146" s="1"/>
      <c r="X146" s="1">
        <f t="shared" si="110"/>
        <v>-186.14999999999998</v>
      </c>
      <c r="Y146" s="1"/>
      <c r="Z146" s="5">
        <f t="shared" si="111"/>
        <v>-0.2371337579617834</v>
      </c>
    </row>
    <row r="147" spans="1:26" s="24" customFormat="1" hidden="1" outlineLevel="2" x14ac:dyDescent="0.25">
      <c r="A147" s="25"/>
      <c r="B147" s="11" t="str">
        <f>CONCATENATE("          ", "6292", " - ", "TRAVEL/CONFERENCE")</f>
        <v xml:space="preserve">          6292 - TRAVEL/CONFERENCE</v>
      </c>
      <c r="C147" s="11"/>
      <c r="D147" s="6"/>
      <c r="E147" s="2"/>
      <c r="F147" s="7">
        <f t="shared" si="104"/>
        <v>0</v>
      </c>
      <c r="G147" s="2"/>
      <c r="H147" s="6"/>
      <c r="I147" s="2"/>
      <c r="J147" s="7">
        <f t="shared" si="105"/>
        <v>0</v>
      </c>
      <c r="K147" s="2"/>
      <c r="L147" s="6">
        <f t="shared" si="106"/>
        <v>0</v>
      </c>
      <c r="M147" s="2"/>
      <c r="N147" s="7">
        <f t="shared" si="107"/>
        <v>0</v>
      </c>
      <c r="O147" s="11"/>
      <c r="P147" s="6">
        <v>107.04</v>
      </c>
      <c r="Q147" s="2"/>
      <c r="R147" s="7">
        <f t="shared" si="108"/>
        <v>4.5969788409404107E-5</v>
      </c>
      <c r="S147" s="2"/>
      <c r="T147" s="6"/>
      <c r="U147" s="2"/>
      <c r="V147" s="7">
        <f t="shared" si="109"/>
        <v>0</v>
      </c>
      <c r="W147" s="2"/>
      <c r="X147" s="6">
        <f t="shared" si="110"/>
        <v>107.04</v>
      </c>
      <c r="Y147" s="2"/>
      <c r="Z147" s="7">
        <f t="shared" si="111"/>
        <v>0</v>
      </c>
    </row>
    <row r="148" spans="1:26" s="24" customFormat="1" hidden="1" outlineLevel="2" x14ac:dyDescent="0.25">
      <c r="A148" s="25"/>
      <c r="B148" s="11" t="str">
        <f>CONCATENATE("          ", "6294", " - ", "TRAVEL OPERATIONAL")</f>
        <v xml:space="preserve">          6294 - TRAVEL OPERATIONAL</v>
      </c>
      <c r="C148" s="11"/>
      <c r="D148" s="6">
        <v>35.29</v>
      </c>
      <c r="E148" s="2"/>
      <c r="F148" s="7">
        <f t="shared" si="104"/>
        <v>1.148659933091291E-4</v>
      </c>
      <c r="G148" s="2"/>
      <c r="H148" s="6">
        <v>75</v>
      </c>
      <c r="I148" s="2"/>
      <c r="J148" s="7">
        <f t="shared" si="105"/>
        <v>2.117449366317197E-4</v>
      </c>
      <c r="K148" s="2"/>
      <c r="L148" s="6">
        <f t="shared" si="106"/>
        <v>-39.71</v>
      </c>
      <c r="M148" s="2"/>
      <c r="N148" s="7">
        <f t="shared" si="107"/>
        <v>-0.52946666666666664</v>
      </c>
      <c r="O148" s="11"/>
      <c r="P148" s="6">
        <v>491.81</v>
      </c>
      <c r="Q148" s="2"/>
      <c r="R148" s="7">
        <f t="shared" si="108"/>
        <v>2.1121451455184074E-4</v>
      </c>
      <c r="S148" s="2"/>
      <c r="T148" s="6">
        <v>785</v>
      </c>
      <c r="U148" s="2"/>
      <c r="V148" s="7">
        <f t="shared" si="109"/>
        <v>3.3499370621851803E-4</v>
      </c>
      <c r="W148" s="2"/>
      <c r="X148" s="6">
        <f t="shared" si="110"/>
        <v>-293.19</v>
      </c>
      <c r="Y148" s="2"/>
      <c r="Z148" s="7">
        <f t="shared" si="111"/>
        <v>-0.37349044585987262</v>
      </c>
    </row>
    <row r="149" spans="1:26" s="27" customFormat="1" outlineLevel="1" collapsed="1" x14ac:dyDescent="0.25">
      <c r="A149" s="26"/>
      <c r="B149" s="13" t="str">
        <f>CONCATENATE("     ","Utilities                                         ")</f>
        <v xml:space="preserve">     Utilities                                         </v>
      </c>
      <c r="C149" s="13"/>
      <c r="D149" s="1">
        <f>SUM(OSRRefD22_22x_0)</f>
        <v>2392.9699999999998</v>
      </c>
      <c r="E149" s="1"/>
      <c r="F149" s="5">
        <f t="shared" ref="F149:F150" si="112">IF(D$12=0,0,D149/D$12)</f>
        <v>7.7889168605538859E-3</v>
      </c>
      <c r="G149" s="1"/>
      <c r="H149" s="1">
        <f>SUM(OSRRefH22_22x_0)</f>
        <v>3000</v>
      </c>
      <c r="I149" s="1"/>
      <c r="J149" s="5">
        <f t="shared" ref="J149:J150" si="113">IF(H$12=0,0,H149/H$12)</f>
        <v>8.4697974652687882E-3</v>
      </c>
      <c r="K149" s="1"/>
      <c r="L149" s="1">
        <f t="shared" ref="L149:L150" si="114">+D149-H149</f>
        <v>-607.0300000000002</v>
      </c>
      <c r="M149" s="1"/>
      <c r="N149" s="5">
        <f t="shared" ref="N149:N150" si="115">IF(H149=0,0,L149/H149)</f>
        <v>-0.2023433333333334</v>
      </c>
      <c r="O149" s="13"/>
      <c r="P149" s="1">
        <f>SUM(OSRRefP22_22x_0)</f>
        <v>2853.79</v>
      </c>
      <c r="Q149" s="1"/>
      <c r="R149" s="5">
        <f t="shared" ref="R149:R150" si="116">IF(P$12=0,0,P149/P$12)</f>
        <v>1.2255990514281889E-3</v>
      </c>
      <c r="S149" s="1"/>
      <c r="T149" s="1">
        <f>SUM(OSRRefT22_22x_0)</f>
        <v>3675</v>
      </c>
      <c r="U149" s="1"/>
      <c r="V149" s="5">
        <f t="shared" ref="V149:V150" si="117">IF(T$12=0,0,T149/T$12)</f>
        <v>1.5682826373924251E-3</v>
      </c>
      <c r="W149" s="1"/>
      <c r="X149" s="1">
        <f t="shared" ref="X149:X150" si="118">+P149-T149</f>
        <v>-821.21</v>
      </c>
      <c r="Y149" s="1"/>
      <c r="Z149" s="5">
        <f t="shared" ref="Z149:Z150" si="119">IF(T149=0,0,X149/T149)</f>
        <v>-0.22345850340136056</v>
      </c>
    </row>
    <row r="150" spans="1:26" s="24" customFormat="1" hidden="1" outlineLevel="2" x14ac:dyDescent="0.25">
      <c r="A150" s="25"/>
      <c r="B150" s="11" t="str">
        <f>CONCATENATE("          ", "6274", " - ", "UTILITIES")</f>
        <v xml:space="preserve">          6274 - UTILITIES</v>
      </c>
      <c r="C150" s="11"/>
      <c r="D150" s="6">
        <v>2392.9699999999998</v>
      </c>
      <c r="E150" s="2"/>
      <c r="F150" s="7">
        <f t="shared" si="112"/>
        <v>7.7889168605538859E-3</v>
      </c>
      <c r="G150" s="2"/>
      <c r="H150" s="6">
        <v>3000</v>
      </c>
      <c r="I150" s="2"/>
      <c r="J150" s="7">
        <f t="shared" si="113"/>
        <v>8.4697974652687882E-3</v>
      </c>
      <c r="K150" s="2"/>
      <c r="L150" s="6">
        <f t="shared" si="114"/>
        <v>-607.0300000000002</v>
      </c>
      <c r="M150" s="2"/>
      <c r="N150" s="7">
        <f t="shared" si="115"/>
        <v>-0.2023433333333334</v>
      </c>
      <c r="O150" s="11"/>
      <c r="P150" s="6">
        <v>2853.79</v>
      </c>
      <c r="Q150" s="2"/>
      <c r="R150" s="7">
        <f t="shared" si="116"/>
        <v>1.2255990514281889E-3</v>
      </c>
      <c r="S150" s="2"/>
      <c r="T150" s="6">
        <v>3675</v>
      </c>
      <c r="U150" s="2"/>
      <c r="V150" s="7">
        <f t="shared" si="117"/>
        <v>1.5682826373924251E-3</v>
      </c>
      <c r="W150" s="2"/>
      <c r="X150" s="6">
        <f t="shared" si="118"/>
        <v>-821.21</v>
      </c>
      <c r="Y150" s="2"/>
      <c r="Z150" s="7">
        <f t="shared" si="119"/>
        <v>-0.22345850340136056</v>
      </c>
    </row>
    <row r="151" spans="1:26" s="53" customFormat="1" x14ac:dyDescent="0.25">
      <c r="A151" s="36"/>
      <c r="B151" s="36"/>
      <c r="C151" s="36"/>
      <c r="D151" s="1"/>
      <c r="E151" s="1"/>
      <c r="F151" s="5"/>
      <c r="G151" s="1"/>
      <c r="H151" s="1"/>
      <c r="I151" s="1"/>
      <c r="J151" s="5"/>
      <c r="K151" s="1"/>
      <c r="L151" s="1"/>
      <c r="M151" s="1"/>
      <c r="N151" s="5"/>
      <c r="O151" s="36"/>
      <c r="P151" s="1"/>
      <c r="Q151" s="1"/>
      <c r="R151" s="5"/>
      <c r="S151" s="1"/>
      <c r="T151" s="1"/>
      <c r="U151" s="1"/>
      <c r="V151" s="5"/>
      <c r="W151" s="1"/>
      <c r="X151" s="1"/>
      <c r="Y151" s="1"/>
      <c r="Z151" s="5"/>
    </row>
    <row r="152" spans="1:26" s="23" customFormat="1" collapsed="1" x14ac:dyDescent="0.25">
      <c r="A152" s="10"/>
      <c r="B152" s="29" t="s">
        <v>0</v>
      </c>
      <c r="C152" s="10"/>
      <c r="D152" s="4">
        <f>SUM(OSRRefD25x_0)</f>
        <v>24624.73</v>
      </c>
      <c r="E152" s="4"/>
      <c r="F152" s="12">
        <f t="shared" ref="F152:F155" si="120">IF(D$12=0,0,D152/D$12)</f>
        <v>8.0151433024060942E-2</v>
      </c>
      <c r="G152" s="4"/>
      <c r="H152" s="4">
        <f>SUM(OSRRefH25x_0)</f>
        <v>8625</v>
      </c>
      <c r="I152" s="4"/>
      <c r="J152" s="12">
        <f t="shared" ref="J152:J155" si="121">IF(H$12=0,0,H152/H$12)</f>
        <v>2.4350667712647767E-2</v>
      </c>
      <c r="K152" s="4"/>
      <c r="L152" s="4">
        <f t="shared" ref="L152:L155" si="122">+D152-H152</f>
        <v>15999.73</v>
      </c>
      <c r="M152" s="4"/>
      <c r="N152" s="12">
        <f t="shared" ref="N152:N155" si="123">IF(H152=0,0,L152/H152)</f>
        <v>1.8550411594202898</v>
      </c>
      <c r="O152" s="10"/>
      <c r="P152" s="4">
        <f>SUM(OSRRefP25x_0)</f>
        <v>39454.89</v>
      </c>
      <c r="Q152" s="4"/>
      <c r="R152" s="12">
        <f t="shared" ref="R152:R155" si="124">IF(P$12=0,0,P152/P$12)</f>
        <v>1.6944440816669602E-2</v>
      </c>
      <c r="S152" s="4"/>
      <c r="T152" s="4">
        <f>SUM(OSRRefT25x_0)</f>
        <v>69000</v>
      </c>
      <c r="U152" s="4"/>
      <c r="V152" s="12">
        <f t="shared" ref="V152:V155" si="125">IF(T$12=0,0,T152/T$12)</f>
        <v>2.9445306661245535E-2</v>
      </c>
      <c r="W152" s="4"/>
      <c r="X152" s="4">
        <f t="shared" ref="X152:X155" si="126">+P152-T152</f>
        <v>-29545.11</v>
      </c>
      <c r="Y152" s="4"/>
      <c r="Z152" s="12">
        <f t="shared" ref="Z152:Z155" si="127">IF(T152=0,0,X152/T152)</f>
        <v>-0.42819000000000002</v>
      </c>
    </row>
    <row r="153" spans="1:26" s="24" customFormat="1" hidden="1" outlineLevel="1" x14ac:dyDescent="0.25">
      <c r="A153" s="44"/>
      <c r="B153" s="11" t="str">
        <f>CONCATENATE("          ", "9150", " - ", "MISC. INCOME")</f>
        <v xml:space="preserve">          9150 - MISC. INCOME</v>
      </c>
      <c r="C153" s="11"/>
      <c r="D153" s="2">
        <f>--24624.73</f>
        <v>24624.73</v>
      </c>
      <c r="E153" s="2"/>
      <c r="F153" s="19">
        <f t="shared" si="120"/>
        <v>8.0151433024060942E-2</v>
      </c>
      <c r="G153" s="2"/>
      <c r="H153" s="2">
        <v>7725</v>
      </c>
      <c r="I153" s="2"/>
      <c r="J153" s="19">
        <f t="shared" si="121"/>
        <v>2.1809728473067131E-2</v>
      </c>
      <c r="K153" s="2"/>
      <c r="L153" s="2">
        <f t="shared" si="122"/>
        <v>16899.73</v>
      </c>
      <c r="M153" s="2"/>
      <c r="N153" s="19">
        <f t="shared" si="123"/>
        <v>2.1876673139158576</v>
      </c>
      <c r="O153" s="11"/>
      <c r="P153" s="2">
        <f>--39454.89</f>
        <v>39454.89</v>
      </c>
      <c r="Q153" s="2"/>
      <c r="R153" s="19">
        <f t="shared" si="124"/>
        <v>1.6944440816669602E-2</v>
      </c>
      <c r="S153" s="2"/>
      <c r="T153" s="2">
        <v>61800</v>
      </c>
      <c r="U153" s="2"/>
      <c r="V153" s="19">
        <f t="shared" si="125"/>
        <v>2.6372752922680782E-2</v>
      </c>
      <c r="W153" s="2"/>
      <c r="X153" s="2">
        <f t="shared" si="126"/>
        <v>-22345.11</v>
      </c>
      <c r="Y153" s="2"/>
      <c r="Z153" s="19">
        <f t="shared" si="127"/>
        <v>-0.36157135922330097</v>
      </c>
    </row>
    <row r="154" spans="1:26" s="24" customFormat="1" hidden="1" outlineLevel="1" x14ac:dyDescent="0.25">
      <c r="A154" s="44"/>
      <c r="B154" s="11" t="str">
        <f>CONCATENATE("          ", "9151", " - ", "MISC. INCOME")</f>
        <v xml:space="preserve">          9151 - MISC. INCOME</v>
      </c>
      <c r="C154" s="11"/>
      <c r="D154" s="2">
        <f t="shared" ref="D154:D155" si="128">0</f>
        <v>0</v>
      </c>
      <c r="E154" s="2"/>
      <c r="F154" s="19">
        <f t="shared" si="120"/>
        <v>0</v>
      </c>
      <c r="G154" s="2"/>
      <c r="H154" s="2">
        <v>100</v>
      </c>
      <c r="I154" s="2"/>
      <c r="J154" s="19">
        <f t="shared" si="121"/>
        <v>2.8232658217562629E-4</v>
      </c>
      <c r="K154" s="2"/>
      <c r="L154" s="2">
        <f t="shared" si="122"/>
        <v>-100</v>
      </c>
      <c r="M154" s="2"/>
      <c r="N154" s="19">
        <f t="shared" si="123"/>
        <v>-1</v>
      </c>
      <c r="O154" s="11"/>
      <c r="P154" s="2">
        <f t="shared" ref="P154:P155" si="129">0</f>
        <v>0</v>
      </c>
      <c r="Q154" s="2"/>
      <c r="R154" s="19">
        <f t="shared" si="124"/>
        <v>0</v>
      </c>
      <c r="S154" s="2"/>
      <c r="T154" s="2">
        <v>800</v>
      </c>
      <c r="U154" s="2"/>
      <c r="V154" s="19">
        <f t="shared" si="125"/>
        <v>3.4139485984052795E-4</v>
      </c>
      <c r="W154" s="2"/>
      <c r="X154" s="2">
        <f t="shared" si="126"/>
        <v>-800</v>
      </c>
      <c r="Y154" s="2"/>
      <c r="Z154" s="19">
        <f t="shared" si="127"/>
        <v>-1</v>
      </c>
    </row>
    <row r="155" spans="1:26" s="24" customFormat="1" hidden="1" outlineLevel="1" x14ac:dyDescent="0.25">
      <c r="A155" s="44"/>
      <c r="B155" s="11" t="str">
        <f>CONCATENATE("          ", "9160", " - ", "MISC. INCOME")</f>
        <v xml:space="preserve">          9160 - MISC. INCOME</v>
      </c>
      <c r="C155" s="11"/>
      <c r="D155" s="2">
        <f t="shared" si="128"/>
        <v>0</v>
      </c>
      <c r="E155" s="2"/>
      <c r="F155" s="19">
        <f t="shared" si="120"/>
        <v>0</v>
      </c>
      <c r="G155" s="2"/>
      <c r="H155" s="2">
        <v>800</v>
      </c>
      <c r="I155" s="2"/>
      <c r="J155" s="19">
        <f t="shared" si="121"/>
        <v>2.2586126574050103E-3</v>
      </c>
      <c r="K155" s="2"/>
      <c r="L155" s="2">
        <f t="shared" si="122"/>
        <v>-800</v>
      </c>
      <c r="M155" s="2"/>
      <c r="N155" s="19">
        <f t="shared" si="123"/>
        <v>-1</v>
      </c>
      <c r="O155" s="11"/>
      <c r="P155" s="2">
        <f t="shared" si="129"/>
        <v>0</v>
      </c>
      <c r="Q155" s="2"/>
      <c r="R155" s="19">
        <f t="shared" si="124"/>
        <v>0</v>
      </c>
      <c r="S155" s="2"/>
      <c r="T155" s="2">
        <v>6400</v>
      </c>
      <c r="U155" s="2"/>
      <c r="V155" s="19">
        <f t="shared" si="125"/>
        <v>2.7311588787242236E-3</v>
      </c>
      <c r="W155" s="2"/>
      <c r="X155" s="2">
        <f t="shared" si="126"/>
        <v>-6400</v>
      </c>
      <c r="Y155" s="2"/>
      <c r="Z155" s="19">
        <f t="shared" si="127"/>
        <v>-1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8" t="s">
        <v>3</v>
      </c>
      <c r="C157" s="28"/>
      <c r="D157" s="21">
        <f>+D69-D71+D152</f>
        <v>73336.970000000059</v>
      </c>
      <c r="E157" s="14"/>
      <c r="F157" s="22">
        <f>IF(D$12=0,0,D157/D$12)</f>
        <v>0.2387056929819158</v>
      </c>
      <c r="G157" s="14"/>
      <c r="H157" s="21">
        <f>+H69-H71+H152</f>
        <v>117904.06233442502</v>
      </c>
      <c r="I157" s="14"/>
      <c r="J157" s="22">
        <f>IF(H$12=0,0,H157/H$12)</f>
        <v>0.33287450943500208</v>
      </c>
      <c r="K157" s="15"/>
      <c r="L157" s="21">
        <f>+D157-H157</f>
        <v>-44567.09233442496</v>
      </c>
      <c r="M157" s="15"/>
      <c r="N157" s="22">
        <f>IF(H157=0,0,L157/H157)</f>
        <v>-0.37799454447985115</v>
      </c>
      <c r="O157" s="29"/>
      <c r="P157" s="21">
        <f>+P69-P71+P152</f>
        <v>544244.73000000173</v>
      </c>
      <c r="Q157" s="14"/>
      <c r="R157" s="22">
        <f>IF(P$12=0,0,P157/P$12)</f>
        <v>0.23373332474806938</v>
      </c>
      <c r="S157" s="14"/>
      <c r="T157" s="21">
        <f>+T69-T71+T152</f>
        <v>648113.97746921889</v>
      </c>
      <c r="U157" s="14"/>
      <c r="V157" s="22">
        <f>IF(T$12=0,0,T157/T$12)</f>
        <v>0.27657847562348881</v>
      </c>
      <c r="W157" s="15"/>
      <c r="X157" s="21">
        <f>+P157-T157</f>
        <v>-103869.24746921717</v>
      </c>
      <c r="Y157" s="15"/>
      <c r="Z157" s="22">
        <f>IF(T157=0,0,X157/T157)</f>
        <v>-0.16026385956804992</v>
      </c>
    </row>
    <row r="158" spans="1:26" x14ac:dyDescent="0.25">
      <c r="A158" s="9"/>
      <c r="B158" s="10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52"/>
      <c r="B159" s="10" t="s">
        <v>14</v>
      </c>
      <c r="C159" s="10"/>
      <c r="D159" s="4">
        <v>26530.14</v>
      </c>
      <c r="E159" s="4"/>
      <c r="F159" s="12">
        <f>IF(D$12=0,0,D159/D$12)</f>
        <v>8.6353382933699582E-2</v>
      </c>
      <c r="G159" s="4"/>
      <c r="H159" s="4">
        <v>36878</v>
      </c>
      <c r="I159" s="4"/>
      <c r="J159" s="12">
        <f>IF(H$12=0,0,H159/H$12)</f>
        <v>0.10411639697472747</v>
      </c>
      <c r="K159" s="4"/>
      <c r="L159" s="4">
        <f>+D159-H159</f>
        <v>-10347.86</v>
      </c>
      <c r="M159" s="4"/>
      <c r="N159" s="12">
        <f>IF(H159=0,0,L159/H159)</f>
        <v>-0.28059710396442322</v>
      </c>
      <c r="O159" s="10"/>
      <c r="P159" s="4">
        <v>237318.75</v>
      </c>
      <c r="Q159" s="4"/>
      <c r="R159" s="12">
        <f>IF(P$12=0,0,P159/P$12)</f>
        <v>0.1019197750661834</v>
      </c>
      <c r="S159" s="4"/>
      <c r="T159" s="4">
        <v>281789</v>
      </c>
      <c r="U159" s="4"/>
      <c r="V159" s="12">
        <f>IF(T$12=0,0,T159/T$12)</f>
        <v>0.12025164519950315</v>
      </c>
      <c r="W159" s="4"/>
      <c r="X159" s="4">
        <f>+P159-T159</f>
        <v>-44470.25</v>
      </c>
      <c r="Y159" s="4"/>
      <c r="Z159" s="12">
        <f>IF(T159=0,0,X159/T159)</f>
        <v>-0.15781400267576093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8" t="s">
        <v>4</v>
      </c>
      <c r="C161" s="28"/>
      <c r="D161" s="31">
        <f>+D157-D159</f>
        <v>46806.83000000006</v>
      </c>
      <c r="E161" s="14"/>
      <c r="F161" s="32">
        <f>IF(D$12=0,0,D161/D$12)</f>
        <v>0.1523523100482162</v>
      </c>
      <c r="G161" s="14"/>
      <c r="H161" s="31">
        <f>+H157-H159</f>
        <v>81026.06233442502</v>
      </c>
      <c r="I161" s="14"/>
      <c r="J161" s="32">
        <f>IF(H$12=0,0,H161/H$12)</f>
        <v>0.22875811246027464</v>
      </c>
      <c r="K161" s="15"/>
      <c r="L161" s="31">
        <f>D161-H161</f>
        <v>-34219.23233442496</v>
      </c>
      <c r="M161" s="15"/>
      <c r="N161" s="32">
        <f>IF(H161=0,0,L161/H161)</f>
        <v>-0.42232377272869714</v>
      </c>
      <c r="O161" s="29"/>
      <c r="P161" s="31">
        <f>+P157-P159</f>
        <v>306925.98000000173</v>
      </c>
      <c r="Q161" s="14"/>
      <c r="R161" s="32">
        <f>IF(P$12=0,0,P161/P$12)</f>
        <v>0.13181354968188599</v>
      </c>
      <c r="S161" s="14"/>
      <c r="T161" s="31">
        <f>+T157-T159</f>
        <v>366324.97746921889</v>
      </c>
      <c r="U161" s="14"/>
      <c r="V161" s="32">
        <f>IF(T$12=0,0,T161/T$12)</f>
        <v>0.15632683042398568</v>
      </c>
      <c r="W161" s="15"/>
      <c r="X161" s="31">
        <f>P161-T161</f>
        <v>-59398.997469217167</v>
      </c>
      <c r="Y161" s="15"/>
      <c r="Z161" s="32">
        <f>IF(T161=0,0,X161/T161)</f>
        <v>-0.16214836858676468</v>
      </c>
    </row>
    <row r="162" spans="1:26" ht="15.75" thickTop="1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ht="15.75" thickBot="1" x14ac:dyDescent="0.3">
      <c r="A164" s="10"/>
      <c r="B164" s="28" t="s">
        <v>5</v>
      </c>
      <c r="C164" s="28"/>
      <c r="D164" s="33">
        <f>SUM(D161:D163)</f>
        <v>46806.83000000006</v>
      </c>
      <c r="E164" s="14"/>
      <c r="F164" s="30">
        <f>IF(D$12=0,0,D164/D$12)</f>
        <v>0.1523523100482162</v>
      </c>
      <c r="G164" s="14"/>
      <c r="H164" s="33">
        <f>SUM(H161:H163)</f>
        <v>81026.06233442502</v>
      </c>
      <c r="I164" s="14"/>
      <c r="J164" s="30">
        <f>IF(H$12=0,0,H164/H$12)</f>
        <v>0.22875811246027464</v>
      </c>
      <c r="K164" s="15"/>
      <c r="L164" s="33">
        <f>+D164-H164</f>
        <v>-34219.23233442496</v>
      </c>
      <c r="M164" s="15"/>
      <c r="N164" s="30">
        <f>IF(H164=0,0,L164/H164)</f>
        <v>-0.42232377272869714</v>
      </c>
      <c r="O164" s="29"/>
      <c r="P164" s="33">
        <f>SUM(P161:P163)</f>
        <v>306925.98000000173</v>
      </c>
      <c r="Q164" s="14"/>
      <c r="R164" s="30">
        <f>IF(P$12=0,0,P164/P$12)</f>
        <v>0.13181354968188599</v>
      </c>
      <c r="S164" s="14"/>
      <c r="T164" s="33">
        <f>SUM(T161:T163)</f>
        <v>366324.97746921889</v>
      </c>
      <c r="U164" s="14"/>
      <c r="V164" s="30">
        <f>IF(T$12=0,0,T164/T$12)</f>
        <v>0.15632683042398568</v>
      </c>
      <c r="W164" s="15"/>
      <c r="X164" s="33">
        <f>+P164-T164</f>
        <v>-59398.997469217167</v>
      </c>
      <c r="Y164" s="15"/>
      <c r="Z164" s="30">
        <f>IF(T164=0,0,X164/T164)</f>
        <v>-0.16214836858676468</v>
      </c>
    </row>
    <row r="165" spans="1:26" ht="15.75" thickTop="1" x14ac:dyDescent="0.25">
      <c r="A165" s="9"/>
      <c r="C165" s="9"/>
      <c r="D165" s="17"/>
      <c r="E165" s="17"/>
      <c r="G165" s="17"/>
      <c r="H165" s="17"/>
      <c r="I165" s="17"/>
      <c r="J165" s="43"/>
      <c r="K165" s="17"/>
      <c r="L165" s="17"/>
      <c r="M165" s="17"/>
      <c r="P165" s="17"/>
      <c r="Q165" s="17"/>
      <c r="R165" s="43"/>
      <c r="S165" s="17"/>
      <c r="T165" s="17"/>
      <c r="U165" s="17"/>
      <c r="V165" s="43"/>
      <c r="W165" s="17"/>
      <c r="X165" s="17"/>
    </row>
    <row r="166" spans="1:26" x14ac:dyDescent="0.25">
      <c r="A166" s="9"/>
      <c r="B166" s="59">
        <v>43908.494145833334</v>
      </c>
      <c r="D166" s="17"/>
      <c r="E166" s="17"/>
      <c r="G166" s="17"/>
      <c r="H166" s="17"/>
      <c r="I166" s="17"/>
      <c r="J166" s="43"/>
      <c r="K166" s="17"/>
      <c r="L166" s="17"/>
      <c r="M166" s="17"/>
      <c r="P166" s="17"/>
      <c r="Q166" s="17"/>
      <c r="R166" s="43"/>
      <c r="S166" s="17"/>
      <c r="T166" s="17"/>
      <c r="U166" s="17"/>
      <c r="V166" s="43"/>
      <c r="W166" s="17"/>
      <c r="X166" s="17"/>
    </row>
    <row r="167" spans="1:26" x14ac:dyDescent="0.25">
      <c r="A167" s="9"/>
      <c r="B167" s="63" t="s">
        <v>314</v>
      </c>
      <c r="D167" s="17"/>
      <c r="E167" s="17"/>
      <c r="G167" s="17"/>
      <c r="H167" s="17"/>
      <c r="I167" s="17"/>
      <c r="J167" s="43"/>
      <c r="K167" s="17"/>
      <c r="L167" s="17"/>
      <c r="M167" s="17"/>
      <c r="P167" s="17"/>
      <c r="Q167" s="17"/>
      <c r="R167" s="43"/>
      <c r="S167" s="17"/>
      <c r="T167" s="17"/>
      <c r="U167" s="17"/>
      <c r="V167" s="43"/>
      <c r="W167" s="17"/>
      <c r="X167" s="17"/>
    </row>
    <row r="168" spans="1:26" x14ac:dyDescent="0.25">
      <c r="A168" s="9"/>
      <c r="B168" s="57"/>
      <c r="D168" s="17"/>
      <c r="E168" s="17"/>
      <c r="G168" s="17"/>
      <c r="H168" s="17"/>
      <c r="I168" s="17"/>
      <c r="J168" s="43"/>
      <c r="K168" s="17"/>
      <c r="L168" s="17"/>
      <c r="M168" s="17"/>
      <c r="P168" s="17"/>
      <c r="Q168" s="17"/>
      <c r="R168" s="43"/>
      <c r="S168" s="17"/>
      <c r="T168" s="17"/>
      <c r="U168" s="17"/>
      <c r="V168" s="43"/>
      <c r="W168" s="17"/>
      <c r="X168" s="17"/>
    </row>
    <row r="169" spans="1:26" x14ac:dyDescent="0.25">
      <c r="D169" s="17"/>
      <c r="E169" s="17"/>
      <c r="G169" s="17"/>
      <c r="H169" s="17"/>
      <c r="I169" s="17"/>
      <c r="J169" s="43"/>
      <c r="K169" s="17"/>
      <c r="L169" s="17"/>
      <c r="M169" s="17"/>
      <c r="P169" s="17"/>
      <c r="Q169" s="17"/>
      <c r="R169" s="43"/>
      <c r="S169" s="17"/>
      <c r="T169" s="17"/>
      <c r="U169" s="17"/>
      <c r="V169" s="43"/>
      <c r="W169" s="17"/>
      <c r="X169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263703.87999999995</v>
      </c>
      <c r="E12" s="4"/>
      <c r="F12" s="12"/>
      <c r="G12" s="4"/>
      <c r="H12" s="4">
        <f>SUM(OSRRefH13x_0)</f>
        <v>320127</v>
      </c>
      <c r="I12" s="4"/>
      <c r="J12" s="12"/>
      <c r="K12" s="4"/>
      <c r="L12" s="4">
        <f t="shared" ref="L12:L34" si="0">+D12-H12</f>
        <v>-56423.120000000054</v>
      </c>
      <c r="M12" s="4"/>
      <c r="N12" s="12">
        <f t="shared" ref="N12:N34" si="1">IF(H12=0,0,L12/H12)</f>
        <v>-0.17625229986848986</v>
      </c>
      <c r="O12" s="10"/>
      <c r="P12" s="4">
        <f>SUM(OSRRefP13x_0)</f>
        <v>1925578.3199999998</v>
      </c>
      <c r="Q12" s="4"/>
      <c r="R12" s="12"/>
      <c r="S12" s="4"/>
      <c r="T12" s="4">
        <f>SUM(OSRRefT13x_0)</f>
        <v>1973320</v>
      </c>
      <c r="U12" s="4"/>
      <c r="V12" s="12"/>
      <c r="W12" s="4"/>
      <c r="X12" s="4">
        <f t="shared" ref="X12:X34" si="2">+P12-T12</f>
        <v>-47741.680000000168</v>
      </c>
      <c r="Y12" s="4"/>
      <c r="Z12" s="12">
        <f t="shared" ref="Z12:Z34" si="3">IF(T12=0,0,X12/T12)</f>
        <v>-2.4193582389070281E-2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320127</v>
      </c>
      <c r="I13" s="2"/>
      <c r="J13" s="19"/>
      <c r="K13" s="2"/>
      <c r="L13" s="2">
        <f t="shared" si="0"/>
        <v>-320127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1973320</v>
      </c>
      <c r="U13" s="2"/>
      <c r="V13" s="19"/>
      <c r="W13" s="2"/>
      <c r="X13" s="2">
        <f t="shared" si="2"/>
        <v>-1973320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--160116.52</f>
        <v>160116.51999999999</v>
      </c>
      <c r="E14" s="2"/>
      <c r="F14" s="19"/>
      <c r="G14" s="2"/>
      <c r="H14" s="2"/>
      <c r="I14" s="2"/>
      <c r="J14" s="19"/>
      <c r="K14" s="2"/>
      <c r="L14" s="2">
        <f t="shared" si="0"/>
        <v>160116.51999999999</v>
      </c>
      <c r="M14" s="2"/>
      <c r="N14" s="19">
        <f t="shared" si="1"/>
        <v>0</v>
      </c>
      <c r="O14" s="11"/>
      <c r="P14" s="2">
        <f>--1343331.13</f>
        <v>1343331.13</v>
      </c>
      <c r="Q14" s="2"/>
      <c r="R14" s="19"/>
      <c r="S14" s="2"/>
      <c r="T14" s="2"/>
      <c r="U14" s="2"/>
      <c r="V14" s="19"/>
      <c r="W14" s="2"/>
      <c r="X14" s="2">
        <f t="shared" si="2"/>
        <v>1343331.13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--27250.96</f>
        <v>27250.959999999999</v>
      </c>
      <c r="E15" s="2"/>
      <c r="F15" s="19"/>
      <c r="G15" s="2"/>
      <c r="H15" s="2"/>
      <c r="I15" s="2"/>
      <c r="J15" s="19"/>
      <c r="K15" s="2"/>
      <c r="L15" s="2">
        <f t="shared" si="0"/>
        <v>27250.959999999999</v>
      </c>
      <c r="M15" s="2"/>
      <c r="N15" s="19">
        <f t="shared" si="1"/>
        <v>0</v>
      </c>
      <c r="O15" s="11"/>
      <c r="P15" s="2">
        <f>--222707.4</f>
        <v>222707.4</v>
      </c>
      <c r="Q15" s="2"/>
      <c r="R15" s="19"/>
      <c r="S15" s="2"/>
      <c r="T15" s="2"/>
      <c r="U15" s="2"/>
      <c r="V15" s="19"/>
      <c r="W15" s="2"/>
      <c r="X15" s="2">
        <f t="shared" si="2"/>
        <v>222707.4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--15207.86</f>
        <v>15207.86</v>
      </c>
      <c r="E16" s="2"/>
      <c r="F16" s="19"/>
      <c r="G16" s="2"/>
      <c r="H16" s="2"/>
      <c r="I16" s="2"/>
      <c r="J16" s="19"/>
      <c r="K16" s="2"/>
      <c r="L16" s="2">
        <f t="shared" si="0"/>
        <v>15207.86</v>
      </c>
      <c r="M16" s="2"/>
      <c r="N16" s="19">
        <f t="shared" si="1"/>
        <v>0</v>
      </c>
      <c r="O16" s="11"/>
      <c r="P16" s="2">
        <f>--167275.81</f>
        <v>167275.81</v>
      </c>
      <c r="Q16" s="2"/>
      <c r="R16" s="19"/>
      <c r="S16" s="2"/>
      <c r="T16" s="2"/>
      <c r="U16" s="2"/>
      <c r="V16" s="19"/>
      <c r="W16" s="2"/>
      <c r="X16" s="2">
        <f t="shared" si="2"/>
        <v>167275.81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--53080.36</f>
        <v>53080.36</v>
      </c>
      <c r="E17" s="2"/>
      <c r="F17" s="19"/>
      <c r="G17" s="2"/>
      <c r="H17" s="2"/>
      <c r="I17" s="2"/>
      <c r="J17" s="19"/>
      <c r="K17" s="2"/>
      <c r="L17" s="2">
        <f t="shared" si="0"/>
        <v>53080.36</v>
      </c>
      <c r="M17" s="2"/>
      <c r="N17" s="19">
        <f t="shared" si="1"/>
        <v>0</v>
      </c>
      <c r="O17" s="11"/>
      <c r="P17" s="2">
        <f>--74137.87</f>
        <v>74137.87</v>
      </c>
      <c r="Q17" s="2"/>
      <c r="R17" s="19"/>
      <c r="S17" s="2"/>
      <c r="T17" s="2"/>
      <c r="U17" s="2"/>
      <c r="V17" s="19"/>
      <c r="W17" s="2"/>
      <c r="X17" s="2">
        <f t="shared" si="2"/>
        <v>74137.87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--8621.95</f>
        <v>8621.9500000000007</v>
      </c>
      <c r="E18" s="2"/>
      <c r="F18" s="19"/>
      <c r="G18" s="2"/>
      <c r="H18" s="2"/>
      <c r="I18" s="2"/>
      <c r="J18" s="19"/>
      <c r="K18" s="2"/>
      <c r="L18" s="2">
        <f t="shared" si="0"/>
        <v>8621.9500000000007</v>
      </c>
      <c r="M18" s="2"/>
      <c r="N18" s="19">
        <f t="shared" si="1"/>
        <v>0</v>
      </c>
      <c r="O18" s="11"/>
      <c r="P18" s="2">
        <f>--58678.66</f>
        <v>58678.66</v>
      </c>
      <c r="Q18" s="2"/>
      <c r="R18" s="19"/>
      <c r="S18" s="2"/>
      <c r="T18" s="2"/>
      <c r="U18" s="2"/>
      <c r="V18" s="19"/>
      <c r="W18" s="2"/>
      <c r="X18" s="2">
        <f t="shared" si="2"/>
        <v>58678.66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--815.01</f>
        <v>815.01</v>
      </c>
      <c r="E19" s="2"/>
      <c r="F19" s="19"/>
      <c r="G19" s="2"/>
      <c r="H19" s="2"/>
      <c r="I19" s="2"/>
      <c r="J19" s="19"/>
      <c r="K19" s="2"/>
      <c r="L19" s="2">
        <f t="shared" si="0"/>
        <v>815.01</v>
      </c>
      <c r="M19" s="2"/>
      <c r="N19" s="19">
        <f t="shared" si="1"/>
        <v>0</v>
      </c>
      <c r="O19" s="11"/>
      <c r="P19" s="2">
        <f>--70085.44</f>
        <v>70085.440000000002</v>
      </c>
      <c r="Q19" s="2"/>
      <c r="R19" s="19"/>
      <c r="S19" s="2"/>
      <c r="T19" s="2"/>
      <c r="U19" s="2"/>
      <c r="V19" s="19"/>
      <c r="W19" s="2"/>
      <c r="X19" s="2">
        <f t="shared" si="2"/>
        <v>70085.440000000002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--42582.67</f>
        <v>42582.67</v>
      </c>
      <c r="Q20" s="2"/>
      <c r="R20" s="19"/>
      <c r="S20" s="2"/>
      <c r="T20" s="2"/>
      <c r="U20" s="2"/>
      <c r="V20" s="19"/>
      <c r="W20" s="2"/>
      <c r="X20" s="2">
        <f t="shared" si="2"/>
        <v>42582.67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--6416.37</f>
        <v>6416.37</v>
      </c>
      <c r="E21" s="2"/>
      <c r="F21" s="19"/>
      <c r="G21" s="2"/>
      <c r="H21" s="2"/>
      <c r="I21" s="2"/>
      <c r="J21" s="19"/>
      <c r="K21" s="2"/>
      <c r="L21" s="2">
        <f t="shared" si="0"/>
        <v>6416.37</v>
      </c>
      <c r="M21" s="2"/>
      <c r="N21" s="19">
        <f t="shared" si="1"/>
        <v>0</v>
      </c>
      <c r="O21" s="11"/>
      <c r="P21" s="2">
        <f>--9814.22</f>
        <v>9814.2199999999993</v>
      </c>
      <c r="Q21" s="2"/>
      <c r="R21" s="19"/>
      <c r="S21" s="2"/>
      <c r="T21" s="2"/>
      <c r="U21" s="2"/>
      <c r="V21" s="19"/>
      <c r="W21" s="2"/>
      <c r="X21" s="2">
        <f t="shared" si="2"/>
        <v>9814.2199999999993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--479.23</f>
        <v>479.23</v>
      </c>
      <c r="E22" s="2"/>
      <c r="F22" s="19"/>
      <c r="G22" s="2"/>
      <c r="H22" s="2"/>
      <c r="I22" s="2"/>
      <c r="J22" s="19"/>
      <c r="K22" s="2"/>
      <c r="L22" s="2">
        <f t="shared" si="0"/>
        <v>479.23</v>
      </c>
      <c r="M22" s="2"/>
      <c r="N22" s="19">
        <f t="shared" si="1"/>
        <v>0</v>
      </c>
      <c r="O22" s="11"/>
      <c r="P22" s="2">
        <f>--4191.51</f>
        <v>4191.51</v>
      </c>
      <c r="Q22" s="2"/>
      <c r="R22" s="19"/>
      <c r="S22" s="2"/>
      <c r="T22" s="2"/>
      <c r="U22" s="2"/>
      <c r="V22" s="19"/>
      <c r="W22" s="2"/>
      <c r="X22" s="2">
        <f t="shared" si="2"/>
        <v>4191.51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"4143", " - ", "NON-TAXABLE SALES-CARDS")</f>
        <v xml:space="preserve">          4143 - NON-TAXABLE SALES-CARDS</v>
      </c>
      <c r="C23" s="11"/>
      <c r="D23" s="2">
        <f>--9.99</f>
        <v>9.99</v>
      </c>
      <c r="E23" s="2"/>
      <c r="F23" s="19"/>
      <c r="G23" s="2"/>
      <c r="H23" s="2"/>
      <c r="I23" s="2"/>
      <c r="J23" s="19"/>
      <c r="K23" s="2"/>
      <c r="L23" s="2">
        <f t="shared" si="0"/>
        <v>9.99</v>
      </c>
      <c r="M23" s="2"/>
      <c r="N23" s="19">
        <f t="shared" si="1"/>
        <v>0</v>
      </c>
      <c r="O23" s="11"/>
      <c r="P23" s="2">
        <f>--9.99</f>
        <v>9.99</v>
      </c>
      <c r="Q23" s="2"/>
      <c r="R23" s="19"/>
      <c r="S23" s="2"/>
      <c r="T23" s="2"/>
      <c r="U23" s="2"/>
      <c r="V23" s="19"/>
      <c r="W23" s="2"/>
      <c r="X23" s="2">
        <f t="shared" si="2"/>
        <v>9.99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"4144", " - ", "NON-TAXABLE SALES-ACCESSORIES")</f>
        <v xml:space="preserve">          4144 - NON-TAXABLE SALES-ACCESSORIES</v>
      </c>
      <c r="C24" s="11"/>
      <c r="D24" s="2">
        <f>--922.94</f>
        <v>922.94</v>
      </c>
      <c r="E24" s="2"/>
      <c r="F24" s="19"/>
      <c r="G24" s="2"/>
      <c r="H24" s="2"/>
      <c r="I24" s="2"/>
      <c r="J24" s="19"/>
      <c r="K24" s="2"/>
      <c r="L24" s="2">
        <f t="shared" si="0"/>
        <v>922.94</v>
      </c>
      <c r="M24" s="2"/>
      <c r="N24" s="19">
        <f t="shared" si="1"/>
        <v>0</v>
      </c>
      <c r="O24" s="11"/>
      <c r="P24" s="2">
        <f>--1890.27</f>
        <v>1890.27</v>
      </c>
      <c r="Q24" s="2"/>
      <c r="R24" s="19"/>
      <c r="S24" s="2"/>
      <c r="T24" s="2"/>
      <c r="U24" s="2"/>
      <c r="V24" s="19"/>
      <c r="W24" s="2"/>
      <c r="X24" s="2">
        <f t="shared" si="2"/>
        <v>1890.27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--140</f>
        <v>140</v>
      </c>
      <c r="Q25" s="2"/>
      <c r="R25" s="19"/>
      <c r="S25" s="2"/>
      <c r="T25" s="2"/>
      <c r="U25" s="2"/>
      <c r="V25" s="19"/>
      <c r="W25" s="2"/>
      <c r="X25" s="2">
        <f t="shared" si="2"/>
        <v>140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"4240", " - ", "SALES RETURN TAXABLE-LOGO CLOT")</f>
        <v xml:space="preserve">          4240 - SALES RETURN TAXABLE-LOGO CLOT</v>
      </c>
      <c r="C26" s="11"/>
      <c r="D26" s="2">
        <f>-6144.57</f>
        <v>-6144.57</v>
      </c>
      <c r="E26" s="2"/>
      <c r="F26" s="19"/>
      <c r="G26" s="2"/>
      <c r="H26" s="2"/>
      <c r="I26" s="2"/>
      <c r="J26" s="19"/>
      <c r="K26" s="2"/>
      <c r="L26" s="2">
        <f t="shared" si="0"/>
        <v>-6144.57</v>
      </c>
      <c r="M26" s="2"/>
      <c r="N26" s="19">
        <f t="shared" si="1"/>
        <v>0</v>
      </c>
      <c r="O26" s="11"/>
      <c r="P26" s="2">
        <f>-54552.21</f>
        <v>-54552.21</v>
      </c>
      <c r="Q26" s="2"/>
      <c r="R26" s="19"/>
      <c r="S26" s="2"/>
      <c r="T26" s="2"/>
      <c r="U26" s="2"/>
      <c r="V26" s="19"/>
      <c r="W26" s="2"/>
      <c r="X26" s="2">
        <f t="shared" si="2"/>
        <v>-54552.21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>-610.31</f>
        <v>-610.30999999999995</v>
      </c>
      <c r="E27" s="2"/>
      <c r="F27" s="19"/>
      <c r="G27" s="2"/>
      <c r="H27" s="2"/>
      <c r="I27" s="2"/>
      <c r="J27" s="19"/>
      <c r="K27" s="2"/>
      <c r="L27" s="2">
        <f t="shared" si="0"/>
        <v>-610.30999999999995</v>
      </c>
      <c r="M27" s="2"/>
      <c r="N27" s="19">
        <f t="shared" si="1"/>
        <v>0</v>
      </c>
      <c r="O27" s="11"/>
      <c r="P27" s="2">
        <f>-3614.42</f>
        <v>-3614.42</v>
      </c>
      <c r="Q27" s="2"/>
      <c r="R27" s="19"/>
      <c r="S27" s="2"/>
      <c r="T27" s="2"/>
      <c r="U27" s="2"/>
      <c r="V27" s="19"/>
      <c r="W27" s="2"/>
      <c r="X27" s="2">
        <f t="shared" si="2"/>
        <v>-3614.42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>-309.8</f>
        <v>-309.8</v>
      </c>
      <c r="E28" s="2"/>
      <c r="F28" s="19"/>
      <c r="G28" s="2"/>
      <c r="H28" s="2"/>
      <c r="I28" s="2"/>
      <c r="J28" s="19"/>
      <c r="K28" s="2"/>
      <c r="L28" s="2">
        <f t="shared" si="0"/>
        <v>-309.8</v>
      </c>
      <c r="M28" s="2"/>
      <c r="N28" s="19">
        <f t="shared" si="1"/>
        <v>0</v>
      </c>
      <c r="O28" s="11"/>
      <c r="P28" s="2">
        <f>-2974.62</f>
        <v>-2974.62</v>
      </c>
      <c r="Q28" s="2"/>
      <c r="R28" s="19"/>
      <c r="S28" s="2"/>
      <c r="T28" s="2"/>
      <c r="U28" s="2"/>
      <c r="V28" s="19"/>
      <c r="W28" s="2"/>
      <c r="X28" s="2">
        <f t="shared" si="2"/>
        <v>-2974.62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"4243", " - ", "SALES RETURN TAXABLE-CARDS")</f>
        <v xml:space="preserve">          4243 - SALES RETURN TAXABLE-CARDS</v>
      </c>
      <c r="C29" s="11"/>
      <c r="D29" s="2">
        <f>-1609.18</f>
        <v>-1609.18</v>
      </c>
      <c r="E29" s="2"/>
      <c r="F29" s="19"/>
      <c r="G29" s="2"/>
      <c r="H29" s="2"/>
      <c r="I29" s="2"/>
      <c r="J29" s="19"/>
      <c r="K29" s="2"/>
      <c r="L29" s="2">
        <f t="shared" si="0"/>
        <v>-1609.18</v>
      </c>
      <c r="M29" s="2"/>
      <c r="N29" s="19">
        <f t="shared" si="1"/>
        <v>0</v>
      </c>
      <c r="O29" s="11"/>
      <c r="P29" s="2">
        <f>-2833.39</f>
        <v>-2833.39</v>
      </c>
      <c r="Q29" s="2"/>
      <c r="R29" s="19"/>
      <c r="S29" s="2"/>
      <c r="T29" s="2"/>
      <c r="U29" s="2"/>
      <c r="V29" s="19"/>
      <c r="W29" s="2"/>
      <c r="X29" s="2">
        <f t="shared" si="2"/>
        <v>-2833.39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>-328.75</f>
        <v>-328.75</v>
      </c>
      <c r="E30" s="2"/>
      <c r="F30" s="19"/>
      <c r="G30" s="2"/>
      <c r="H30" s="2"/>
      <c r="I30" s="2"/>
      <c r="J30" s="19"/>
      <c r="K30" s="2"/>
      <c r="L30" s="2">
        <f t="shared" si="0"/>
        <v>-328.75</v>
      </c>
      <c r="M30" s="2"/>
      <c r="N30" s="19">
        <f t="shared" si="1"/>
        <v>0</v>
      </c>
      <c r="O30" s="11"/>
      <c r="P30" s="2">
        <f>-2300</f>
        <v>-2300</v>
      </c>
      <c r="Q30" s="2"/>
      <c r="R30" s="19"/>
      <c r="S30" s="2"/>
      <c r="T30" s="2"/>
      <c r="U30" s="2"/>
      <c r="V30" s="19"/>
      <c r="W30" s="2"/>
      <c r="X30" s="2">
        <f t="shared" si="2"/>
        <v>-2300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 t="shared" ref="D31:D32" si="4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-1705.06</f>
        <v>-1705.06</v>
      </c>
      <c r="Q31" s="2"/>
      <c r="R31" s="19"/>
      <c r="S31" s="2"/>
      <c r="T31" s="2"/>
      <c r="U31" s="2"/>
      <c r="V31" s="19"/>
      <c r="W31" s="2"/>
      <c r="X31" s="2">
        <f t="shared" si="2"/>
        <v>-1705.06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"4340", " - ", "SALES RETURN NON TAXABLE-LOGO")</f>
        <v xml:space="preserve">          4340 - SALES RETURN NON TAXABLE-LOGO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-931.65</f>
        <v>-931.65</v>
      </c>
      <c r="Q32" s="2"/>
      <c r="R32" s="19"/>
      <c r="S32" s="2"/>
      <c r="T32" s="2"/>
      <c r="U32" s="2"/>
      <c r="V32" s="19"/>
      <c r="W32" s="2"/>
      <c r="X32" s="2">
        <f t="shared" si="2"/>
        <v>-931.65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"4341", " - ", "SALES RETURN NON TAXABLE-LOGO")</f>
        <v xml:space="preserve">          4341 - SALES RETURN NON TAXABLE-LOGO</v>
      </c>
      <c r="C33" s="11"/>
      <c r="D33" s="2">
        <f>-214.7</f>
        <v>-214.7</v>
      </c>
      <c r="E33" s="2"/>
      <c r="F33" s="19"/>
      <c r="G33" s="2"/>
      <c r="H33" s="2"/>
      <c r="I33" s="2"/>
      <c r="J33" s="19"/>
      <c r="K33" s="2"/>
      <c r="L33" s="2">
        <f t="shared" si="0"/>
        <v>-214.7</v>
      </c>
      <c r="M33" s="2"/>
      <c r="N33" s="19">
        <f t="shared" si="1"/>
        <v>0</v>
      </c>
      <c r="O33" s="11"/>
      <c r="P33" s="2">
        <f>-245.5</f>
        <v>-245.5</v>
      </c>
      <c r="Q33" s="2"/>
      <c r="R33" s="19"/>
      <c r="S33" s="2"/>
      <c r="T33" s="2"/>
      <c r="U33" s="2"/>
      <c r="V33" s="19"/>
      <c r="W33" s="2"/>
      <c r="X33" s="2">
        <f t="shared" si="2"/>
        <v>-245.5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"4342", " - ", "SALES RETURN NON TAXABLE-EVERY")</f>
        <v xml:space="preserve">          4342 - SALES RETURN NON TAXABLE-EVERY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-109.8</f>
        <v>-109.8</v>
      </c>
      <c r="Q34" s="2"/>
      <c r="R34" s="19"/>
      <c r="S34" s="2"/>
      <c r="T34" s="2"/>
      <c r="U34" s="2"/>
      <c r="V34" s="19"/>
      <c r="W34" s="2"/>
      <c r="X34" s="2">
        <f t="shared" si="2"/>
        <v>-109.8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8</v>
      </c>
      <c r="C36" s="10"/>
      <c r="D36" s="4">
        <f>SUM(OSRRefD16x_0)</f>
        <v>123762.62000000004</v>
      </c>
      <c r="E36" s="4"/>
      <c r="F36" s="12">
        <f t="shared" ref="F36:F52" si="5">IF(D$12=0,0,D36/D$12)</f>
        <v>0.46932422837312848</v>
      </c>
      <c r="G36" s="4"/>
      <c r="H36" s="4">
        <f>SUM(OSRRefH16x_0)</f>
        <v>141924</v>
      </c>
      <c r="I36" s="4"/>
      <c r="J36" s="12">
        <f t="shared" ref="J36:J52" si="6">IF(H$12=0,0,H36/H$12)</f>
        <v>0.44333655080639872</v>
      </c>
      <c r="K36" s="4"/>
      <c r="L36" s="4">
        <f t="shared" ref="L36:L52" si="7">+D36-H36</f>
        <v>-18161.379999999961</v>
      </c>
      <c r="M36" s="4"/>
      <c r="N36" s="12">
        <f t="shared" ref="N36:N52" si="8">IF(H36=0,0,L36/H36)</f>
        <v>-0.12796553084749557</v>
      </c>
      <c r="O36" s="10"/>
      <c r="P36" s="4">
        <f>SUM(OSRRefP16x_0)</f>
        <v>899356.75</v>
      </c>
      <c r="Q36" s="4"/>
      <c r="R36" s="12">
        <f t="shared" ref="R36:R52" si="9">IF(P$12=0,0,P36/P$12)</f>
        <v>0.46705799533513653</v>
      </c>
      <c r="S36" s="4"/>
      <c r="T36" s="4">
        <f>SUM(OSRRefT16x_0)</f>
        <v>894645</v>
      </c>
      <c r="U36" s="4"/>
      <c r="V36" s="12">
        <f t="shared" ref="V36:V52" si="10">IF(T$12=0,0,T36/T$12)</f>
        <v>0.45337046196258085</v>
      </c>
      <c r="W36" s="4"/>
      <c r="X36" s="4">
        <f t="shared" ref="X36:X52" si="11">+P36-T36</f>
        <v>4711.75</v>
      </c>
      <c r="Y36" s="4"/>
      <c r="Z36" s="12">
        <f t="shared" ref="Z36:Z52" si="12">IF(T36=0,0,X36/T36)</f>
        <v>5.2666141318623589E-3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5"/>
        <v>0</v>
      </c>
      <c r="G37" s="2"/>
      <c r="H37" s="2">
        <v>141924</v>
      </c>
      <c r="I37" s="2"/>
      <c r="J37" s="19">
        <f t="shared" si="6"/>
        <v>0.44333655080639872</v>
      </c>
      <c r="K37" s="2"/>
      <c r="L37" s="2">
        <f t="shared" si="7"/>
        <v>-141924</v>
      </c>
      <c r="M37" s="2"/>
      <c r="N37" s="19">
        <f t="shared" si="8"/>
        <v>-1</v>
      </c>
      <c r="O37" s="11"/>
      <c r="P37" s="2"/>
      <c r="Q37" s="2"/>
      <c r="R37" s="19">
        <f t="shared" si="9"/>
        <v>0</v>
      </c>
      <c r="S37" s="2"/>
      <c r="T37" s="2">
        <v>894645</v>
      </c>
      <c r="U37" s="2"/>
      <c r="V37" s="19">
        <f t="shared" si="10"/>
        <v>0.45337046196258085</v>
      </c>
      <c r="W37" s="2"/>
      <c r="X37" s="2">
        <f t="shared" si="11"/>
        <v>-894645</v>
      </c>
      <c r="Y37" s="2"/>
      <c r="Z37" s="19">
        <f t="shared" si="12"/>
        <v>-1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>
        <v>75227.44</v>
      </c>
      <c r="E38" s="2"/>
      <c r="F38" s="19">
        <f t="shared" si="5"/>
        <v>0.28527240478979687</v>
      </c>
      <c r="G38" s="2"/>
      <c r="H38" s="2"/>
      <c r="I38" s="2"/>
      <c r="J38" s="19">
        <f t="shared" si="6"/>
        <v>0</v>
      </c>
      <c r="K38" s="2"/>
      <c r="L38" s="2">
        <f t="shared" si="7"/>
        <v>75227.44</v>
      </c>
      <c r="M38" s="2"/>
      <c r="N38" s="19">
        <f t="shared" si="8"/>
        <v>0</v>
      </c>
      <c r="O38" s="11"/>
      <c r="P38" s="2">
        <v>711100.37</v>
      </c>
      <c r="Q38" s="2"/>
      <c r="R38" s="19">
        <f t="shared" si="9"/>
        <v>0.36929184474823129</v>
      </c>
      <c r="S38" s="2"/>
      <c r="T38" s="2"/>
      <c r="U38" s="2"/>
      <c r="V38" s="19">
        <f t="shared" si="10"/>
        <v>0</v>
      </c>
      <c r="W38" s="2"/>
      <c r="X38" s="2">
        <f t="shared" si="11"/>
        <v>711100.37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>
        <v>6638.94</v>
      </c>
      <c r="E39" s="2"/>
      <c r="F39" s="19">
        <f t="shared" si="5"/>
        <v>2.5175738787006095E-2</v>
      </c>
      <c r="G39" s="2"/>
      <c r="H39" s="2"/>
      <c r="I39" s="2"/>
      <c r="J39" s="19">
        <f t="shared" si="6"/>
        <v>0</v>
      </c>
      <c r="K39" s="2"/>
      <c r="L39" s="2">
        <f t="shared" si="7"/>
        <v>6638.94</v>
      </c>
      <c r="M39" s="2"/>
      <c r="N39" s="19">
        <f t="shared" si="8"/>
        <v>0</v>
      </c>
      <c r="O39" s="11"/>
      <c r="P39" s="2">
        <v>109401.17</v>
      </c>
      <c r="Q39" s="2"/>
      <c r="R39" s="19">
        <f t="shared" si="9"/>
        <v>5.6814708009383909E-2</v>
      </c>
      <c r="S39" s="2"/>
      <c r="T39" s="2"/>
      <c r="U39" s="2"/>
      <c r="V39" s="19">
        <f t="shared" si="10"/>
        <v>0</v>
      </c>
      <c r="W39" s="2"/>
      <c r="X39" s="2">
        <f t="shared" si="11"/>
        <v>109401.17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6560.4</v>
      </c>
      <c r="E40" s="2"/>
      <c r="F40" s="19">
        <f t="shared" si="5"/>
        <v>2.4877904716456962E-2</v>
      </c>
      <c r="G40" s="2"/>
      <c r="H40" s="2"/>
      <c r="I40" s="2"/>
      <c r="J40" s="19">
        <f t="shared" si="6"/>
        <v>0</v>
      </c>
      <c r="K40" s="2"/>
      <c r="L40" s="2">
        <f t="shared" si="7"/>
        <v>6560.4</v>
      </c>
      <c r="M40" s="2"/>
      <c r="N40" s="19">
        <f t="shared" si="8"/>
        <v>0</v>
      </c>
      <c r="O40" s="11"/>
      <c r="P40" s="2">
        <v>80458.01999999999</v>
      </c>
      <c r="Q40" s="2"/>
      <c r="R40" s="19">
        <f t="shared" si="9"/>
        <v>4.1783821080827288E-2</v>
      </c>
      <c r="S40" s="2"/>
      <c r="T40" s="2"/>
      <c r="U40" s="2"/>
      <c r="V40" s="19">
        <f t="shared" si="10"/>
        <v>0</v>
      </c>
      <c r="W40" s="2"/>
      <c r="X40" s="2">
        <f t="shared" si="11"/>
        <v>80458.01999999999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"5043", " - ", "PURCHASES @ COST-CARDS")</f>
        <v xml:space="preserve">          5043 - PURCHASES @ COST-CARDS</v>
      </c>
      <c r="C41" s="11"/>
      <c r="D41" s="2">
        <v>18554.75</v>
      </c>
      <c r="E41" s="2"/>
      <c r="F41" s="19">
        <f t="shared" si="5"/>
        <v>7.0362066724236311E-2</v>
      </c>
      <c r="G41" s="2"/>
      <c r="H41" s="2"/>
      <c r="I41" s="2"/>
      <c r="J41" s="19">
        <f t="shared" si="6"/>
        <v>0</v>
      </c>
      <c r="K41" s="2"/>
      <c r="L41" s="2">
        <f t="shared" si="7"/>
        <v>18554.75</v>
      </c>
      <c r="M41" s="2"/>
      <c r="N41" s="19">
        <f t="shared" si="8"/>
        <v>0</v>
      </c>
      <c r="O41" s="11"/>
      <c r="P41" s="2">
        <v>28880.69</v>
      </c>
      <c r="Q41" s="2"/>
      <c r="R41" s="19">
        <f t="shared" si="9"/>
        <v>1.4998449920229679E-2</v>
      </c>
      <c r="S41" s="2"/>
      <c r="T41" s="2"/>
      <c r="U41" s="2"/>
      <c r="V41" s="19">
        <f t="shared" si="10"/>
        <v>0</v>
      </c>
      <c r="W41" s="2"/>
      <c r="X41" s="2">
        <f t="shared" si="11"/>
        <v>28880.69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"5044", " - ", "PURCHASES @ COST-ACCESSORIES")</f>
        <v xml:space="preserve">          5044 - PURCHASES @ COST-ACCESSORIES</v>
      </c>
      <c r="C42" s="11"/>
      <c r="D42" s="2">
        <v>12345.02</v>
      </c>
      <c r="E42" s="2"/>
      <c r="F42" s="19">
        <f t="shared" si="5"/>
        <v>4.6813949040112733E-2</v>
      </c>
      <c r="G42" s="2"/>
      <c r="H42" s="2"/>
      <c r="I42" s="2"/>
      <c r="J42" s="19">
        <f t="shared" si="6"/>
        <v>0</v>
      </c>
      <c r="K42" s="2"/>
      <c r="L42" s="2">
        <f t="shared" si="7"/>
        <v>12345.02</v>
      </c>
      <c r="M42" s="2"/>
      <c r="N42" s="19">
        <f t="shared" si="8"/>
        <v>0</v>
      </c>
      <c r="O42" s="11"/>
      <c r="P42" s="2">
        <v>37861.420000000006</v>
      </c>
      <c r="Q42" s="2"/>
      <c r="R42" s="19">
        <f t="shared" si="9"/>
        <v>1.9662363045300599E-2</v>
      </c>
      <c r="S42" s="2"/>
      <c r="T42" s="2"/>
      <c r="U42" s="2"/>
      <c r="V42" s="19">
        <f t="shared" si="10"/>
        <v>0</v>
      </c>
      <c r="W42" s="2"/>
      <c r="X42" s="2">
        <f t="shared" si="11"/>
        <v>37861.420000000006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"5045", " - ", "PURCHASES @ COST-SPECIAL ORDER")</f>
        <v xml:space="preserve">          5045 - PURCHASES @ COST-SPECIAL ORDER</v>
      </c>
      <c r="C43" s="11"/>
      <c r="D43" s="2">
        <v>2948.55</v>
      </c>
      <c r="E43" s="2"/>
      <c r="F43" s="19">
        <f t="shared" si="5"/>
        <v>1.118129168217017E-2</v>
      </c>
      <c r="G43" s="2"/>
      <c r="H43" s="2"/>
      <c r="I43" s="2"/>
      <c r="J43" s="19">
        <f t="shared" si="6"/>
        <v>0</v>
      </c>
      <c r="K43" s="2"/>
      <c r="L43" s="2">
        <f t="shared" si="7"/>
        <v>2948.55</v>
      </c>
      <c r="M43" s="2"/>
      <c r="N43" s="19">
        <f t="shared" si="8"/>
        <v>0</v>
      </c>
      <c r="O43" s="11"/>
      <c r="P43" s="2">
        <v>51962.979999999996</v>
      </c>
      <c r="Q43" s="2"/>
      <c r="R43" s="19">
        <f t="shared" si="9"/>
        <v>2.6985648654374132E-2</v>
      </c>
      <c r="S43" s="2"/>
      <c r="T43" s="2"/>
      <c r="U43" s="2"/>
      <c r="V43" s="19">
        <f t="shared" si="10"/>
        <v>0</v>
      </c>
      <c r="W43" s="2"/>
      <c r="X43" s="2">
        <f t="shared" si="11"/>
        <v>51962.979999999996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-128433.99999999999</v>
      </c>
      <c r="E44" s="2"/>
      <c r="F44" s="19">
        <f t="shared" si="5"/>
        <v>-0.48703871933928317</v>
      </c>
      <c r="G44" s="2"/>
      <c r="H44" s="2"/>
      <c r="I44" s="2"/>
      <c r="J44" s="19">
        <f t="shared" si="6"/>
        <v>0</v>
      </c>
      <c r="K44" s="2"/>
      <c r="L44" s="2">
        <f t="shared" si="7"/>
        <v>-128433.99999999999</v>
      </c>
      <c r="M44" s="2"/>
      <c r="N44" s="19">
        <f t="shared" si="8"/>
        <v>0</v>
      </c>
      <c r="O44" s="11"/>
      <c r="P44" s="2">
        <v>-1058205</v>
      </c>
      <c r="Q44" s="2"/>
      <c r="R44" s="19">
        <f t="shared" si="9"/>
        <v>-0.54955178348705136</v>
      </c>
      <c r="S44" s="2"/>
      <c r="T44" s="2"/>
      <c r="U44" s="2"/>
      <c r="V44" s="19">
        <f t="shared" si="10"/>
        <v>0</v>
      </c>
      <c r="W44" s="2"/>
      <c r="X44" s="2">
        <f t="shared" si="11"/>
        <v>-1058205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123763</v>
      </c>
      <c r="E45" s="2"/>
      <c r="F45" s="19">
        <f t="shared" si="5"/>
        <v>0.46932566938340092</v>
      </c>
      <c r="G45" s="2"/>
      <c r="H45" s="2"/>
      <c r="I45" s="2"/>
      <c r="J45" s="19">
        <f t="shared" si="6"/>
        <v>0</v>
      </c>
      <c r="K45" s="2"/>
      <c r="L45" s="2">
        <f t="shared" si="7"/>
        <v>123763</v>
      </c>
      <c r="M45" s="2"/>
      <c r="N45" s="19">
        <f t="shared" si="8"/>
        <v>0</v>
      </c>
      <c r="O45" s="11"/>
      <c r="P45" s="2">
        <v>899330</v>
      </c>
      <c r="Q45" s="2"/>
      <c r="R45" s="19">
        <f t="shared" si="9"/>
        <v>0.46704410340473718</v>
      </c>
      <c r="S45" s="2"/>
      <c r="T45" s="2"/>
      <c r="U45" s="2"/>
      <c r="V45" s="19">
        <f t="shared" si="10"/>
        <v>0</v>
      </c>
      <c r="W45" s="2"/>
      <c r="X45" s="2">
        <f t="shared" si="11"/>
        <v>899330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29.23</v>
      </c>
      <c r="Q46" s="2"/>
      <c r="R46" s="19">
        <f t="shared" si="9"/>
        <v>1.5179855161643075E-5</v>
      </c>
      <c r="S46" s="2"/>
      <c r="T46" s="2"/>
      <c r="U46" s="2"/>
      <c r="V46" s="19">
        <f t="shared" si="10"/>
        <v>0</v>
      </c>
      <c r="W46" s="2"/>
      <c r="X46" s="2">
        <f t="shared" si="11"/>
        <v>29.23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"5540", " - ", "FREIGHT-IN-LOGO CLOTHING")</f>
        <v xml:space="preserve">          5540 - FREIGHT-IN-LOGO CLOTHING</v>
      </c>
      <c r="C47" s="11"/>
      <c r="D47" s="2">
        <v>2803.41</v>
      </c>
      <c r="E47" s="2"/>
      <c r="F47" s="19">
        <f t="shared" si="5"/>
        <v>1.063090160068938E-2</v>
      </c>
      <c r="G47" s="2"/>
      <c r="H47" s="2"/>
      <c r="I47" s="2"/>
      <c r="J47" s="19">
        <f t="shared" si="6"/>
        <v>0</v>
      </c>
      <c r="K47" s="2"/>
      <c r="L47" s="2">
        <f t="shared" si="7"/>
        <v>2803.41</v>
      </c>
      <c r="M47" s="2"/>
      <c r="N47" s="19">
        <f t="shared" si="8"/>
        <v>0</v>
      </c>
      <c r="O47" s="11"/>
      <c r="P47" s="2">
        <v>28481.3</v>
      </c>
      <c r="Q47" s="2"/>
      <c r="R47" s="19">
        <f t="shared" si="9"/>
        <v>1.4791036907810638E-2</v>
      </c>
      <c r="S47" s="2"/>
      <c r="T47" s="2"/>
      <c r="U47" s="2"/>
      <c r="V47" s="19">
        <f t="shared" si="10"/>
        <v>0</v>
      </c>
      <c r="W47" s="2"/>
      <c r="X47" s="2">
        <f t="shared" si="11"/>
        <v>28481.3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"5541", " - ", "FREIGHT-IN-LOGO GIFTS")</f>
        <v xml:space="preserve">          5541 - FREIGHT-IN-LOGO GIFTS</v>
      </c>
      <c r="C48" s="11"/>
      <c r="D48" s="2">
        <v>486.35</v>
      </c>
      <c r="E48" s="2"/>
      <c r="F48" s="19">
        <f t="shared" si="5"/>
        <v>1.8443035422914525E-3</v>
      </c>
      <c r="G48" s="2"/>
      <c r="H48" s="2"/>
      <c r="I48" s="2"/>
      <c r="J48" s="19">
        <f t="shared" si="6"/>
        <v>0</v>
      </c>
      <c r="K48" s="2"/>
      <c r="L48" s="2">
        <f t="shared" si="7"/>
        <v>486.35</v>
      </c>
      <c r="M48" s="2"/>
      <c r="N48" s="19">
        <f t="shared" si="8"/>
        <v>0</v>
      </c>
      <c r="O48" s="11"/>
      <c r="P48" s="2">
        <v>4073.92</v>
      </c>
      <c r="Q48" s="2"/>
      <c r="R48" s="19">
        <f t="shared" si="9"/>
        <v>2.1156864707533684E-3</v>
      </c>
      <c r="S48" s="2"/>
      <c r="T48" s="2"/>
      <c r="U48" s="2"/>
      <c r="V48" s="19">
        <f t="shared" si="10"/>
        <v>0</v>
      </c>
      <c r="W48" s="2"/>
      <c r="X48" s="2">
        <f t="shared" si="11"/>
        <v>4073.92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"5542", " - ", "FREIGHT-IN-EVERYDAY GIFTS")</f>
        <v xml:space="preserve">          5542 - FREIGHT-IN-EVERYDAY GIFTS</v>
      </c>
      <c r="C49" s="11"/>
      <c r="D49" s="2">
        <v>43.37</v>
      </c>
      <c r="E49" s="2"/>
      <c r="F49" s="19">
        <f t="shared" si="5"/>
        <v>1.6446477768927787E-4</v>
      </c>
      <c r="G49" s="2"/>
      <c r="H49" s="2"/>
      <c r="I49" s="2"/>
      <c r="J49" s="19">
        <f t="shared" si="6"/>
        <v>0</v>
      </c>
      <c r="K49" s="2"/>
      <c r="L49" s="2">
        <f t="shared" si="7"/>
        <v>43.37</v>
      </c>
      <c r="M49" s="2"/>
      <c r="N49" s="19">
        <f t="shared" si="8"/>
        <v>0</v>
      </c>
      <c r="O49" s="11"/>
      <c r="P49" s="2">
        <v>1751.7</v>
      </c>
      <c r="Q49" s="2"/>
      <c r="R49" s="19">
        <f t="shared" si="9"/>
        <v>9.0970072824667048E-4</v>
      </c>
      <c r="S49" s="2"/>
      <c r="T49" s="2"/>
      <c r="U49" s="2"/>
      <c r="V49" s="19">
        <f t="shared" si="10"/>
        <v>0</v>
      </c>
      <c r="W49" s="2"/>
      <c r="X49" s="2">
        <f t="shared" si="11"/>
        <v>1751.7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"5543", " - ", "FREIGHT-IN-CARDS")</f>
        <v xml:space="preserve">          5543 - FREIGHT-IN-CARDS</v>
      </c>
      <c r="C50" s="11"/>
      <c r="D50" s="2">
        <v>2779.77</v>
      </c>
      <c r="E50" s="2"/>
      <c r="F50" s="19">
        <f t="shared" si="5"/>
        <v>1.0541255593205533E-2</v>
      </c>
      <c r="G50" s="2"/>
      <c r="H50" s="2"/>
      <c r="I50" s="2"/>
      <c r="J50" s="19">
        <f t="shared" si="6"/>
        <v>0</v>
      </c>
      <c r="K50" s="2"/>
      <c r="L50" s="2">
        <f t="shared" si="7"/>
        <v>2779.77</v>
      </c>
      <c r="M50" s="2"/>
      <c r="N50" s="19">
        <f t="shared" si="8"/>
        <v>0</v>
      </c>
      <c r="O50" s="11"/>
      <c r="P50" s="2">
        <v>2901.12</v>
      </c>
      <c r="Q50" s="2"/>
      <c r="R50" s="19">
        <f t="shared" si="9"/>
        <v>1.506622696084364E-3</v>
      </c>
      <c r="S50" s="2"/>
      <c r="T50" s="2"/>
      <c r="U50" s="2"/>
      <c r="V50" s="19">
        <f t="shared" si="10"/>
        <v>0</v>
      </c>
      <c r="W50" s="2"/>
      <c r="X50" s="2">
        <f t="shared" si="11"/>
        <v>2901.12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"5544", " - ", "FREIGHT-IN-ACCESSORIES")</f>
        <v xml:space="preserve">          5544 - FREIGHT-IN-ACCESSORIES</v>
      </c>
      <c r="C51" s="11"/>
      <c r="D51" s="2">
        <v>41.13</v>
      </c>
      <c r="E51" s="2"/>
      <c r="F51" s="19">
        <f t="shared" si="5"/>
        <v>1.559704013456306E-4</v>
      </c>
      <c r="G51" s="2"/>
      <c r="H51" s="2"/>
      <c r="I51" s="2"/>
      <c r="J51" s="19">
        <f t="shared" si="6"/>
        <v>0</v>
      </c>
      <c r="K51" s="2"/>
      <c r="L51" s="2">
        <f t="shared" si="7"/>
        <v>41.13</v>
      </c>
      <c r="M51" s="2"/>
      <c r="N51" s="19">
        <f t="shared" si="8"/>
        <v>0</v>
      </c>
      <c r="O51" s="11"/>
      <c r="P51" s="2">
        <v>483.44</v>
      </c>
      <c r="Q51" s="2"/>
      <c r="R51" s="19">
        <f t="shared" si="9"/>
        <v>2.5106223672065439E-4</v>
      </c>
      <c r="S51" s="2"/>
      <c r="T51" s="2"/>
      <c r="U51" s="2"/>
      <c r="V51" s="19">
        <f t="shared" si="10"/>
        <v>0</v>
      </c>
      <c r="W51" s="2"/>
      <c r="X51" s="2">
        <f t="shared" si="11"/>
        <v>483.44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>
        <v>4.49</v>
      </c>
      <c r="E52" s="2"/>
      <c r="F52" s="19">
        <f t="shared" si="5"/>
        <v>1.7026674010257267E-5</v>
      </c>
      <c r="G52" s="2"/>
      <c r="H52" s="2"/>
      <c r="I52" s="2"/>
      <c r="J52" s="19">
        <f t="shared" si="6"/>
        <v>0</v>
      </c>
      <c r="K52" s="2"/>
      <c r="L52" s="2">
        <f t="shared" si="7"/>
        <v>4.49</v>
      </c>
      <c r="M52" s="2"/>
      <c r="N52" s="19">
        <f t="shared" si="8"/>
        <v>0</v>
      </c>
      <c r="O52" s="11"/>
      <c r="P52" s="2">
        <v>846.39</v>
      </c>
      <c r="Q52" s="2"/>
      <c r="R52" s="19">
        <f t="shared" si="9"/>
        <v>4.395510643264825E-4</v>
      </c>
      <c r="S52" s="2"/>
      <c r="T52" s="2"/>
      <c r="U52" s="2"/>
      <c r="V52" s="19">
        <f t="shared" si="10"/>
        <v>0</v>
      </c>
      <c r="W52" s="2"/>
      <c r="X52" s="2">
        <f t="shared" si="11"/>
        <v>846.39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1">
        <f>D12-D36</f>
        <v>139941.25999999989</v>
      </c>
      <c r="E54" s="14"/>
      <c r="F54" s="22">
        <f>IF(D$12=0,0,D54/D$12)</f>
        <v>0.53067577162687152</v>
      </c>
      <c r="G54" s="14"/>
      <c r="H54" s="21">
        <f>H12-H36</f>
        <v>178203</v>
      </c>
      <c r="I54" s="14"/>
      <c r="J54" s="22">
        <f>IF(H$12=0,0,H54/H$12)</f>
        <v>0.55666344919360133</v>
      </c>
      <c r="K54" s="15"/>
      <c r="L54" s="21">
        <f>+D54-H54</f>
        <v>-38261.740000000107</v>
      </c>
      <c r="M54" s="15"/>
      <c r="N54" s="22">
        <f>IF(H54=0,0,L54/H54)</f>
        <v>-0.21470873105391103</v>
      </c>
      <c r="O54" s="29"/>
      <c r="P54" s="21">
        <f>P12-P36</f>
        <v>1026221.5699999998</v>
      </c>
      <c r="Q54" s="14"/>
      <c r="R54" s="22">
        <f>IF(P$12=0,0,P54/P$12)</f>
        <v>0.53294200466486341</v>
      </c>
      <c r="S54" s="14"/>
      <c r="T54" s="21">
        <f>T12-T36</f>
        <v>1078675</v>
      </c>
      <c r="U54" s="14"/>
      <c r="V54" s="22">
        <f>IF(T$12=0,0,T54/T$12)</f>
        <v>0.5466295380374192</v>
      </c>
      <c r="W54" s="15"/>
      <c r="X54" s="21">
        <f>+P54-T54</f>
        <v>-52453.430000000168</v>
      </c>
      <c r="Y54" s="15"/>
      <c r="Z54" s="22">
        <f>IF(T54=0,0,X54/T54)</f>
        <v>-4.8627649662780881E-2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0">
        <f>SUM(OSRRefD22x_0)</f>
        <v>74736.710000000006</v>
      </c>
      <c r="E56" s="20"/>
      <c r="F56" s="34">
        <f t="shared" ref="F56:F66" si="13">IF(D$12=0,0,D56/D$12)</f>
        <v>0.28341149170804775</v>
      </c>
      <c r="G56" s="20"/>
      <c r="H56" s="20">
        <f>SUM(OSRRefH22x_0)</f>
        <v>63009.151270244227</v>
      </c>
      <c r="I56" s="20"/>
      <c r="J56" s="34">
        <f t="shared" ref="J56:J66" si="14">IF(H$12=0,0,H56/H$12)</f>
        <v>0.19682548260610391</v>
      </c>
      <c r="K56" s="4"/>
      <c r="L56" s="20">
        <f t="shared" ref="L56:L66" si="15">+D56-H56</f>
        <v>11727.558729755779</v>
      </c>
      <c r="M56" s="4"/>
      <c r="N56" s="34">
        <f t="shared" ref="N56:N66" si="16">IF(H56=0,0,L56/H56)</f>
        <v>0.18612468972096857</v>
      </c>
      <c r="O56" s="10"/>
      <c r="P56" s="20">
        <f>SUM(OSRRefP22x_0)</f>
        <v>496702.9</v>
      </c>
      <c r="Q56" s="20"/>
      <c r="R56" s="34">
        <f t="shared" ref="R56:R66" si="17">IF(P$12=0,0,P56/P$12)</f>
        <v>0.25794998564379351</v>
      </c>
      <c r="S56" s="20"/>
      <c r="T56" s="20">
        <f>SUM(OSRRefT22x_0)</f>
        <v>493548.04258513701</v>
      </c>
      <c r="U56" s="20"/>
      <c r="V56" s="34">
        <f t="shared" ref="V56:V66" si="18">IF(T$12=0,0,T56/T$12)</f>
        <v>0.25011049529986873</v>
      </c>
      <c r="W56" s="4"/>
      <c r="X56" s="20">
        <f t="shared" ref="X56:X66" si="19">+P56-T56</f>
        <v>3154.8574148630141</v>
      </c>
      <c r="Y56" s="4"/>
      <c r="Z56" s="34">
        <f t="shared" ref="Z56:Z66" si="20">IF(T56=0,0,X56/T56)</f>
        <v>6.3921992240883047E-3</v>
      </c>
    </row>
    <row r="57" spans="1:26" s="27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4875.0399999999991</v>
      </c>
      <c r="E57" s="1"/>
      <c r="F57" s="5">
        <f t="shared" si="13"/>
        <v>1.848679662961349E-2</v>
      </c>
      <c r="G57" s="1"/>
      <c r="H57" s="1">
        <f>SUM(OSRRefH22_0x_0)</f>
        <v>4283.8834144749999</v>
      </c>
      <c r="I57" s="1"/>
      <c r="J57" s="5">
        <f t="shared" si="14"/>
        <v>1.3381824758533332E-2</v>
      </c>
      <c r="K57" s="1"/>
      <c r="L57" s="1">
        <f t="shared" si="15"/>
        <v>591.15658552499917</v>
      </c>
      <c r="M57" s="1"/>
      <c r="N57" s="5">
        <f t="shared" si="16"/>
        <v>0.13799548874918363</v>
      </c>
      <c r="O57" s="13"/>
      <c r="P57" s="1">
        <f>SUM(OSRRefP22_0x_0)</f>
        <v>50005.149999999994</v>
      </c>
      <c r="Q57" s="1"/>
      <c r="R57" s="5">
        <f t="shared" si="17"/>
        <v>2.5968899566754574E-2</v>
      </c>
      <c r="S57" s="1"/>
      <c r="T57" s="1">
        <f>SUM(OSRRefT22_0x_0)</f>
        <v>36405.318847156246</v>
      </c>
      <c r="U57" s="1"/>
      <c r="V57" s="5">
        <f t="shared" si="18"/>
        <v>1.8448765961504594E-2</v>
      </c>
      <c r="W57" s="1"/>
      <c r="X57" s="1">
        <f t="shared" si="19"/>
        <v>13599.831152843748</v>
      </c>
      <c r="Y57" s="1"/>
      <c r="Z57" s="5">
        <f t="shared" si="20"/>
        <v>0.37356714852412509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981.77</v>
      </c>
      <c r="E58" s="2"/>
      <c r="F58" s="7">
        <f t="shared" si="13"/>
        <v>3.7230017245100835E-3</v>
      </c>
      <c r="G58" s="2"/>
      <c r="H58" s="6">
        <v>688.68491924423097</v>
      </c>
      <c r="I58" s="2"/>
      <c r="J58" s="7">
        <f t="shared" si="14"/>
        <v>2.151286580776476E-3</v>
      </c>
      <c r="K58" s="2"/>
      <c r="L58" s="6">
        <f t="shared" si="15"/>
        <v>293.08508075576901</v>
      </c>
      <c r="M58" s="2"/>
      <c r="N58" s="7">
        <f t="shared" si="16"/>
        <v>0.4255720904668614</v>
      </c>
      <c r="O58" s="11"/>
      <c r="P58" s="6">
        <v>10357.700000000001</v>
      </c>
      <c r="Q58" s="2"/>
      <c r="R58" s="7">
        <f t="shared" si="17"/>
        <v>5.3790073830910197E-3</v>
      </c>
      <c r="S58" s="2"/>
      <c r="T58" s="6">
        <v>7748.7790058870196</v>
      </c>
      <c r="U58" s="2"/>
      <c r="V58" s="7">
        <f t="shared" si="18"/>
        <v>3.9267726500957873E-3</v>
      </c>
      <c r="W58" s="2"/>
      <c r="X58" s="6">
        <f t="shared" si="19"/>
        <v>2608.9209941129811</v>
      </c>
      <c r="Y58" s="2"/>
      <c r="Z58" s="7">
        <f t="shared" si="20"/>
        <v>0.33668801137971444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393.13</v>
      </c>
      <c r="E59" s="2"/>
      <c r="F59" s="7">
        <f t="shared" si="13"/>
        <v>1.4908009696330598E-3</v>
      </c>
      <c r="G59" s="2"/>
      <c r="H59" s="6">
        <v>497.22293711538504</v>
      </c>
      <c r="I59" s="2"/>
      <c r="J59" s="7">
        <f t="shared" si="14"/>
        <v>1.5532052501519241E-3</v>
      </c>
      <c r="K59" s="2"/>
      <c r="L59" s="6">
        <f t="shared" si="15"/>
        <v>-104.09293711538504</v>
      </c>
      <c r="M59" s="2"/>
      <c r="N59" s="7">
        <f t="shared" si="16"/>
        <v>-0.20934862281148012</v>
      </c>
      <c r="O59" s="11"/>
      <c r="P59" s="6">
        <v>3416.55</v>
      </c>
      <c r="Q59" s="2"/>
      <c r="R59" s="7">
        <f t="shared" si="17"/>
        <v>1.7742981235891774E-3</v>
      </c>
      <c r="S59" s="2"/>
      <c r="T59" s="6">
        <v>3511.9291697596177</v>
      </c>
      <c r="U59" s="2"/>
      <c r="V59" s="7">
        <f t="shared" si="18"/>
        <v>1.7797058610664351E-3</v>
      </c>
      <c r="W59" s="2"/>
      <c r="X59" s="6">
        <f t="shared" si="19"/>
        <v>-95.379169759617525</v>
      </c>
      <c r="Y59" s="2"/>
      <c r="Z59" s="7">
        <f t="shared" si="20"/>
        <v>-2.7158625686675219E-2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1458.55</v>
      </c>
      <c r="E60" s="2"/>
      <c r="F60" s="7">
        <f t="shared" si="13"/>
        <v>5.5310145607262214E-3</v>
      </c>
      <c r="G60" s="2"/>
      <c r="H60" s="6">
        <v>1875.25</v>
      </c>
      <c r="I60" s="2"/>
      <c r="J60" s="7">
        <f t="shared" si="14"/>
        <v>5.8578314231539355E-3</v>
      </c>
      <c r="K60" s="2"/>
      <c r="L60" s="6">
        <f t="shared" si="15"/>
        <v>-416.70000000000005</v>
      </c>
      <c r="M60" s="2"/>
      <c r="N60" s="7">
        <f t="shared" si="16"/>
        <v>-0.22221037195040663</v>
      </c>
      <c r="O60" s="11"/>
      <c r="P60" s="6">
        <v>16666.670000000002</v>
      </c>
      <c r="Q60" s="2"/>
      <c r="R60" s="7">
        <f t="shared" si="17"/>
        <v>8.6554100796066308E-3</v>
      </c>
      <c r="S60" s="2"/>
      <c r="T60" s="6">
        <v>15002</v>
      </c>
      <c r="U60" s="2"/>
      <c r="V60" s="7">
        <f t="shared" si="18"/>
        <v>7.6024162325421122E-3</v>
      </c>
      <c r="W60" s="2"/>
      <c r="X60" s="6">
        <f t="shared" si="19"/>
        <v>1664.6700000000019</v>
      </c>
      <c r="Y60" s="2"/>
      <c r="Z60" s="7">
        <f t="shared" si="20"/>
        <v>0.11096320490601266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58.94</v>
      </c>
      <c r="E61" s="2"/>
      <c r="F61" s="7">
        <f t="shared" si="13"/>
        <v>2.2350827754221897E-4</v>
      </c>
      <c r="G61" s="2"/>
      <c r="H61" s="6">
        <v>68.041033499999998</v>
      </c>
      <c r="I61" s="2"/>
      <c r="J61" s="7">
        <f t="shared" si="14"/>
        <v>2.1254387633657892E-4</v>
      </c>
      <c r="K61" s="2"/>
      <c r="L61" s="6">
        <f t="shared" si="15"/>
        <v>-9.1010334999999998</v>
      </c>
      <c r="M61" s="2"/>
      <c r="N61" s="7">
        <f t="shared" si="16"/>
        <v>-0.13375801383146246</v>
      </c>
      <c r="O61" s="11"/>
      <c r="P61" s="6">
        <v>525.26</v>
      </c>
      <c r="Q61" s="2"/>
      <c r="R61" s="7">
        <f t="shared" si="17"/>
        <v>2.7278038734877326E-4</v>
      </c>
      <c r="S61" s="2"/>
      <c r="T61" s="6">
        <v>480.57978112500001</v>
      </c>
      <c r="U61" s="2"/>
      <c r="V61" s="7">
        <f t="shared" si="18"/>
        <v>2.4353869677751203E-4</v>
      </c>
      <c r="W61" s="2"/>
      <c r="X61" s="6">
        <f t="shared" si="19"/>
        <v>44.68021887499998</v>
      </c>
      <c r="Y61" s="2"/>
      <c r="Z61" s="7">
        <f t="shared" si="20"/>
        <v>9.2971491165123613E-2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621.85</v>
      </c>
      <c r="E62" s="2"/>
      <c r="F62" s="7">
        <f t="shared" si="13"/>
        <v>2.3581374684361876E-3</v>
      </c>
      <c r="G62" s="2"/>
      <c r="H62" s="6">
        <v>609.49991115384591</v>
      </c>
      <c r="I62" s="2"/>
      <c r="J62" s="7">
        <f t="shared" si="14"/>
        <v>1.9039315995022161E-3</v>
      </c>
      <c r="K62" s="2"/>
      <c r="L62" s="6">
        <f t="shared" si="15"/>
        <v>12.350088846154108</v>
      </c>
      <c r="M62" s="2"/>
      <c r="N62" s="7">
        <f t="shared" si="16"/>
        <v>2.0262658976888316E-2</v>
      </c>
      <c r="O62" s="11"/>
      <c r="P62" s="6">
        <v>6775.77</v>
      </c>
      <c r="Q62" s="2"/>
      <c r="R62" s="7">
        <f t="shared" si="17"/>
        <v>3.5188233735410986E-3</v>
      </c>
      <c r="S62" s="2"/>
      <c r="T62" s="6">
        <v>5333.1242225961541</v>
      </c>
      <c r="U62" s="2"/>
      <c r="V62" s="7">
        <f t="shared" si="18"/>
        <v>2.7026149953358575E-3</v>
      </c>
      <c r="W62" s="2"/>
      <c r="X62" s="6">
        <f t="shared" si="19"/>
        <v>1442.6457774038463</v>
      </c>
      <c r="Y62" s="2"/>
      <c r="Z62" s="7">
        <f t="shared" si="20"/>
        <v>0.27050668936070071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3"/>
        <v>0</v>
      </c>
      <c r="G63" s="2"/>
      <c r="H63" s="6">
        <v>0</v>
      </c>
      <c r="I63" s="2"/>
      <c r="J63" s="7">
        <f t="shared" si="14"/>
        <v>0</v>
      </c>
      <c r="K63" s="2"/>
      <c r="L63" s="6">
        <f t="shared" si="15"/>
        <v>0</v>
      </c>
      <c r="M63" s="2"/>
      <c r="N63" s="7">
        <f t="shared" si="16"/>
        <v>0</v>
      </c>
      <c r="O63" s="11"/>
      <c r="P63" s="6"/>
      <c r="Q63" s="2"/>
      <c r="R63" s="7">
        <f t="shared" si="17"/>
        <v>0</v>
      </c>
      <c r="S63" s="2"/>
      <c r="T63" s="6">
        <v>0</v>
      </c>
      <c r="U63" s="2"/>
      <c r="V63" s="7">
        <f t="shared" si="18"/>
        <v>0</v>
      </c>
      <c r="W63" s="2"/>
      <c r="X63" s="6">
        <f t="shared" si="19"/>
        <v>0</v>
      </c>
      <c r="Y63" s="2"/>
      <c r="Z63" s="7">
        <f t="shared" si="20"/>
        <v>0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639.12</v>
      </c>
      <c r="E64" s="2"/>
      <c r="F64" s="7">
        <f t="shared" si="13"/>
        <v>2.4236275931927894E-3</v>
      </c>
      <c r="G64" s="2"/>
      <c r="H64" s="6">
        <v>212.616248076923</v>
      </c>
      <c r="I64" s="2"/>
      <c r="J64" s="7">
        <f t="shared" si="14"/>
        <v>6.6416218587286608E-4</v>
      </c>
      <c r="K64" s="2"/>
      <c r="L64" s="6">
        <f t="shared" si="15"/>
        <v>426.503751923077</v>
      </c>
      <c r="M64" s="2"/>
      <c r="N64" s="7">
        <f t="shared" si="16"/>
        <v>2.0059791092201529</v>
      </c>
      <c r="O64" s="11"/>
      <c r="P64" s="6">
        <v>5721.05</v>
      </c>
      <c r="Q64" s="2"/>
      <c r="R64" s="7">
        <f t="shared" si="17"/>
        <v>2.9710814359397235E-3</v>
      </c>
      <c r="S64" s="2"/>
      <c r="T64" s="6">
        <v>1860.3921706730771</v>
      </c>
      <c r="U64" s="2"/>
      <c r="V64" s="7">
        <f t="shared" si="18"/>
        <v>9.4277267279157823E-4</v>
      </c>
      <c r="W64" s="2"/>
      <c r="X64" s="6">
        <f t="shared" si="19"/>
        <v>3860.6578293269231</v>
      </c>
      <c r="Y64" s="2"/>
      <c r="Z64" s="7">
        <f t="shared" si="20"/>
        <v>2.0751849476608815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457.74</v>
      </c>
      <c r="E65" s="2"/>
      <c r="F65" s="7">
        <f t="shared" si="13"/>
        <v>1.7358106372951361E-3</v>
      </c>
      <c r="G65" s="2"/>
      <c r="H65" s="6">
        <v>332.56836538461499</v>
      </c>
      <c r="I65" s="2"/>
      <c r="J65" s="7">
        <f t="shared" si="14"/>
        <v>1.0388638427393346E-3</v>
      </c>
      <c r="K65" s="2"/>
      <c r="L65" s="6">
        <f t="shared" si="15"/>
        <v>125.17163461538502</v>
      </c>
      <c r="M65" s="2"/>
      <c r="N65" s="7">
        <f t="shared" si="16"/>
        <v>0.3763786566729645</v>
      </c>
      <c r="O65" s="11"/>
      <c r="P65" s="6">
        <v>5025.45</v>
      </c>
      <c r="Q65" s="2"/>
      <c r="R65" s="7">
        <f t="shared" si="17"/>
        <v>2.6098393131056856E-3</v>
      </c>
      <c r="S65" s="2"/>
      <c r="T65" s="6">
        <v>2468.5144971153818</v>
      </c>
      <c r="U65" s="2"/>
      <c r="V65" s="7">
        <f t="shared" si="18"/>
        <v>1.2509448528953144E-3</v>
      </c>
      <c r="W65" s="2"/>
      <c r="X65" s="6">
        <f t="shared" si="19"/>
        <v>2556.935502884618</v>
      </c>
      <c r="Y65" s="2"/>
      <c r="Z65" s="7">
        <f t="shared" si="20"/>
        <v>1.035819520554796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263.94</v>
      </c>
      <c r="E66" s="2"/>
      <c r="F66" s="7">
        <f t="shared" si="13"/>
        <v>1.0008953982777956E-3</v>
      </c>
      <c r="G66" s="2"/>
      <c r="H66" s="6"/>
      <c r="I66" s="2"/>
      <c r="J66" s="7">
        <f t="shared" si="14"/>
        <v>0</v>
      </c>
      <c r="K66" s="2"/>
      <c r="L66" s="6">
        <f t="shared" si="15"/>
        <v>263.94</v>
      </c>
      <c r="M66" s="2"/>
      <c r="N66" s="7">
        <f t="shared" si="16"/>
        <v>0</v>
      </c>
      <c r="O66" s="11"/>
      <c r="P66" s="6">
        <v>1516.7</v>
      </c>
      <c r="Q66" s="2"/>
      <c r="R66" s="7">
        <f t="shared" si="17"/>
        <v>7.8765947053246847E-4</v>
      </c>
      <c r="S66" s="2"/>
      <c r="T66" s="6"/>
      <c r="U66" s="2"/>
      <c r="V66" s="7">
        <f t="shared" si="18"/>
        <v>0</v>
      </c>
      <c r="W66" s="2"/>
      <c r="X66" s="6">
        <f t="shared" si="19"/>
        <v>1516.7</v>
      </c>
      <c r="Y66" s="2"/>
      <c r="Z66" s="7">
        <f t="shared" si="20"/>
        <v>0</v>
      </c>
    </row>
    <row r="67" spans="1:26" s="27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22451.15</v>
      </c>
      <c r="E67" s="1"/>
      <c r="F67" s="5">
        <f t="shared" ref="F67:F77" si="21">IF(D$12=0,0,D67/D$12)</f>
        <v>8.5137731003427045E-2</v>
      </c>
      <c r="G67" s="1"/>
      <c r="H67" s="1">
        <f>SUM(OSRRefH22_1x_0)</f>
        <v>25815.267855769231</v>
      </c>
      <c r="I67" s="1"/>
      <c r="J67" s="5">
        <f t="shared" ref="J67:J77" si="22">IF(H$12=0,0,H67/H$12)</f>
        <v>8.0640707768383266E-2</v>
      </c>
      <c r="K67" s="1"/>
      <c r="L67" s="1">
        <f t="shared" ref="L67:L77" si="23">+D67-H67</f>
        <v>-3364.1178557692292</v>
      </c>
      <c r="M67" s="1"/>
      <c r="N67" s="5">
        <f t="shared" ref="N67:N77" si="24">IF(H67=0,0,L67/H67)</f>
        <v>-0.13031504745814254</v>
      </c>
      <c r="O67" s="13"/>
      <c r="P67" s="1">
        <f>SUM(OSRRefP22_1x_0)</f>
        <v>194194.89</v>
      </c>
      <c r="Q67" s="1"/>
      <c r="R67" s="5">
        <f t="shared" ref="R67:R77" si="25">IF(P$12=0,0,P67/P$12)</f>
        <v>0.10085016432881319</v>
      </c>
      <c r="S67" s="1"/>
      <c r="T67" s="1">
        <f>SUM(OSRRefT22_1x_0)</f>
        <v>181737.72373798076</v>
      </c>
      <c r="U67" s="1"/>
      <c r="V67" s="5">
        <f t="shared" ref="V67:V77" si="26">IF(T$12=0,0,T67/T$12)</f>
        <v>9.2097441741826339E-2</v>
      </c>
      <c r="W67" s="1"/>
      <c r="X67" s="1">
        <f t="shared" ref="X67:X77" si="27">+P67-T67</f>
        <v>12457.166262019251</v>
      </c>
      <c r="Y67" s="1"/>
      <c r="Z67" s="5">
        <f t="shared" ref="Z67:Z77" si="28">IF(T67=0,0,X67/T67)</f>
        <v>6.8544746824161243E-2</v>
      </c>
    </row>
    <row r="68" spans="1:26" s="24" customFormat="1" hidden="1" outlineLevel="2" x14ac:dyDescent="0.25">
      <c r="A68" s="25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1"/>
        <v>0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0</v>
      </c>
      <c r="M68" s="2"/>
      <c r="N68" s="7">
        <f t="shared" si="24"/>
        <v>0</v>
      </c>
      <c r="O68" s="11"/>
      <c r="P68" s="6"/>
      <c r="Q68" s="2"/>
      <c r="R68" s="7">
        <f t="shared" si="25"/>
        <v>0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0</v>
      </c>
      <c r="Y68" s="2"/>
      <c r="Z68" s="7">
        <f t="shared" si="28"/>
        <v>0</v>
      </c>
    </row>
    <row r="69" spans="1:26" s="24" customFormat="1" hidden="1" outlineLevel="2" x14ac:dyDescent="0.25">
      <c r="A69" s="25"/>
      <c r="B69" s="11" t="str">
        <f>CONCATENATE("          ", "6002", " - ", "STAFF SALARIES")</f>
        <v xml:space="preserve">          6002 - STAFF SALARIES</v>
      </c>
      <c r="C69" s="11"/>
      <c r="D69" s="6">
        <v>4867.26</v>
      </c>
      <c r="E69" s="2"/>
      <c r="F69" s="7">
        <f t="shared" si="21"/>
        <v>1.8457293840348506E-2</v>
      </c>
      <c r="G69" s="2"/>
      <c r="H69" s="6">
        <v>6732.8478557692297</v>
      </c>
      <c r="I69" s="2"/>
      <c r="J69" s="7">
        <f t="shared" si="22"/>
        <v>2.1031802552640762E-2</v>
      </c>
      <c r="K69" s="2"/>
      <c r="L69" s="6">
        <f t="shared" si="23"/>
        <v>-1865.5878557692295</v>
      </c>
      <c r="M69" s="2"/>
      <c r="N69" s="7">
        <f t="shared" si="24"/>
        <v>-0.27708748151358392</v>
      </c>
      <c r="O69" s="11"/>
      <c r="P69" s="6">
        <v>62011.58</v>
      </c>
      <c r="Q69" s="2"/>
      <c r="R69" s="7">
        <f t="shared" si="25"/>
        <v>3.2204132834233408E-2</v>
      </c>
      <c r="S69" s="2"/>
      <c r="T69" s="6">
        <v>58912.41873798077</v>
      </c>
      <c r="U69" s="2"/>
      <c r="V69" s="7">
        <f t="shared" si="26"/>
        <v>2.9854467971733308E-2</v>
      </c>
      <c r="W69" s="2"/>
      <c r="X69" s="6">
        <f t="shared" si="27"/>
        <v>3099.1612620192318</v>
      </c>
      <c r="Y69" s="2"/>
      <c r="Z69" s="7">
        <f t="shared" si="28"/>
        <v>5.2606247178597097E-2</v>
      </c>
    </row>
    <row r="70" spans="1:26" s="24" customFormat="1" hidden="1" outlineLevel="2" x14ac:dyDescent="0.25">
      <c r="A70" s="25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1"/>
        <v>0</v>
      </c>
      <c r="G70" s="2"/>
      <c r="H70" s="6">
        <v>0</v>
      </c>
      <c r="I70" s="2"/>
      <c r="J70" s="7">
        <f t="shared" si="22"/>
        <v>0</v>
      </c>
      <c r="K70" s="2"/>
      <c r="L70" s="6">
        <f t="shared" si="23"/>
        <v>0</v>
      </c>
      <c r="M70" s="2"/>
      <c r="N70" s="7">
        <f t="shared" si="24"/>
        <v>0</v>
      </c>
      <c r="O70" s="11"/>
      <c r="P70" s="6"/>
      <c r="Q70" s="2"/>
      <c r="R70" s="7">
        <f t="shared" si="25"/>
        <v>0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0</v>
      </c>
      <c r="Y70" s="2"/>
      <c r="Z70" s="7">
        <f t="shared" si="28"/>
        <v>0</v>
      </c>
    </row>
    <row r="71" spans="1:26" s="24" customFormat="1" hidden="1" outlineLevel="2" x14ac:dyDescent="0.25">
      <c r="A71" s="25"/>
      <c r="B71" s="11" t="str">
        <f>CONCATENATE("          ", "6004", " - ", "STAFF HOURLY")</f>
        <v xml:space="preserve">          6004 - STAFF HOURLY</v>
      </c>
      <c r="C71" s="11"/>
      <c r="D71" s="6">
        <v>3923.28</v>
      </c>
      <c r="E71" s="2"/>
      <c r="F71" s="7">
        <f t="shared" si="21"/>
        <v>1.4877596795314505E-2</v>
      </c>
      <c r="G71" s="2"/>
      <c r="H71" s="6">
        <v>1911.68</v>
      </c>
      <c r="I71" s="2"/>
      <c r="J71" s="7">
        <f t="shared" si="22"/>
        <v>5.971630009340043E-3</v>
      </c>
      <c r="K71" s="2"/>
      <c r="L71" s="6">
        <f t="shared" si="23"/>
        <v>2011.6000000000001</v>
      </c>
      <c r="M71" s="2"/>
      <c r="N71" s="7">
        <f t="shared" si="24"/>
        <v>1.0522681620354872</v>
      </c>
      <c r="O71" s="11"/>
      <c r="P71" s="6">
        <v>4567.67</v>
      </c>
      <c r="Q71" s="2"/>
      <c r="R71" s="7">
        <f t="shared" si="25"/>
        <v>2.3721029430784205E-3</v>
      </c>
      <c r="S71" s="2"/>
      <c r="T71" s="6">
        <v>16727.2</v>
      </c>
      <c r="U71" s="2"/>
      <c r="V71" s="7">
        <f t="shared" si="26"/>
        <v>8.4766788964790313E-3</v>
      </c>
      <c r="W71" s="2"/>
      <c r="X71" s="6">
        <f t="shared" si="27"/>
        <v>-12159.53</v>
      </c>
      <c r="Y71" s="2"/>
      <c r="Z71" s="7">
        <f t="shared" si="28"/>
        <v>-0.72693158448514994</v>
      </c>
    </row>
    <row r="72" spans="1:26" s="24" customFormat="1" hidden="1" outlineLevel="2" x14ac:dyDescent="0.25">
      <c r="A72" s="25"/>
      <c r="B72" s="11" t="str">
        <f>CONCATENATE("          ", "6005", " - ", "TEMPORARY WAGES-HOURLY")</f>
        <v xml:space="preserve">          6005 - TEMPORARY WAGES-HOURLY</v>
      </c>
      <c r="C72" s="11"/>
      <c r="D72" s="6">
        <v>2413.36</v>
      </c>
      <c r="E72" s="2"/>
      <c r="F72" s="7">
        <f t="shared" si="21"/>
        <v>9.1517803985288367E-3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2413.36</v>
      </c>
      <c r="M72" s="2"/>
      <c r="N72" s="7">
        <f t="shared" si="24"/>
        <v>0</v>
      </c>
      <c r="O72" s="11"/>
      <c r="P72" s="6">
        <v>26975.42</v>
      </c>
      <c r="Q72" s="2"/>
      <c r="R72" s="7">
        <f t="shared" si="25"/>
        <v>1.400899652837803E-2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26975.42</v>
      </c>
      <c r="Y72" s="2"/>
      <c r="Z72" s="7">
        <f t="shared" si="28"/>
        <v>0</v>
      </c>
    </row>
    <row r="73" spans="1:26" s="24" customFormat="1" hidden="1" outlineLevel="2" x14ac:dyDescent="0.25">
      <c r="A73" s="25"/>
      <c r="B73" s="11" t="str">
        <f>CONCATENATE("          ", "6006", " - ", "TEMPORARY PART TIME")</f>
        <v xml:space="preserve">          6006 - TEMPORARY PART TIME</v>
      </c>
      <c r="C73" s="11"/>
      <c r="D73" s="6">
        <v>412.82</v>
      </c>
      <c r="E73" s="2"/>
      <c r="F73" s="7">
        <f t="shared" si="21"/>
        <v>1.565468054546638E-3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412.82</v>
      </c>
      <c r="M73" s="2"/>
      <c r="N73" s="7">
        <f t="shared" si="24"/>
        <v>0</v>
      </c>
      <c r="O73" s="11"/>
      <c r="P73" s="6">
        <v>479.32</v>
      </c>
      <c r="Q73" s="2"/>
      <c r="R73" s="7">
        <f t="shared" si="25"/>
        <v>2.4892261977689902E-4</v>
      </c>
      <c r="S73" s="2"/>
      <c r="T73" s="6">
        <v>0</v>
      </c>
      <c r="U73" s="2"/>
      <c r="V73" s="7">
        <f t="shared" si="26"/>
        <v>0</v>
      </c>
      <c r="W73" s="2"/>
      <c r="X73" s="6">
        <f t="shared" si="27"/>
        <v>479.32</v>
      </c>
      <c r="Y73" s="2"/>
      <c r="Z73" s="7">
        <f t="shared" si="28"/>
        <v>0</v>
      </c>
    </row>
    <row r="74" spans="1:26" s="24" customFormat="1" hidden="1" outlineLevel="2" x14ac:dyDescent="0.25">
      <c r="A74" s="25"/>
      <c r="B74" s="11" t="str">
        <f>CONCATENATE("          ", "6007", " - ", "STUDENT HOURLY")</f>
        <v xml:space="preserve">          6007 - STUDENT HOURLY</v>
      </c>
      <c r="C74" s="11"/>
      <c r="D74" s="6">
        <v>10834.43</v>
      </c>
      <c r="E74" s="2"/>
      <c r="F74" s="7">
        <f t="shared" si="21"/>
        <v>4.1085591914688559E-2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10834.43</v>
      </c>
      <c r="M74" s="2"/>
      <c r="N74" s="7">
        <f t="shared" si="24"/>
        <v>0</v>
      </c>
      <c r="O74" s="11"/>
      <c r="P74" s="6">
        <v>99965.900000000009</v>
      </c>
      <c r="Q74" s="2"/>
      <c r="R74" s="7">
        <f t="shared" si="25"/>
        <v>5.1914741125668684E-2</v>
      </c>
      <c r="S74" s="2"/>
      <c r="T74" s="6">
        <v>22511.25</v>
      </c>
      <c r="U74" s="2"/>
      <c r="V74" s="7">
        <f t="shared" si="26"/>
        <v>1.1407805120304867E-2</v>
      </c>
      <c r="W74" s="2"/>
      <c r="X74" s="6">
        <f t="shared" si="27"/>
        <v>77454.650000000009</v>
      </c>
      <c r="Y74" s="2"/>
      <c r="Z74" s="7">
        <f t="shared" si="28"/>
        <v>3.4407085346215784</v>
      </c>
    </row>
    <row r="75" spans="1:26" s="24" customFormat="1" hidden="1" outlineLevel="2" x14ac:dyDescent="0.25">
      <c r="A75" s="25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1"/>
        <v>0</v>
      </c>
      <c r="G75" s="2"/>
      <c r="H75" s="6">
        <v>17170.740000000002</v>
      </c>
      <c r="I75" s="2"/>
      <c r="J75" s="7">
        <f t="shared" si="22"/>
        <v>5.3637275206402463E-2</v>
      </c>
      <c r="K75" s="2"/>
      <c r="L75" s="6">
        <f t="shared" si="23"/>
        <v>-17170.740000000002</v>
      </c>
      <c r="M75" s="2"/>
      <c r="N75" s="7">
        <f t="shared" si="24"/>
        <v>-1</v>
      </c>
      <c r="O75" s="11"/>
      <c r="P75" s="6">
        <v>195</v>
      </c>
      <c r="Q75" s="2"/>
      <c r="R75" s="7">
        <f t="shared" si="25"/>
        <v>1.0126827767774204E-4</v>
      </c>
      <c r="S75" s="2"/>
      <c r="T75" s="6">
        <v>83586.854999999996</v>
      </c>
      <c r="U75" s="2"/>
      <c r="V75" s="7">
        <f t="shared" si="26"/>
        <v>4.2358489753309143E-2</v>
      </c>
      <c r="W75" s="2"/>
      <c r="X75" s="6">
        <f t="shared" si="27"/>
        <v>-83391.854999999996</v>
      </c>
      <c r="Y75" s="2"/>
      <c r="Z75" s="7">
        <f t="shared" si="28"/>
        <v>-0.99766709729657854</v>
      </c>
    </row>
    <row r="76" spans="1:26" s="24" customFormat="1" hidden="1" outlineLevel="2" x14ac:dyDescent="0.25">
      <c r="A76" s="25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1"/>
        <v>0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0</v>
      </c>
      <c r="M77" s="2"/>
      <c r="N77" s="7">
        <f t="shared" si="24"/>
        <v>0</v>
      </c>
      <c r="O77" s="11"/>
      <c r="P77" s="6"/>
      <c r="Q77" s="2"/>
      <c r="R77" s="7">
        <f t="shared" si="25"/>
        <v>0</v>
      </c>
      <c r="S77" s="2"/>
      <c r="T77" s="6">
        <v>0</v>
      </c>
      <c r="U77" s="2"/>
      <c r="V77" s="7">
        <f t="shared" si="26"/>
        <v>0</v>
      </c>
      <c r="W77" s="2"/>
      <c r="X77" s="6">
        <f t="shared" si="27"/>
        <v>0</v>
      </c>
      <c r="Y77" s="2"/>
      <c r="Z77" s="7">
        <f t="shared" si="28"/>
        <v>0</v>
      </c>
    </row>
    <row r="78" spans="1:26" s="27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997.91</v>
      </c>
      <c r="E78" s="1"/>
      <c r="F78" s="5">
        <f t="shared" ref="F78:F82" si="29">IF(D$12=0,0,D78/D$12)</f>
        <v>3.7842067397718991E-3</v>
      </c>
      <c r="G78" s="1"/>
      <c r="H78" s="1">
        <f>SUM(OSRRefH22_2x_0)</f>
        <v>500</v>
      </c>
      <c r="I78" s="1"/>
      <c r="J78" s="5">
        <f t="shared" ref="J78:J82" si="30">IF(H$12=0,0,H78/H$12)</f>
        <v>1.5618801288238731E-3</v>
      </c>
      <c r="K78" s="1"/>
      <c r="L78" s="1">
        <f t="shared" ref="L78:L82" si="31">+D78-H78</f>
        <v>497.90999999999997</v>
      </c>
      <c r="M78" s="1"/>
      <c r="N78" s="5">
        <f t="shared" ref="N78:N82" si="32">IF(H78=0,0,L78/H78)</f>
        <v>0.99581999999999993</v>
      </c>
      <c r="O78" s="13"/>
      <c r="P78" s="1">
        <f>SUM(OSRRefP22_2x_0)</f>
        <v>18164.419999999998</v>
      </c>
      <c r="Q78" s="1"/>
      <c r="R78" s="5">
        <f t="shared" ref="R78:R82" si="33">IF(P$12=0,0,P78/P$12)</f>
        <v>9.4332283508468256E-3</v>
      </c>
      <c r="S78" s="1"/>
      <c r="T78" s="1">
        <f>SUM(OSRRefT22_2x_0)</f>
        <v>4100</v>
      </c>
      <c r="U78" s="1"/>
      <c r="V78" s="5">
        <f t="shared" ref="V78:V82" si="34">IF(T$12=0,0,T78/T$12)</f>
        <v>2.0777167413293333E-3</v>
      </c>
      <c r="W78" s="1"/>
      <c r="X78" s="1">
        <f t="shared" ref="X78:X82" si="35">+P78-T78</f>
        <v>14064.419999999998</v>
      </c>
      <c r="Y78" s="1"/>
      <c r="Z78" s="5">
        <f t="shared" ref="Z78:Z82" si="36">IF(T78=0,0,X78/T78)</f>
        <v>3.4303463414634141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6">
        <v>997.91</v>
      </c>
      <c r="E79" s="2"/>
      <c r="F79" s="7">
        <f t="shared" si="29"/>
        <v>3.7842067397718991E-3</v>
      </c>
      <c r="G79" s="2"/>
      <c r="H79" s="6">
        <v>500</v>
      </c>
      <c r="I79" s="2"/>
      <c r="J79" s="7">
        <f t="shared" si="30"/>
        <v>1.5618801288238731E-3</v>
      </c>
      <c r="K79" s="2"/>
      <c r="L79" s="6">
        <f t="shared" si="31"/>
        <v>497.90999999999997</v>
      </c>
      <c r="M79" s="2"/>
      <c r="N79" s="7">
        <f t="shared" si="32"/>
        <v>0.99581999999999993</v>
      </c>
      <c r="O79" s="11"/>
      <c r="P79" s="6">
        <v>18164.419999999998</v>
      </c>
      <c r="Q79" s="2"/>
      <c r="R79" s="7">
        <f t="shared" si="33"/>
        <v>9.4332283508468256E-3</v>
      </c>
      <c r="S79" s="2"/>
      <c r="T79" s="6">
        <v>4100</v>
      </c>
      <c r="U79" s="2"/>
      <c r="V79" s="7">
        <f t="shared" si="34"/>
        <v>2.0777167413293333E-3</v>
      </c>
      <c r="W79" s="2"/>
      <c r="X79" s="6">
        <f t="shared" si="35"/>
        <v>14064.419999999998</v>
      </c>
      <c r="Y79" s="2"/>
      <c r="Z79" s="7">
        <f t="shared" si="36"/>
        <v>3.4303463414634141</v>
      </c>
    </row>
    <row r="80" spans="1:26" s="27" customFormat="1" outlineLevel="1" collapsed="1" x14ac:dyDescent="0.25">
      <c r="A80" s="26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25210.75</v>
      </c>
      <c r="E80" s="1"/>
      <c r="F80" s="5">
        <f t="shared" si="29"/>
        <v>9.5602499288216791E-2</v>
      </c>
      <c r="G80" s="1"/>
      <c r="H80" s="1">
        <f>SUM(OSRRefH22_3x_0)</f>
        <v>21000</v>
      </c>
      <c r="I80" s="1"/>
      <c r="J80" s="5">
        <f t="shared" si="30"/>
        <v>6.5598965410602672E-2</v>
      </c>
      <c r="K80" s="1"/>
      <c r="L80" s="1">
        <f t="shared" si="31"/>
        <v>4210.75</v>
      </c>
      <c r="M80" s="1"/>
      <c r="N80" s="5">
        <f t="shared" si="32"/>
        <v>0.20051190476190475</v>
      </c>
      <c r="O80" s="13"/>
      <c r="P80" s="1">
        <f>SUM(OSRRefP22_3x_0)</f>
        <v>176490.23999999999</v>
      </c>
      <c r="Q80" s="1"/>
      <c r="R80" s="5">
        <f t="shared" si="33"/>
        <v>9.1655705803750431E-2</v>
      </c>
      <c r="S80" s="1"/>
      <c r="T80" s="1">
        <f>SUM(OSRRefT22_3x_0)</f>
        <v>179000</v>
      </c>
      <c r="U80" s="1"/>
      <c r="V80" s="5">
        <f t="shared" si="34"/>
        <v>9.0710072365353819E-2</v>
      </c>
      <c r="W80" s="1"/>
      <c r="X80" s="1">
        <f t="shared" si="35"/>
        <v>-2509.7600000000093</v>
      </c>
      <c r="Y80" s="1"/>
      <c r="Z80" s="5">
        <f t="shared" si="36"/>
        <v>-1.4021005586592231E-2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6">
        <v>25210.75</v>
      </c>
      <c r="E81" s="2"/>
      <c r="F81" s="7">
        <f t="shared" si="29"/>
        <v>9.5602499288216791E-2</v>
      </c>
      <c r="G81" s="2"/>
      <c r="H81" s="6">
        <v>21000</v>
      </c>
      <c r="I81" s="2"/>
      <c r="J81" s="7">
        <f t="shared" si="30"/>
        <v>6.5598965410602672E-2</v>
      </c>
      <c r="K81" s="2"/>
      <c r="L81" s="6">
        <f t="shared" si="31"/>
        <v>4210.75</v>
      </c>
      <c r="M81" s="2"/>
      <c r="N81" s="7">
        <f t="shared" si="32"/>
        <v>0.20051190476190475</v>
      </c>
      <c r="O81" s="11"/>
      <c r="P81" s="6">
        <v>176509.63</v>
      </c>
      <c r="Q81" s="2"/>
      <c r="R81" s="7">
        <f t="shared" si="33"/>
        <v>9.1665775505823111E-2</v>
      </c>
      <c r="S81" s="2"/>
      <c r="T81" s="6">
        <v>179000</v>
      </c>
      <c r="U81" s="2"/>
      <c r="V81" s="7">
        <f t="shared" si="34"/>
        <v>9.0710072365353819E-2</v>
      </c>
      <c r="W81" s="2"/>
      <c r="X81" s="6">
        <f t="shared" si="35"/>
        <v>-2490.3699999999953</v>
      </c>
      <c r="Y81" s="2"/>
      <c r="Z81" s="7">
        <f t="shared" si="36"/>
        <v>-1.3912681564245783E-2</v>
      </c>
    </row>
    <row r="82" spans="1:26" s="24" customFormat="1" hidden="1" outlineLevel="2" x14ac:dyDescent="0.25">
      <c r="A82" s="25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29"/>
        <v>0</v>
      </c>
      <c r="G82" s="2"/>
      <c r="H82" s="6"/>
      <c r="I82" s="2"/>
      <c r="J82" s="7">
        <f t="shared" si="30"/>
        <v>0</v>
      </c>
      <c r="K82" s="2"/>
      <c r="L82" s="6">
        <f t="shared" si="31"/>
        <v>0</v>
      </c>
      <c r="M82" s="2"/>
      <c r="N82" s="7">
        <f t="shared" si="32"/>
        <v>0</v>
      </c>
      <c r="O82" s="11"/>
      <c r="P82" s="6">
        <v>-19.39</v>
      </c>
      <c r="Q82" s="2"/>
      <c r="R82" s="7">
        <f t="shared" si="33"/>
        <v>-1.0069702072673939E-5</v>
      </c>
      <c r="S82" s="2"/>
      <c r="T82" s="6"/>
      <c r="U82" s="2"/>
      <c r="V82" s="7">
        <f t="shared" si="34"/>
        <v>0</v>
      </c>
      <c r="W82" s="2"/>
      <c r="X82" s="6">
        <f t="shared" si="35"/>
        <v>-19.39</v>
      </c>
      <c r="Y82" s="2"/>
      <c r="Z82" s="7">
        <f t="shared" si="36"/>
        <v>0</v>
      </c>
    </row>
    <row r="83" spans="1:26" s="27" customFormat="1" outlineLevel="1" collapsed="1" x14ac:dyDescent="0.25">
      <c r="A83" s="26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45.96</v>
      </c>
      <c r="E83" s="1"/>
      <c r="F83" s="5">
        <f t="shared" ref="F83:F87" si="37">IF(D$12=0,0,D83/D$12)</f>
        <v>1.7428640033662003E-4</v>
      </c>
      <c r="G83" s="1"/>
      <c r="H83" s="1">
        <f>SUM(OSRRefH22_4x_0)</f>
        <v>150</v>
      </c>
      <c r="I83" s="1"/>
      <c r="J83" s="5">
        <f t="shared" ref="J83:J87" si="38">IF(H$12=0,0,H83/H$12)</f>
        <v>4.685640386471619E-4</v>
      </c>
      <c r="K83" s="1"/>
      <c r="L83" s="1">
        <f t="shared" ref="L83:L87" si="39">+D83-H83</f>
        <v>-104.03999999999999</v>
      </c>
      <c r="M83" s="1"/>
      <c r="N83" s="5">
        <f t="shared" ref="N83:N87" si="40">IF(H83=0,0,L83/H83)</f>
        <v>-0.69359999999999999</v>
      </c>
      <c r="O83" s="13"/>
      <c r="P83" s="1">
        <f>SUM(OSRRefP22_4x_0)</f>
        <v>255.44</v>
      </c>
      <c r="Q83" s="1"/>
      <c r="R83" s="5">
        <f t="shared" ref="R83:R87" si="41">IF(P$12=0,0,P83/P$12)</f>
        <v>1.3265625051283296E-4</v>
      </c>
      <c r="S83" s="1"/>
      <c r="T83" s="1">
        <f>SUM(OSRRefT22_4x_0)</f>
        <v>1375</v>
      </c>
      <c r="U83" s="1"/>
      <c r="V83" s="5">
        <f t="shared" ref="V83:V87" si="42">IF(T$12=0,0,T83/T$12)</f>
        <v>6.9679524861654472E-4</v>
      </c>
      <c r="W83" s="1"/>
      <c r="X83" s="1">
        <f t="shared" ref="X83:X87" si="43">+P83-T83</f>
        <v>-1119.56</v>
      </c>
      <c r="Y83" s="1"/>
      <c r="Z83" s="5">
        <f t="shared" ref="Z83:Z87" si="44">IF(T83=0,0,X83/T83)</f>
        <v>-0.81422545454545447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6">
        <v>45.96</v>
      </c>
      <c r="E84" s="2"/>
      <c r="F84" s="7">
        <f t="shared" si="37"/>
        <v>1.7428640033662003E-4</v>
      </c>
      <c r="G84" s="2"/>
      <c r="H84" s="6">
        <v>150</v>
      </c>
      <c r="I84" s="2"/>
      <c r="J84" s="7">
        <f t="shared" si="38"/>
        <v>4.685640386471619E-4</v>
      </c>
      <c r="K84" s="2"/>
      <c r="L84" s="6">
        <f t="shared" si="39"/>
        <v>-104.03999999999999</v>
      </c>
      <c r="M84" s="2"/>
      <c r="N84" s="7">
        <f t="shared" si="40"/>
        <v>-0.69359999999999999</v>
      </c>
      <c r="O84" s="11"/>
      <c r="P84" s="6">
        <v>255.44</v>
      </c>
      <c r="Q84" s="2"/>
      <c r="R84" s="7">
        <f t="shared" si="41"/>
        <v>1.3265625051283296E-4</v>
      </c>
      <c r="S84" s="2"/>
      <c r="T84" s="6">
        <v>1375</v>
      </c>
      <c r="U84" s="2"/>
      <c r="V84" s="7">
        <f t="shared" si="42"/>
        <v>6.9679524861654472E-4</v>
      </c>
      <c r="W84" s="2"/>
      <c r="X84" s="6">
        <f t="shared" si="43"/>
        <v>-1119.56</v>
      </c>
      <c r="Y84" s="2"/>
      <c r="Z84" s="7">
        <f t="shared" si="44"/>
        <v>-0.81422545454545447</v>
      </c>
    </row>
    <row r="85" spans="1:26" s="27" customFormat="1" outlineLevel="1" collapsed="1" x14ac:dyDescent="0.25">
      <c r="A85" s="26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SUM(OSRRefD22_5x_0)</f>
        <v>0</v>
      </c>
      <c r="E85" s="1"/>
      <c r="F85" s="5">
        <f t="shared" si="37"/>
        <v>0</v>
      </c>
      <c r="G85" s="1"/>
      <c r="H85" s="1">
        <f>SUM(OSRRefH22_5x_0)</f>
        <v>50</v>
      </c>
      <c r="I85" s="1"/>
      <c r="J85" s="5">
        <f t="shared" si="38"/>
        <v>1.561880128823873E-4</v>
      </c>
      <c r="K85" s="1"/>
      <c r="L85" s="1">
        <f t="shared" si="39"/>
        <v>-50</v>
      </c>
      <c r="M85" s="1"/>
      <c r="N85" s="5">
        <f t="shared" si="40"/>
        <v>-1</v>
      </c>
      <c r="O85" s="13"/>
      <c r="P85" s="1">
        <f>SUM(OSRRefP22_5x_0)</f>
        <v>81.180000000000007</v>
      </c>
      <c r="Q85" s="1"/>
      <c r="R85" s="5">
        <f t="shared" si="41"/>
        <v>4.2158762983995379E-5</v>
      </c>
      <c r="S85" s="1"/>
      <c r="T85" s="1">
        <f>SUM(OSRRefT22_5x_0)</f>
        <v>400</v>
      </c>
      <c r="U85" s="1"/>
      <c r="V85" s="5">
        <f t="shared" si="42"/>
        <v>2.02704072324813E-4</v>
      </c>
      <c r="W85" s="1"/>
      <c r="X85" s="1">
        <f t="shared" si="43"/>
        <v>-318.82</v>
      </c>
      <c r="Y85" s="1"/>
      <c r="Z85" s="5">
        <f t="shared" si="44"/>
        <v>-0.79705000000000004</v>
      </c>
    </row>
    <row r="86" spans="1:26" s="24" customFormat="1" hidden="1" outlineLevel="2" x14ac:dyDescent="0.25">
      <c r="A86" s="25"/>
      <c r="B86" s="11" t="str">
        <f>CONCATENATE("          ", "6305", " - ", "FREIGHT OUT")</f>
        <v xml:space="preserve">          6305 - FREIGHT OUT</v>
      </c>
      <c r="C86" s="11"/>
      <c r="D86" s="6"/>
      <c r="E86" s="2"/>
      <c r="F86" s="7">
        <f t="shared" si="37"/>
        <v>0</v>
      </c>
      <c r="G86" s="2"/>
      <c r="H86" s="6">
        <v>50</v>
      </c>
      <c r="I86" s="2"/>
      <c r="J86" s="7">
        <f t="shared" si="38"/>
        <v>1.561880128823873E-4</v>
      </c>
      <c r="K86" s="2"/>
      <c r="L86" s="6">
        <f t="shared" si="39"/>
        <v>-50</v>
      </c>
      <c r="M86" s="2"/>
      <c r="N86" s="7">
        <f t="shared" si="40"/>
        <v>-1</v>
      </c>
      <c r="O86" s="11"/>
      <c r="P86" s="6">
        <v>80.680000000000007</v>
      </c>
      <c r="Q86" s="2"/>
      <c r="R86" s="7">
        <f t="shared" si="41"/>
        <v>4.1899100733539633E-5</v>
      </c>
      <c r="S86" s="2"/>
      <c r="T86" s="6">
        <v>400</v>
      </c>
      <c r="U86" s="2"/>
      <c r="V86" s="7">
        <f t="shared" si="42"/>
        <v>2.02704072324813E-4</v>
      </c>
      <c r="W86" s="2"/>
      <c r="X86" s="6">
        <f t="shared" si="43"/>
        <v>-319.32</v>
      </c>
      <c r="Y86" s="2"/>
      <c r="Z86" s="7">
        <f t="shared" si="44"/>
        <v>-0.79830000000000001</v>
      </c>
    </row>
    <row r="87" spans="1:26" s="24" customFormat="1" hidden="1" outlineLevel="2" x14ac:dyDescent="0.25">
      <c r="A87" s="25"/>
      <c r="B87" s="11" t="str">
        <f>CONCATENATE("          ", "6307", " - ", "POSTAGE")</f>
        <v xml:space="preserve">          6307 - POSTAGE</v>
      </c>
      <c r="C87" s="11"/>
      <c r="D87" s="6"/>
      <c r="E87" s="2"/>
      <c r="F87" s="7">
        <f t="shared" si="37"/>
        <v>0</v>
      </c>
      <c r="G87" s="2"/>
      <c r="H87" s="6"/>
      <c r="I87" s="2"/>
      <c r="J87" s="7">
        <f t="shared" si="38"/>
        <v>0</v>
      </c>
      <c r="K87" s="2"/>
      <c r="L87" s="6">
        <f t="shared" si="39"/>
        <v>0</v>
      </c>
      <c r="M87" s="2"/>
      <c r="N87" s="7">
        <f t="shared" si="40"/>
        <v>0</v>
      </c>
      <c r="O87" s="11"/>
      <c r="P87" s="6">
        <v>0.5</v>
      </c>
      <c r="Q87" s="2"/>
      <c r="R87" s="7">
        <f t="shared" si="41"/>
        <v>2.5966225045574882E-7</v>
      </c>
      <c r="S87" s="2"/>
      <c r="T87" s="6"/>
      <c r="U87" s="2"/>
      <c r="V87" s="7">
        <f t="shared" si="42"/>
        <v>0</v>
      </c>
      <c r="W87" s="2"/>
      <c r="X87" s="6">
        <f t="shared" si="43"/>
        <v>0.5</v>
      </c>
      <c r="Y87" s="2"/>
      <c r="Z87" s="7">
        <f t="shared" si="44"/>
        <v>0</v>
      </c>
    </row>
    <row r="88" spans="1:26" s="27" customFormat="1" outlineLevel="1" collapsed="1" x14ac:dyDescent="0.25">
      <c r="A88" s="26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SUM(OSRRefD22_6x_0)</f>
        <v>0</v>
      </c>
      <c r="E88" s="1"/>
      <c r="F88" s="5">
        <f t="shared" ref="F88:F99" si="45">IF(D$12=0,0,D88/D$12)</f>
        <v>0</v>
      </c>
      <c r="G88" s="1"/>
      <c r="H88" s="1">
        <f>SUM(OSRRefH22_6x_0)</f>
        <v>0</v>
      </c>
      <c r="I88" s="1"/>
      <c r="J88" s="5">
        <f t="shared" ref="J88:J99" si="46">IF(H$12=0,0,H88/H$12)</f>
        <v>0</v>
      </c>
      <c r="K88" s="1"/>
      <c r="L88" s="1">
        <f t="shared" ref="L88:L99" si="47">+D88-H88</f>
        <v>0</v>
      </c>
      <c r="M88" s="1"/>
      <c r="N88" s="5">
        <f t="shared" ref="N88:N99" si="48">IF(H88=0,0,L88/H88)</f>
        <v>0</v>
      </c>
      <c r="O88" s="13"/>
      <c r="P88" s="1">
        <f>SUM(OSRRefP22_6x_0)</f>
        <v>0</v>
      </c>
      <c r="Q88" s="1"/>
      <c r="R88" s="5">
        <f t="shared" ref="R88:R99" si="49">IF(P$12=0,0,P88/P$12)</f>
        <v>0</v>
      </c>
      <c r="S88" s="1"/>
      <c r="T88" s="1">
        <f>SUM(OSRRefT22_6x_0)</f>
        <v>250</v>
      </c>
      <c r="U88" s="1"/>
      <c r="V88" s="5">
        <f t="shared" ref="V88:V99" si="50">IF(T$12=0,0,T88/T$12)</f>
        <v>1.2669004520300813E-4</v>
      </c>
      <c r="W88" s="1"/>
      <c r="X88" s="1">
        <f t="shared" ref="X88:X99" si="51">+P88-T88</f>
        <v>-250</v>
      </c>
      <c r="Y88" s="1"/>
      <c r="Z88" s="5">
        <f t="shared" ref="Z88:Z99" si="52">IF(T88=0,0,X88/T88)</f>
        <v>-1</v>
      </c>
    </row>
    <row r="89" spans="1:26" s="24" customFormat="1" hidden="1" outlineLevel="2" x14ac:dyDescent="0.25">
      <c r="A89" s="25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45"/>
        <v>0</v>
      </c>
      <c r="G89" s="2"/>
      <c r="H89" s="6"/>
      <c r="I89" s="2"/>
      <c r="J89" s="7">
        <f t="shared" si="46"/>
        <v>0</v>
      </c>
      <c r="K89" s="2"/>
      <c r="L89" s="6">
        <f t="shared" si="47"/>
        <v>0</v>
      </c>
      <c r="M89" s="2"/>
      <c r="N89" s="7">
        <f t="shared" si="48"/>
        <v>0</v>
      </c>
      <c r="O89" s="11"/>
      <c r="P89" s="6"/>
      <c r="Q89" s="2"/>
      <c r="R89" s="7">
        <f t="shared" si="49"/>
        <v>0</v>
      </c>
      <c r="S89" s="2"/>
      <c r="T89" s="6">
        <v>250</v>
      </c>
      <c r="U89" s="2"/>
      <c r="V89" s="7">
        <f t="shared" si="50"/>
        <v>1.2669004520300813E-4</v>
      </c>
      <c r="W89" s="2"/>
      <c r="X89" s="6">
        <f t="shared" si="51"/>
        <v>-250</v>
      </c>
      <c r="Y89" s="2"/>
      <c r="Z89" s="7">
        <f t="shared" si="52"/>
        <v>-1</v>
      </c>
    </row>
    <row r="90" spans="1:26" s="27" customFormat="1" outlineLevel="1" collapsed="1" x14ac:dyDescent="0.25">
      <c r="A90" s="26"/>
      <c r="B90" s="13" t="str">
        <f>CONCATENATE("     ","Inventory Adjustment                              ")</f>
        <v xml:space="preserve">     Inventory Adjustment                              </v>
      </c>
      <c r="C90" s="13"/>
      <c r="D90" s="1">
        <f>SUM(OSRRefD22_7x_0)</f>
        <v>2850</v>
      </c>
      <c r="E90" s="1"/>
      <c r="F90" s="5">
        <f t="shared" si="45"/>
        <v>1.0807577044372652E-2</v>
      </c>
      <c r="G90" s="1"/>
      <c r="H90" s="1">
        <f>SUM(OSRRefH22_7x_0)</f>
        <v>2850</v>
      </c>
      <c r="I90" s="1"/>
      <c r="J90" s="5">
        <f t="shared" si="46"/>
        <v>8.9027167342960768E-3</v>
      </c>
      <c r="K90" s="1"/>
      <c r="L90" s="1">
        <f t="shared" si="47"/>
        <v>0</v>
      </c>
      <c r="M90" s="1"/>
      <c r="N90" s="5">
        <f t="shared" si="48"/>
        <v>0</v>
      </c>
      <c r="O90" s="13"/>
      <c r="P90" s="1">
        <f>SUM(OSRRefP22_7x_0)</f>
        <v>22800</v>
      </c>
      <c r="Q90" s="1"/>
      <c r="R90" s="5">
        <f t="shared" si="49"/>
        <v>1.1840598620782147E-2</v>
      </c>
      <c r="S90" s="1"/>
      <c r="T90" s="1">
        <f>SUM(OSRRefT22_7x_0)</f>
        <v>22800</v>
      </c>
      <c r="U90" s="1"/>
      <c r="V90" s="5">
        <f t="shared" si="50"/>
        <v>1.1554132122514341E-2</v>
      </c>
      <c r="W90" s="1"/>
      <c r="X90" s="1">
        <f t="shared" si="51"/>
        <v>0</v>
      </c>
      <c r="Y90" s="1"/>
      <c r="Z90" s="5">
        <f t="shared" si="52"/>
        <v>0</v>
      </c>
    </row>
    <row r="91" spans="1:26" s="24" customFormat="1" hidden="1" outlineLevel="2" x14ac:dyDescent="0.25">
      <c r="A91" s="25"/>
      <c r="B91" s="11" t="str">
        <f>CONCATENATE("          ", "6408", " - ", "INVENTORY ADJUSTMENT")</f>
        <v xml:space="preserve">          6408 - INVENTORY ADJUSTMENT</v>
      </c>
      <c r="C91" s="11"/>
      <c r="D91" s="6">
        <v>2850</v>
      </c>
      <c r="E91" s="2"/>
      <c r="F91" s="7">
        <f t="shared" si="45"/>
        <v>1.0807577044372652E-2</v>
      </c>
      <c r="G91" s="2"/>
      <c r="H91" s="6">
        <v>2850</v>
      </c>
      <c r="I91" s="2"/>
      <c r="J91" s="7">
        <f t="shared" si="46"/>
        <v>8.9027167342960768E-3</v>
      </c>
      <c r="K91" s="2"/>
      <c r="L91" s="6">
        <f t="shared" si="47"/>
        <v>0</v>
      </c>
      <c r="M91" s="2"/>
      <c r="N91" s="7">
        <f t="shared" si="48"/>
        <v>0</v>
      </c>
      <c r="O91" s="11"/>
      <c r="P91" s="6">
        <v>22800</v>
      </c>
      <c r="Q91" s="2"/>
      <c r="R91" s="7">
        <f t="shared" si="49"/>
        <v>1.1840598620782147E-2</v>
      </c>
      <c r="S91" s="2"/>
      <c r="T91" s="6">
        <v>22800</v>
      </c>
      <c r="U91" s="2"/>
      <c r="V91" s="7">
        <f t="shared" si="50"/>
        <v>1.1554132122514341E-2</v>
      </c>
      <c r="W91" s="2"/>
      <c r="X91" s="6">
        <f t="shared" si="51"/>
        <v>0</v>
      </c>
      <c r="Y91" s="2"/>
      <c r="Z91" s="7">
        <f t="shared" si="52"/>
        <v>0</v>
      </c>
    </row>
    <row r="92" spans="1:26" s="27" customFormat="1" outlineLevel="1" collapsed="1" x14ac:dyDescent="0.25">
      <c r="A92" s="26"/>
      <c r="B92" s="13" t="str">
        <f>CONCATENATE("     ","Professional Services                             ")</f>
        <v xml:space="preserve">     Professional Services                             </v>
      </c>
      <c r="C92" s="13"/>
      <c r="D92" s="1">
        <f>SUM(OSRRefD22_8x_0)</f>
        <v>0</v>
      </c>
      <c r="E92" s="1"/>
      <c r="F92" s="5">
        <f t="shared" si="45"/>
        <v>0</v>
      </c>
      <c r="G92" s="1"/>
      <c r="H92" s="1">
        <f>SUM(OSRRefH22_8x_0)</f>
        <v>0</v>
      </c>
      <c r="I92" s="1"/>
      <c r="J92" s="5">
        <f t="shared" si="46"/>
        <v>0</v>
      </c>
      <c r="K92" s="1"/>
      <c r="L92" s="1">
        <f t="shared" si="47"/>
        <v>0</v>
      </c>
      <c r="M92" s="1"/>
      <c r="N92" s="5">
        <f t="shared" si="48"/>
        <v>0</v>
      </c>
      <c r="O92" s="13"/>
      <c r="P92" s="1">
        <f>SUM(OSRRefP22_8x_0)</f>
        <v>0</v>
      </c>
      <c r="Q92" s="1"/>
      <c r="R92" s="5">
        <f t="shared" si="49"/>
        <v>0</v>
      </c>
      <c r="S92" s="1"/>
      <c r="T92" s="1">
        <f>SUM(OSRRefT22_8x_0)</f>
        <v>2000</v>
      </c>
      <c r="U92" s="1"/>
      <c r="V92" s="5">
        <f t="shared" si="50"/>
        <v>1.0135203616240651E-3</v>
      </c>
      <c r="W92" s="1"/>
      <c r="X92" s="1">
        <f t="shared" si="51"/>
        <v>-2000</v>
      </c>
      <c r="Y92" s="1"/>
      <c r="Z92" s="5">
        <f t="shared" si="52"/>
        <v>-1</v>
      </c>
    </row>
    <row r="93" spans="1:26" s="24" customFormat="1" hidden="1" outlineLevel="2" x14ac:dyDescent="0.25">
      <c r="A93" s="25"/>
      <c r="B93" s="11" t="str">
        <f>CONCATENATE("          ", "6336", " - ", "PROFESSIONAL SERVICES")</f>
        <v xml:space="preserve">          6336 - PROFESSIONAL SERVICES</v>
      </c>
      <c r="C93" s="11"/>
      <c r="D93" s="6"/>
      <c r="E93" s="2"/>
      <c r="F93" s="7">
        <f t="shared" si="45"/>
        <v>0</v>
      </c>
      <c r="G93" s="2"/>
      <c r="H93" s="6">
        <v>0</v>
      </c>
      <c r="I93" s="2"/>
      <c r="J93" s="7">
        <f t="shared" si="46"/>
        <v>0</v>
      </c>
      <c r="K93" s="2"/>
      <c r="L93" s="6">
        <f t="shared" si="47"/>
        <v>0</v>
      </c>
      <c r="M93" s="2"/>
      <c r="N93" s="7">
        <f t="shared" si="48"/>
        <v>0</v>
      </c>
      <c r="O93" s="11"/>
      <c r="P93" s="6"/>
      <c r="Q93" s="2"/>
      <c r="R93" s="7">
        <f t="shared" si="49"/>
        <v>0</v>
      </c>
      <c r="S93" s="2"/>
      <c r="T93" s="6">
        <v>2000</v>
      </c>
      <c r="U93" s="2"/>
      <c r="V93" s="7">
        <f t="shared" si="50"/>
        <v>1.0135203616240651E-3</v>
      </c>
      <c r="W93" s="2"/>
      <c r="X93" s="6">
        <f t="shared" si="51"/>
        <v>-2000</v>
      </c>
      <c r="Y93" s="2"/>
      <c r="Z93" s="7">
        <f t="shared" si="52"/>
        <v>-1</v>
      </c>
    </row>
    <row r="94" spans="1:26" s="27" customFormat="1" outlineLevel="1" collapsed="1" x14ac:dyDescent="0.25">
      <c r="A94" s="26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0</v>
      </c>
      <c r="E94" s="1"/>
      <c r="F94" s="5">
        <f t="shared" si="45"/>
        <v>0</v>
      </c>
      <c r="G94" s="1"/>
      <c r="H94" s="1">
        <f>SUM(OSRRefH22_9x_0)</f>
        <v>50</v>
      </c>
      <c r="I94" s="1"/>
      <c r="J94" s="5">
        <f t="shared" si="46"/>
        <v>1.561880128823873E-4</v>
      </c>
      <c r="K94" s="1"/>
      <c r="L94" s="1">
        <f t="shared" si="47"/>
        <v>-50</v>
      </c>
      <c r="M94" s="1"/>
      <c r="N94" s="5">
        <f t="shared" si="48"/>
        <v>-1</v>
      </c>
      <c r="O94" s="13"/>
      <c r="P94" s="1">
        <f>SUM(OSRRefP22_9x_0)</f>
        <v>0</v>
      </c>
      <c r="Q94" s="1"/>
      <c r="R94" s="5">
        <f t="shared" si="49"/>
        <v>0</v>
      </c>
      <c r="S94" s="1"/>
      <c r="T94" s="1">
        <f>SUM(OSRRefT22_9x_0)</f>
        <v>400</v>
      </c>
      <c r="U94" s="1"/>
      <c r="V94" s="5">
        <f t="shared" si="50"/>
        <v>2.02704072324813E-4</v>
      </c>
      <c r="W94" s="1"/>
      <c r="X94" s="1">
        <f t="shared" si="51"/>
        <v>-400</v>
      </c>
      <c r="Y94" s="1"/>
      <c r="Z94" s="5">
        <f t="shared" si="52"/>
        <v>-1</v>
      </c>
    </row>
    <row r="95" spans="1:26" s="24" customFormat="1" hidden="1" outlineLevel="2" x14ac:dyDescent="0.25">
      <c r="A95" s="25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45"/>
        <v>0</v>
      </c>
      <c r="G95" s="2"/>
      <c r="H95" s="6">
        <v>50</v>
      </c>
      <c r="I95" s="2"/>
      <c r="J95" s="7">
        <f t="shared" si="46"/>
        <v>1.561880128823873E-4</v>
      </c>
      <c r="K95" s="2"/>
      <c r="L95" s="6">
        <f t="shared" si="47"/>
        <v>-50</v>
      </c>
      <c r="M95" s="2"/>
      <c r="N95" s="7">
        <f t="shared" si="48"/>
        <v>-1</v>
      </c>
      <c r="O95" s="11"/>
      <c r="P95" s="6"/>
      <c r="Q95" s="2"/>
      <c r="R95" s="7">
        <f t="shared" si="49"/>
        <v>0</v>
      </c>
      <c r="S95" s="2"/>
      <c r="T95" s="6">
        <v>400</v>
      </c>
      <c r="U95" s="2"/>
      <c r="V95" s="7">
        <f t="shared" si="50"/>
        <v>2.02704072324813E-4</v>
      </c>
      <c r="W95" s="2"/>
      <c r="X95" s="6">
        <f t="shared" si="51"/>
        <v>-400</v>
      </c>
      <c r="Y95" s="2"/>
      <c r="Z95" s="7">
        <f t="shared" si="52"/>
        <v>-1</v>
      </c>
    </row>
    <row r="96" spans="1:26" s="27" customFormat="1" outlineLevel="1" collapsed="1" x14ac:dyDescent="0.25">
      <c r="A96" s="26"/>
      <c r="B96" s="13" t="str">
        <f>CONCATENATE("     ","Royalty &amp; Commissions                             ")</f>
        <v xml:space="preserve">     Royalty &amp; Commissions                             </v>
      </c>
      <c r="C96" s="13"/>
      <c r="D96" s="1">
        <f>SUM(OSRRefD22_10x_0)</f>
        <v>15749.59</v>
      </c>
      <c r="E96" s="1"/>
      <c r="F96" s="5">
        <f t="shared" si="45"/>
        <v>5.972452889202845E-2</v>
      </c>
      <c r="G96" s="1"/>
      <c r="H96" s="1">
        <f>SUM(OSRRefH22_10x_0)</f>
        <v>5485</v>
      </c>
      <c r="I96" s="1"/>
      <c r="J96" s="5">
        <f t="shared" si="46"/>
        <v>1.7133825013197886E-2</v>
      </c>
      <c r="K96" s="1"/>
      <c r="L96" s="1">
        <f t="shared" si="47"/>
        <v>10264.59</v>
      </c>
      <c r="M96" s="1"/>
      <c r="N96" s="5">
        <f t="shared" si="48"/>
        <v>1.8713928896991796</v>
      </c>
      <c r="O96" s="13"/>
      <c r="P96" s="1">
        <f>SUM(OSRRefP22_10x_0)</f>
        <v>23441.19</v>
      </c>
      <c r="Q96" s="1"/>
      <c r="R96" s="5">
        <f t="shared" si="49"/>
        <v>1.2173584297521588E-2</v>
      </c>
      <c r="S96" s="1"/>
      <c r="T96" s="1">
        <f>SUM(OSRRefT22_10x_0)</f>
        <v>43880</v>
      </c>
      <c r="U96" s="1"/>
      <c r="V96" s="5">
        <f t="shared" si="50"/>
        <v>2.2236636734031985E-2</v>
      </c>
      <c r="W96" s="1"/>
      <c r="X96" s="1">
        <f t="shared" si="51"/>
        <v>-20438.810000000001</v>
      </c>
      <c r="Y96" s="1"/>
      <c r="Z96" s="5">
        <f t="shared" si="52"/>
        <v>-0.46578874202370102</v>
      </c>
    </row>
    <row r="97" spans="1:26" s="24" customFormat="1" hidden="1" outlineLevel="2" x14ac:dyDescent="0.25">
      <c r="A97" s="25"/>
      <c r="B97" s="11" t="str">
        <f>CONCATENATE("          ", "6252", " - ", "ROYALTY DUE CSTV")</f>
        <v xml:space="preserve">          6252 - ROYALTY DUE CSTV</v>
      </c>
      <c r="C97" s="11"/>
      <c r="D97" s="6"/>
      <c r="E97" s="2"/>
      <c r="F97" s="7">
        <f t="shared" si="45"/>
        <v>0</v>
      </c>
      <c r="G97" s="2"/>
      <c r="H97" s="6">
        <v>1085</v>
      </c>
      <c r="I97" s="2"/>
      <c r="J97" s="7">
        <f t="shared" si="46"/>
        <v>3.3892798795478046E-3</v>
      </c>
      <c r="K97" s="2"/>
      <c r="L97" s="6">
        <f t="shared" si="47"/>
        <v>-1085</v>
      </c>
      <c r="M97" s="2"/>
      <c r="N97" s="7">
        <f t="shared" si="48"/>
        <v>-1</v>
      </c>
      <c r="O97" s="11"/>
      <c r="P97" s="6"/>
      <c r="Q97" s="2"/>
      <c r="R97" s="7">
        <f t="shared" si="49"/>
        <v>0</v>
      </c>
      <c r="S97" s="2"/>
      <c r="T97" s="6">
        <v>8680</v>
      </c>
      <c r="U97" s="2"/>
      <c r="V97" s="7">
        <f t="shared" si="50"/>
        <v>4.3986783694484419E-3</v>
      </c>
      <c r="W97" s="2"/>
      <c r="X97" s="6">
        <f t="shared" si="51"/>
        <v>-8680</v>
      </c>
      <c r="Y97" s="2"/>
      <c r="Z97" s="7">
        <f t="shared" si="52"/>
        <v>-1</v>
      </c>
    </row>
    <row r="98" spans="1:26" s="24" customFormat="1" hidden="1" outlineLevel="2" x14ac:dyDescent="0.25">
      <c r="A98" s="25"/>
      <c r="B98" s="11" t="str">
        <f>CONCATENATE("          ", "6253", " - ", "ROYALTY DUE ATHLETICS-LRG")</f>
        <v xml:space="preserve">          6253 - ROYALTY DUE ATHLETICS-LRG</v>
      </c>
      <c r="C98" s="11"/>
      <c r="D98" s="6">
        <v>12278.49</v>
      </c>
      <c r="E98" s="2"/>
      <c r="F98" s="7">
        <f t="shared" si="45"/>
        <v>4.6561658478441813E-2</v>
      </c>
      <c r="G98" s="2"/>
      <c r="H98" s="6">
        <v>3700</v>
      </c>
      <c r="I98" s="2"/>
      <c r="J98" s="7">
        <f t="shared" si="46"/>
        <v>1.155791295329666E-2</v>
      </c>
      <c r="K98" s="2"/>
      <c r="L98" s="6">
        <f t="shared" si="47"/>
        <v>8578.49</v>
      </c>
      <c r="M98" s="2"/>
      <c r="N98" s="7">
        <f t="shared" si="48"/>
        <v>2.3185108108108108</v>
      </c>
      <c r="O98" s="11"/>
      <c r="P98" s="6">
        <v>16645.439999999999</v>
      </c>
      <c r="Q98" s="2"/>
      <c r="R98" s="7">
        <f t="shared" si="49"/>
        <v>8.6443848204522788E-3</v>
      </c>
      <c r="S98" s="2"/>
      <c r="T98" s="6">
        <v>29600</v>
      </c>
      <c r="U98" s="2"/>
      <c r="V98" s="7">
        <f t="shared" si="50"/>
        <v>1.5000101352036162E-2</v>
      </c>
      <c r="W98" s="2"/>
      <c r="X98" s="6">
        <f t="shared" si="51"/>
        <v>-12954.560000000001</v>
      </c>
      <c r="Y98" s="2"/>
      <c r="Z98" s="7">
        <f t="shared" si="52"/>
        <v>-0.43765405405405411</v>
      </c>
    </row>
    <row r="99" spans="1:26" s="24" customFormat="1" hidden="1" outlineLevel="2" x14ac:dyDescent="0.25">
      <c r="A99" s="25"/>
      <c r="B99" s="11" t="str">
        <f>CONCATENATE("          ", "6254", " - ", "ROYALTY &amp; COMMISSIONS")</f>
        <v xml:space="preserve">          6254 - ROYALTY &amp; COMMISSIONS</v>
      </c>
      <c r="C99" s="11"/>
      <c r="D99" s="6">
        <v>3471.1</v>
      </c>
      <c r="E99" s="2"/>
      <c r="F99" s="7">
        <f t="shared" si="45"/>
        <v>1.3162870413586636E-2</v>
      </c>
      <c r="G99" s="2"/>
      <c r="H99" s="6">
        <v>700</v>
      </c>
      <c r="I99" s="2"/>
      <c r="J99" s="7">
        <f t="shared" si="46"/>
        <v>2.1866321803534223E-3</v>
      </c>
      <c r="K99" s="2"/>
      <c r="L99" s="6">
        <f t="shared" si="47"/>
        <v>2771.1</v>
      </c>
      <c r="M99" s="2"/>
      <c r="N99" s="7">
        <f t="shared" si="48"/>
        <v>3.9587142857142856</v>
      </c>
      <c r="O99" s="11"/>
      <c r="P99" s="6">
        <v>6795.75</v>
      </c>
      <c r="Q99" s="2"/>
      <c r="R99" s="7">
        <f t="shared" si="49"/>
        <v>3.5291994770693101E-3</v>
      </c>
      <c r="S99" s="2"/>
      <c r="T99" s="6">
        <v>5600</v>
      </c>
      <c r="U99" s="2"/>
      <c r="V99" s="7">
        <f t="shared" si="50"/>
        <v>2.837857012547382E-3</v>
      </c>
      <c r="W99" s="2"/>
      <c r="X99" s="6">
        <f t="shared" si="51"/>
        <v>1195.75</v>
      </c>
      <c r="Y99" s="2"/>
      <c r="Z99" s="7">
        <f t="shared" si="52"/>
        <v>0.21352678571428571</v>
      </c>
    </row>
    <row r="100" spans="1:26" s="27" customFormat="1" outlineLevel="1" collapsed="1" x14ac:dyDescent="0.25">
      <c r="A100" s="26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SUM(OSRRefD22_11x_0)</f>
        <v>122.93</v>
      </c>
      <c r="E100" s="1"/>
      <c r="F100" s="5">
        <f t="shared" ref="F100:F102" si="53">IF(D$12=0,0,D100/D$12)</f>
        <v>4.6616682318060708E-4</v>
      </c>
      <c r="G100" s="1"/>
      <c r="H100" s="1">
        <f>SUM(OSRRefH22_11x_0)</f>
        <v>400</v>
      </c>
      <c r="I100" s="1"/>
      <c r="J100" s="5">
        <f t="shared" ref="J100:J102" si="54">IF(H$12=0,0,H100/H$12)</f>
        <v>1.2495041030590984E-3</v>
      </c>
      <c r="K100" s="1"/>
      <c r="L100" s="1">
        <f t="shared" ref="L100:L102" si="55">+D100-H100</f>
        <v>-277.07</v>
      </c>
      <c r="M100" s="1"/>
      <c r="N100" s="5">
        <f t="shared" ref="N100:N102" si="56">IF(H100=0,0,L100/H100)</f>
        <v>-0.69267499999999993</v>
      </c>
      <c r="O100" s="13"/>
      <c r="P100" s="1">
        <f>SUM(OSRRefP22_11x_0)</f>
        <v>419.57</v>
      </c>
      <c r="Q100" s="1"/>
      <c r="R100" s="5">
        <f t="shared" ref="R100:R102" si="57">IF(P$12=0,0,P100/P$12)</f>
        <v>2.1789298084743706E-4</v>
      </c>
      <c r="S100" s="1"/>
      <c r="T100" s="1">
        <f>SUM(OSRRefT22_11x_0)</f>
        <v>3050</v>
      </c>
      <c r="U100" s="1"/>
      <c r="V100" s="5">
        <f t="shared" ref="V100:V102" si="58">IF(T$12=0,0,T100/T$12)</f>
        <v>1.5456185514766991E-3</v>
      </c>
      <c r="W100" s="1"/>
      <c r="X100" s="1">
        <f t="shared" ref="X100:X102" si="59">+P100-T100</f>
        <v>-2630.43</v>
      </c>
      <c r="Y100" s="1"/>
      <c r="Z100" s="5">
        <f t="shared" ref="Z100:Z102" si="60">IF(T100=0,0,X100/T100)</f>
        <v>-0.86243606557377039</v>
      </c>
    </row>
    <row r="101" spans="1:26" s="24" customFormat="1" hidden="1" outlineLevel="2" x14ac:dyDescent="0.25">
      <c r="A101" s="25"/>
      <c r="B101" s="11" t="str">
        <f>CONCATENATE("          ", "6258", " - ", "MEMBERSHIP DUES")</f>
        <v xml:space="preserve">          6258 - MEMBERSHIP DUES</v>
      </c>
      <c r="C101" s="11"/>
      <c r="D101" s="6">
        <v>122.93</v>
      </c>
      <c r="E101" s="2"/>
      <c r="F101" s="7">
        <f t="shared" si="53"/>
        <v>4.6616682318060708E-4</v>
      </c>
      <c r="G101" s="2"/>
      <c r="H101" s="6">
        <v>0</v>
      </c>
      <c r="I101" s="2"/>
      <c r="J101" s="7">
        <f t="shared" si="54"/>
        <v>0</v>
      </c>
      <c r="K101" s="2"/>
      <c r="L101" s="6">
        <f t="shared" si="55"/>
        <v>122.93</v>
      </c>
      <c r="M101" s="2"/>
      <c r="N101" s="7">
        <f t="shared" si="56"/>
        <v>0</v>
      </c>
      <c r="O101" s="11"/>
      <c r="P101" s="6">
        <v>122.93</v>
      </c>
      <c r="Q101" s="2"/>
      <c r="R101" s="7">
        <f t="shared" si="57"/>
        <v>6.3840560897050403E-5</v>
      </c>
      <c r="S101" s="2"/>
      <c r="T101" s="6">
        <v>1500</v>
      </c>
      <c r="U101" s="2"/>
      <c r="V101" s="7">
        <f t="shared" si="58"/>
        <v>7.6014027121804875E-4</v>
      </c>
      <c r="W101" s="2"/>
      <c r="X101" s="6">
        <f t="shared" si="59"/>
        <v>-1377.07</v>
      </c>
      <c r="Y101" s="2"/>
      <c r="Z101" s="7">
        <f t="shared" si="60"/>
        <v>-0.91804666666666668</v>
      </c>
    </row>
    <row r="102" spans="1:26" s="24" customFormat="1" hidden="1" outlineLevel="2" x14ac:dyDescent="0.25">
      <c r="A102" s="25"/>
      <c r="B102" s="11" t="str">
        <f>CONCATENATE("          ", "6275", " - ", "SUBSCRIPTIONS")</f>
        <v xml:space="preserve">          6275 - SUBSCRIPTIONS</v>
      </c>
      <c r="C102" s="11"/>
      <c r="D102" s="6"/>
      <c r="E102" s="2"/>
      <c r="F102" s="7">
        <f t="shared" si="53"/>
        <v>0</v>
      </c>
      <c r="G102" s="2"/>
      <c r="H102" s="6">
        <v>400</v>
      </c>
      <c r="I102" s="2"/>
      <c r="J102" s="7">
        <f t="shared" si="54"/>
        <v>1.2495041030590984E-3</v>
      </c>
      <c r="K102" s="2"/>
      <c r="L102" s="6">
        <f t="shared" si="55"/>
        <v>-400</v>
      </c>
      <c r="M102" s="2"/>
      <c r="N102" s="7">
        <f t="shared" si="56"/>
        <v>-1</v>
      </c>
      <c r="O102" s="11"/>
      <c r="P102" s="6">
        <v>296.64</v>
      </c>
      <c r="Q102" s="2"/>
      <c r="R102" s="7">
        <f t="shared" si="57"/>
        <v>1.5405241995038665E-4</v>
      </c>
      <c r="S102" s="2"/>
      <c r="T102" s="6">
        <v>1550</v>
      </c>
      <c r="U102" s="2"/>
      <c r="V102" s="7">
        <f t="shared" si="58"/>
        <v>7.8547828025865042E-4</v>
      </c>
      <c r="W102" s="2"/>
      <c r="X102" s="6">
        <f t="shared" si="59"/>
        <v>-1253.3600000000001</v>
      </c>
      <c r="Y102" s="2"/>
      <c r="Z102" s="7">
        <f t="shared" si="60"/>
        <v>-0.80861935483870973</v>
      </c>
    </row>
    <row r="103" spans="1:26" s="27" customFormat="1" outlineLevel="1" collapsed="1" x14ac:dyDescent="0.25">
      <c r="A103" s="26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SUM(OSRRefD22_12x_0)</f>
        <v>90.23</v>
      </c>
      <c r="E103" s="1"/>
      <c r="F103" s="5">
        <f t="shared" ref="F103:F108" si="61">IF(D$12=0,0,D103/D$12)</f>
        <v>3.421640970925419E-4</v>
      </c>
      <c r="G103" s="1"/>
      <c r="H103" s="1">
        <f>SUM(OSRRefH22_12x_0)</f>
        <v>625</v>
      </c>
      <c r="I103" s="1"/>
      <c r="J103" s="5">
        <f t="shared" ref="J103:J108" si="62">IF(H$12=0,0,H103/H$12)</f>
        <v>1.9523501610298412E-3</v>
      </c>
      <c r="K103" s="1"/>
      <c r="L103" s="1">
        <f t="shared" ref="L103:L108" si="63">+D103-H103</f>
        <v>-534.77</v>
      </c>
      <c r="M103" s="1"/>
      <c r="N103" s="5">
        <f t="shared" ref="N103:N108" si="64">IF(H103=0,0,L103/H103)</f>
        <v>-0.85563199999999995</v>
      </c>
      <c r="O103" s="13"/>
      <c r="P103" s="1">
        <f>SUM(OSRRefP22_12x_0)</f>
        <v>3342.61</v>
      </c>
      <c r="Q103" s="1"/>
      <c r="R103" s="5">
        <f t="shared" ref="R103:R108" si="65">IF(P$12=0,0,P103/P$12)</f>
        <v>1.7358992699917813E-3</v>
      </c>
      <c r="S103" s="1"/>
      <c r="T103" s="1">
        <f>SUM(OSRRefT22_12x_0)</f>
        <v>8600</v>
      </c>
      <c r="U103" s="1"/>
      <c r="V103" s="5">
        <f t="shared" ref="V103:V108" si="66">IF(T$12=0,0,T103/T$12)</f>
        <v>4.35813755498348E-3</v>
      </c>
      <c r="W103" s="1"/>
      <c r="X103" s="1">
        <f t="shared" ref="X103:X108" si="67">+P103-T103</f>
        <v>-5257.3899999999994</v>
      </c>
      <c r="Y103" s="1"/>
      <c r="Z103" s="5">
        <f t="shared" ref="Z103:Z108" si="68">IF(T103=0,0,X103/T103)</f>
        <v>-0.61132441860465114</v>
      </c>
    </row>
    <row r="104" spans="1:26" s="24" customFormat="1" hidden="1" outlineLevel="2" x14ac:dyDescent="0.25">
      <c r="A104" s="25"/>
      <c r="B104" s="11" t="str">
        <f>CONCATENATE("          ", "6234", " - ", "EXPENDABLE SUPPLIES &amp; EQUIPMEN")</f>
        <v xml:space="preserve">          6234 - EXPENDABLE SUPPLIES &amp; EQUIPMEN</v>
      </c>
      <c r="C104" s="11"/>
      <c r="D104" s="6"/>
      <c r="E104" s="2"/>
      <c r="F104" s="7">
        <f t="shared" si="61"/>
        <v>0</v>
      </c>
      <c r="G104" s="2"/>
      <c r="H104" s="6">
        <v>200</v>
      </c>
      <c r="I104" s="2"/>
      <c r="J104" s="7">
        <f t="shared" si="62"/>
        <v>6.2475205152954919E-4</v>
      </c>
      <c r="K104" s="2"/>
      <c r="L104" s="6">
        <f t="shared" si="63"/>
        <v>-200</v>
      </c>
      <c r="M104" s="2"/>
      <c r="N104" s="7">
        <f t="shared" si="64"/>
        <v>-1</v>
      </c>
      <c r="O104" s="11"/>
      <c r="P104" s="6">
        <v>532.28</v>
      </c>
      <c r="Q104" s="2"/>
      <c r="R104" s="7">
        <f t="shared" si="65"/>
        <v>2.7642604534517193E-4</v>
      </c>
      <c r="S104" s="2"/>
      <c r="T104" s="6">
        <v>4900</v>
      </c>
      <c r="U104" s="2"/>
      <c r="V104" s="7">
        <f t="shared" si="66"/>
        <v>2.4831248859789592E-3</v>
      </c>
      <c r="W104" s="2"/>
      <c r="X104" s="6">
        <f t="shared" si="67"/>
        <v>-4367.72</v>
      </c>
      <c r="Y104" s="2"/>
      <c r="Z104" s="7">
        <f t="shared" si="68"/>
        <v>-0.89137142857142859</v>
      </c>
    </row>
    <row r="105" spans="1:26" s="24" customFormat="1" hidden="1" outlineLevel="2" x14ac:dyDescent="0.25">
      <c r="A105" s="25"/>
      <c r="B105" s="11" t="str">
        <f>CONCATENATE("          ", "6237", " - ", "JANITORIAL SUPPLIES")</f>
        <v xml:space="preserve">          6237 - JANITORIAL SUPPLIES</v>
      </c>
      <c r="C105" s="11"/>
      <c r="D105" s="6"/>
      <c r="E105" s="2"/>
      <c r="F105" s="7">
        <f t="shared" si="61"/>
        <v>0</v>
      </c>
      <c r="G105" s="2"/>
      <c r="H105" s="6">
        <v>25</v>
      </c>
      <c r="I105" s="2"/>
      <c r="J105" s="7">
        <f t="shared" si="62"/>
        <v>7.8094006441193649E-5</v>
      </c>
      <c r="K105" s="2"/>
      <c r="L105" s="6">
        <f t="shared" si="63"/>
        <v>-25</v>
      </c>
      <c r="M105" s="2"/>
      <c r="N105" s="7">
        <f t="shared" si="64"/>
        <v>-1</v>
      </c>
      <c r="O105" s="11"/>
      <c r="P105" s="6"/>
      <c r="Q105" s="2"/>
      <c r="R105" s="7">
        <f t="shared" si="65"/>
        <v>0</v>
      </c>
      <c r="S105" s="2"/>
      <c r="T105" s="6">
        <v>200</v>
      </c>
      <c r="U105" s="2"/>
      <c r="V105" s="7">
        <f t="shared" si="66"/>
        <v>1.013520361624065E-4</v>
      </c>
      <c r="W105" s="2"/>
      <c r="X105" s="6">
        <f t="shared" si="67"/>
        <v>-200</v>
      </c>
      <c r="Y105" s="2"/>
      <c r="Z105" s="7">
        <f t="shared" si="68"/>
        <v>-1</v>
      </c>
    </row>
    <row r="106" spans="1:26" s="24" customFormat="1" hidden="1" outlineLevel="2" x14ac:dyDescent="0.25">
      <c r="A106" s="25"/>
      <c r="B106" s="11" t="str">
        <f>CONCATENATE("          ", "6241", " - ", "OFFICE EXPENSE")</f>
        <v xml:space="preserve">          6241 - OFFICE EXPENSE</v>
      </c>
      <c r="C106" s="11"/>
      <c r="D106" s="6">
        <v>90.23</v>
      </c>
      <c r="E106" s="2"/>
      <c r="F106" s="7">
        <f t="shared" si="61"/>
        <v>3.421640970925419E-4</v>
      </c>
      <c r="G106" s="2"/>
      <c r="H106" s="6">
        <v>200</v>
      </c>
      <c r="I106" s="2"/>
      <c r="J106" s="7">
        <f t="shared" si="62"/>
        <v>6.2475205152954919E-4</v>
      </c>
      <c r="K106" s="2"/>
      <c r="L106" s="6">
        <f t="shared" si="63"/>
        <v>-109.77</v>
      </c>
      <c r="M106" s="2"/>
      <c r="N106" s="7">
        <f t="shared" si="64"/>
        <v>-0.54884999999999995</v>
      </c>
      <c r="O106" s="11"/>
      <c r="P106" s="6">
        <v>2576.27</v>
      </c>
      <c r="Q106" s="2"/>
      <c r="R106" s="7">
        <f t="shared" si="65"/>
        <v>1.3379201319632639E-3</v>
      </c>
      <c r="S106" s="2"/>
      <c r="T106" s="6">
        <v>1600</v>
      </c>
      <c r="U106" s="2"/>
      <c r="V106" s="7">
        <f t="shared" si="66"/>
        <v>8.1081628929925199E-4</v>
      </c>
      <c r="W106" s="2"/>
      <c r="X106" s="6">
        <f t="shared" si="67"/>
        <v>976.27</v>
      </c>
      <c r="Y106" s="2"/>
      <c r="Z106" s="7">
        <f t="shared" si="68"/>
        <v>0.61016875000000004</v>
      </c>
    </row>
    <row r="107" spans="1:26" s="24" customFormat="1" hidden="1" outlineLevel="2" x14ac:dyDescent="0.25">
      <c r="A107" s="25"/>
      <c r="B107" s="11" t="str">
        <f>CONCATENATE("          ", "6245", " - ", "PRINTING")</f>
        <v xml:space="preserve">          6245 - PRINTING</v>
      </c>
      <c r="C107" s="11"/>
      <c r="D107" s="6"/>
      <c r="E107" s="2"/>
      <c r="F107" s="7">
        <f t="shared" si="61"/>
        <v>0</v>
      </c>
      <c r="G107" s="2"/>
      <c r="H107" s="6"/>
      <c r="I107" s="2"/>
      <c r="J107" s="7">
        <f t="shared" si="62"/>
        <v>0</v>
      </c>
      <c r="K107" s="2"/>
      <c r="L107" s="6">
        <f t="shared" si="63"/>
        <v>0</v>
      </c>
      <c r="M107" s="2"/>
      <c r="N107" s="7">
        <f t="shared" si="64"/>
        <v>0</v>
      </c>
      <c r="O107" s="11"/>
      <c r="P107" s="6">
        <v>-528.98</v>
      </c>
      <c r="Q107" s="2"/>
      <c r="R107" s="7">
        <f t="shared" si="65"/>
        <v>-2.7471227449216401E-4</v>
      </c>
      <c r="S107" s="2"/>
      <c r="T107" s="6"/>
      <c r="U107" s="2"/>
      <c r="V107" s="7">
        <f t="shared" si="66"/>
        <v>0</v>
      </c>
      <c r="W107" s="2"/>
      <c r="X107" s="6">
        <f t="shared" si="67"/>
        <v>-528.98</v>
      </c>
      <c r="Y107" s="2"/>
      <c r="Z107" s="7">
        <f t="shared" si="68"/>
        <v>0</v>
      </c>
    </row>
    <row r="108" spans="1:26" s="24" customFormat="1" hidden="1" outlineLevel="2" x14ac:dyDescent="0.25">
      <c r="A108" s="25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61"/>
        <v>0</v>
      </c>
      <c r="G108" s="2"/>
      <c r="H108" s="6">
        <v>200</v>
      </c>
      <c r="I108" s="2"/>
      <c r="J108" s="7">
        <f t="shared" si="62"/>
        <v>6.2475205152954919E-4</v>
      </c>
      <c r="K108" s="2"/>
      <c r="L108" s="6">
        <f t="shared" si="63"/>
        <v>-200</v>
      </c>
      <c r="M108" s="2"/>
      <c r="N108" s="7">
        <f t="shared" si="64"/>
        <v>-1</v>
      </c>
      <c r="O108" s="11"/>
      <c r="P108" s="6">
        <v>763.04</v>
      </c>
      <c r="Q108" s="2"/>
      <c r="R108" s="7">
        <f t="shared" si="65"/>
        <v>3.9626536717550916E-4</v>
      </c>
      <c r="S108" s="2"/>
      <c r="T108" s="6">
        <v>1900</v>
      </c>
      <c r="U108" s="2"/>
      <c r="V108" s="7">
        <f t="shared" si="66"/>
        <v>9.6284434354286183E-4</v>
      </c>
      <c r="W108" s="2"/>
      <c r="X108" s="6">
        <f t="shared" si="67"/>
        <v>-1136.96</v>
      </c>
      <c r="Y108" s="2"/>
      <c r="Z108" s="7">
        <f t="shared" si="68"/>
        <v>-0.59840000000000004</v>
      </c>
    </row>
    <row r="109" spans="1:26" s="27" customFormat="1" outlineLevel="1" collapsed="1" x14ac:dyDescent="0.25">
      <c r="A109" s="26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SUM(OSRRefD22_13x_0)</f>
        <v>827.58</v>
      </c>
      <c r="E109" s="1"/>
      <c r="F109" s="5">
        <f t="shared" ref="F109:F115" si="69">IF(D$12=0,0,D109/D$12)</f>
        <v>3.1382928457480419E-3</v>
      </c>
      <c r="G109" s="1"/>
      <c r="H109" s="1">
        <f>SUM(OSRRefH22_13x_0)</f>
        <v>750</v>
      </c>
      <c r="I109" s="1"/>
      <c r="J109" s="5">
        <f t="shared" ref="J109:J115" si="70">IF(H$12=0,0,H109/H$12)</f>
        <v>2.3428201932358095E-3</v>
      </c>
      <c r="K109" s="1"/>
      <c r="L109" s="1">
        <f t="shared" ref="L109:L115" si="71">+D109-H109</f>
        <v>77.580000000000041</v>
      </c>
      <c r="M109" s="1"/>
      <c r="N109" s="5">
        <f t="shared" ref="N109:N115" si="72">IF(H109=0,0,L109/H109)</f>
        <v>0.10344000000000006</v>
      </c>
      <c r="O109" s="13"/>
      <c r="P109" s="1">
        <f>SUM(OSRRefP22_13x_0)</f>
        <v>4712.62</v>
      </c>
      <c r="Q109" s="1"/>
      <c r="R109" s="5">
        <f t="shared" ref="R109:R115" si="73">IF(P$12=0,0,P109/P$12)</f>
        <v>2.447379029485542E-3</v>
      </c>
      <c r="S109" s="1"/>
      <c r="T109" s="1">
        <f>SUM(OSRRefT22_13x_0)</f>
        <v>4650</v>
      </c>
      <c r="U109" s="1"/>
      <c r="V109" s="5">
        <f t="shared" ref="V109:V115" si="74">IF(T$12=0,0,T109/T$12)</f>
        <v>2.3564348407759512E-3</v>
      </c>
      <c r="W109" s="1"/>
      <c r="X109" s="1">
        <f t="shared" ref="X109:X115" si="75">+P109-T109</f>
        <v>62.619999999999891</v>
      </c>
      <c r="Y109" s="1"/>
      <c r="Z109" s="5">
        <f t="shared" ref="Z109:Z115" si="76">IF(T109=0,0,X109/T109)</f>
        <v>1.3466666666666642E-2</v>
      </c>
    </row>
    <row r="110" spans="1:26" s="24" customFormat="1" hidden="1" outlineLevel="2" x14ac:dyDescent="0.25">
      <c r="A110" s="25"/>
      <c r="B110" s="11" t="str">
        <f>CONCATENATE("          ", "6309", " - ", "TELEPHONE")</f>
        <v xml:space="preserve">          6309 - TELEPHONE</v>
      </c>
      <c r="C110" s="11"/>
      <c r="D110" s="6">
        <v>827.58</v>
      </c>
      <c r="E110" s="2"/>
      <c r="F110" s="7">
        <f t="shared" si="69"/>
        <v>3.1382928457480419E-3</v>
      </c>
      <c r="G110" s="2"/>
      <c r="H110" s="6">
        <v>750</v>
      </c>
      <c r="I110" s="2"/>
      <c r="J110" s="7">
        <f t="shared" si="70"/>
        <v>2.3428201932358095E-3</v>
      </c>
      <c r="K110" s="2"/>
      <c r="L110" s="6">
        <f t="shared" si="71"/>
        <v>77.580000000000041</v>
      </c>
      <c r="M110" s="2"/>
      <c r="N110" s="7">
        <f t="shared" si="72"/>
        <v>0.10344000000000006</v>
      </c>
      <c r="O110" s="11"/>
      <c r="P110" s="6">
        <v>4712.62</v>
      </c>
      <c r="Q110" s="2"/>
      <c r="R110" s="7">
        <f t="shared" si="73"/>
        <v>2.447379029485542E-3</v>
      </c>
      <c r="S110" s="2"/>
      <c r="T110" s="6">
        <v>4650</v>
      </c>
      <c r="U110" s="2"/>
      <c r="V110" s="7">
        <f t="shared" si="74"/>
        <v>2.3564348407759512E-3</v>
      </c>
      <c r="W110" s="2"/>
      <c r="X110" s="6">
        <f t="shared" si="75"/>
        <v>62.619999999999891</v>
      </c>
      <c r="Y110" s="2"/>
      <c r="Z110" s="7">
        <f t="shared" si="76"/>
        <v>1.3466666666666642E-2</v>
      </c>
    </row>
    <row r="111" spans="1:26" s="27" customFormat="1" outlineLevel="1" collapsed="1" x14ac:dyDescent="0.25">
      <c r="A111" s="26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SUM(OSRRefD22_14x_0)</f>
        <v>1515.57</v>
      </c>
      <c r="E111" s="1"/>
      <c r="F111" s="5">
        <f t="shared" si="69"/>
        <v>5.7472419442596004E-3</v>
      </c>
      <c r="G111" s="1"/>
      <c r="H111" s="1">
        <f>SUM(OSRRefH22_14x_0)</f>
        <v>1000</v>
      </c>
      <c r="I111" s="1"/>
      <c r="J111" s="5">
        <f t="shared" si="70"/>
        <v>3.1237602576477462E-3</v>
      </c>
      <c r="K111" s="1"/>
      <c r="L111" s="1">
        <f t="shared" si="71"/>
        <v>515.56999999999994</v>
      </c>
      <c r="M111" s="1"/>
      <c r="N111" s="5">
        <f t="shared" si="72"/>
        <v>0.51556999999999997</v>
      </c>
      <c r="O111" s="13"/>
      <c r="P111" s="1">
        <f>SUM(OSRRefP22_14x_0)</f>
        <v>2894.75</v>
      </c>
      <c r="Q111" s="1"/>
      <c r="R111" s="5">
        <f t="shared" si="73"/>
        <v>1.5033145990135577E-3</v>
      </c>
      <c r="S111" s="1"/>
      <c r="T111" s="1">
        <f>SUM(OSRRefT22_14x_0)</f>
        <v>4500</v>
      </c>
      <c r="U111" s="1"/>
      <c r="V111" s="5">
        <f t="shared" si="74"/>
        <v>2.2804208136541462E-3</v>
      </c>
      <c r="W111" s="1"/>
      <c r="X111" s="1">
        <f t="shared" si="75"/>
        <v>-1605.25</v>
      </c>
      <c r="Y111" s="1"/>
      <c r="Z111" s="5">
        <f t="shared" si="76"/>
        <v>-0.35672222222222222</v>
      </c>
    </row>
    <row r="112" spans="1:26" s="24" customFormat="1" hidden="1" outlineLevel="2" x14ac:dyDescent="0.25">
      <c r="A112" s="25"/>
      <c r="B112" s="11" t="str">
        <f>CONCATENATE("          ", "6376", " - ", "TRAINING")</f>
        <v xml:space="preserve">          6376 - TRAINING</v>
      </c>
      <c r="C112" s="11"/>
      <c r="D112" s="6">
        <v>1515.57</v>
      </c>
      <c r="E112" s="2"/>
      <c r="F112" s="7">
        <f t="shared" si="69"/>
        <v>5.7472419442596004E-3</v>
      </c>
      <c r="G112" s="2"/>
      <c r="H112" s="6">
        <v>1000</v>
      </c>
      <c r="I112" s="2"/>
      <c r="J112" s="7">
        <f t="shared" si="70"/>
        <v>3.1237602576477462E-3</v>
      </c>
      <c r="K112" s="2"/>
      <c r="L112" s="6">
        <f t="shared" si="71"/>
        <v>515.56999999999994</v>
      </c>
      <c r="M112" s="2"/>
      <c r="N112" s="7">
        <f t="shared" si="72"/>
        <v>0.51556999999999997</v>
      </c>
      <c r="O112" s="11"/>
      <c r="P112" s="6">
        <v>2894.75</v>
      </c>
      <c r="Q112" s="2"/>
      <c r="R112" s="7">
        <f t="shared" si="73"/>
        <v>1.5033145990135577E-3</v>
      </c>
      <c r="S112" s="2"/>
      <c r="T112" s="6">
        <v>4500</v>
      </c>
      <c r="U112" s="2"/>
      <c r="V112" s="7">
        <f t="shared" si="74"/>
        <v>2.2804208136541462E-3</v>
      </c>
      <c r="W112" s="2"/>
      <c r="X112" s="6">
        <f t="shared" si="75"/>
        <v>-1605.25</v>
      </c>
      <c r="Y112" s="2"/>
      <c r="Z112" s="7">
        <f t="shared" si="76"/>
        <v>-0.35672222222222222</v>
      </c>
    </row>
    <row r="113" spans="1:26" s="27" customFormat="1" outlineLevel="1" collapsed="1" x14ac:dyDescent="0.25">
      <c r="A113" s="26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SUM(OSRRefD22_15x_0)</f>
        <v>0</v>
      </c>
      <c r="E113" s="1"/>
      <c r="F113" s="5">
        <f t="shared" si="69"/>
        <v>0</v>
      </c>
      <c r="G113" s="1"/>
      <c r="H113" s="1">
        <f>SUM(OSRRefH22_15x_0)</f>
        <v>50</v>
      </c>
      <c r="I113" s="1"/>
      <c r="J113" s="5">
        <f t="shared" si="70"/>
        <v>1.561880128823873E-4</v>
      </c>
      <c r="K113" s="1"/>
      <c r="L113" s="1">
        <f t="shared" si="71"/>
        <v>-50</v>
      </c>
      <c r="M113" s="1"/>
      <c r="N113" s="5">
        <f t="shared" si="72"/>
        <v>-1</v>
      </c>
      <c r="O113" s="13"/>
      <c r="P113" s="1">
        <f>SUM(OSRRefP22_15x_0)</f>
        <v>-99.159999999999982</v>
      </c>
      <c r="Q113" s="1"/>
      <c r="R113" s="5">
        <f t="shared" si="73"/>
        <v>-5.1496217510384097E-5</v>
      </c>
      <c r="S113" s="1"/>
      <c r="T113" s="1">
        <f>SUM(OSRRefT22_15x_0)</f>
        <v>400</v>
      </c>
      <c r="U113" s="1"/>
      <c r="V113" s="5">
        <f t="shared" si="74"/>
        <v>2.02704072324813E-4</v>
      </c>
      <c r="W113" s="1"/>
      <c r="X113" s="1">
        <f t="shared" si="75"/>
        <v>-499.15999999999997</v>
      </c>
      <c r="Y113" s="1"/>
      <c r="Z113" s="5">
        <f t="shared" si="76"/>
        <v>-1.2479</v>
      </c>
    </row>
    <row r="114" spans="1:26" s="24" customFormat="1" hidden="1" outlineLevel="2" x14ac:dyDescent="0.25">
      <c r="A114" s="25"/>
      <c r="B114" s="11" t="str">
        <f>CONCATENATE("          ", "6292", " - ", "TRAVEL/CONFERENCE")</f>
        <v xml:space="preserve">          6292 - TRAVEL/CONFERENCE</v>
      </c>
      <c r="C114" s="11"/>
      <c r="D114" s="6"/>
      <c r="E114" s="2"/>
      <c r="F114" s="7">
        <f t="shared" si="69"/>
        <v>0</v>
      </c>
      <c r="G114" s="2"/>
      <c r="H114" s="6"/>
      <c r="I114" s="2"/>
      <c r="J114" s="7">
        <f t="shared" si="70"/>
        <v>0</v>
      </c>
      <c r="K114" s="2"/>
      <c r="L114" s="6">
        <f t="shared" si="71"/>
        <v>0</v>
      </c>
      <c r="M114" s="2"/>
      <c r="N114" s="7">
        <f t="shared" si="72"/>
        <v>0</v>
      </c>
      <c r="O114" s="11"/>
      <c r="P114" s="6">
        <v>107.04</v>
      </c>
      <c r="Q114" s="2"/>
      <c r="R114" s="7">
        <f t="shared" si="73"/>
        <v>5.558849457756671E-5</v>
      </c>
      <c r="S114" s="2"/>
      <c r="T114" s="6"/>
      <c r="U114" s="2"/>
      <c r="V114" s="7">
        <f t="shared" si="74"/>
        <v>0</v>
      </c>
      <c r="W114" s="2"/>
      <c r="X114" s="6">
        <f t="shared" si="75"/>
        <v>107.04</v>
      </c>
      <c r="Y114" s="2"/>
      <c r="Z114" s="7">
        <f t="shared" si="76"/>
        <v>0</v>
      </c>
    </row>
    <row r="115" spans="1:26" s="24" customFormat="1" hidden="1" outlineLevel="2" x14ac:dyDescent="0.25">
      <c r="A115" s="25"/>
      <c r="B115" s="11" t="str">
        <f>CONCATENATE("          ", "6294", " - ", "TRAVEL OPERATIONAL")</f>
        <v xml:space="preserve">          6294 - TRAVEL OPERATIONAL</v>
      </c>
      <c r="C115" s="11"/>
      <c r="D115" s="6"/>
      <c r="E115" s="2"/>
      <c r="F115" s="7">
        <f t="shared" si="69"/>
        <v>0</v>
      </c>
      <c r="G115" s="2"/>
      <c r="H115" s="6">
        <v>50</v>
      </c>
      <c r="I115" s="2"/>
      <c r="J115" s="7">
        <f t="shared" si="70"/>
        <v>1.561880128823873E-4</v>
      </c>
      <c r="K115" s="2"/>
      <c r="L115" s="6">
        <f t="shared" si="71"/>
        <v>-50</v>
      </c>
      <c r="M115" s="2"/>
      <c r="N115" s="7">
        <f t="shared" si="72"/>
        <v>-1</v>
      </c>
      <c r="O115" s="11"/>
      <c r="P115" s="6">
        <v>-206.2</v>
      </c>
      <c r="Q115" s="2"/>
      <c r="R115" s="7">
        <f t="shared" si="73"/>
        <v>-1.0708471208795081E-4</v>
      </c>
      <c r="S115" s="2"/>
      <c r="T115" s="6">
        <v>400</v>
      </c>
      <c r="U115" s="2"/>
      <c r="V115" s="7">
        <f t="shared" si="74"/>
        <v>2.02704072324813E-4</v>
      </c>
      <c r="W115" s="2"/>
      <c r="X115" s="6">
        <f t="shared" si="75"/>
        <v>-606.20000000000005</v>
      </c>
      <c r="Y115" s="2"/>
      <c r="Z115" s="7">
        <f t="shared" si="76"/>
        <v>-1.5155000000000001</v>
      </c>
    </row>
    <row r="116" spans="1:26" s="53" customFormat="1" x14ac:dyDescent="0.2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0</v>
      </c>
      <c r="C117" s="10"/>
      <c r="D117" s="4">
        <f>SUM(OSRRefD25x_0)</f>
        <v>24624.73</v>
      </c>
      <c r="E117" s="4"/>
      <c r="F117" s="12">
        <f t="shared" ref="F117:F120" si="77">IF(D$12=0,0,D117/D$12)</f>
        <v>9.3380233919955993E-2</v>
      </c>
      <c r="G117" s="4"/>
      <c r="H117" s="4">
        <f>SUM(OSRRefH25x_0)</f>
        <v>8625</v>
      </c>
      <c r="I117" s="4"/>
      <c r="J117" s="12">
        <f t="shared" ref="J117:J120" si="78">IF(H$12=0,0,H117/H$12)</f>
        <v>2.694243222221181E-2</v>
      </c>
      <c r="K117" s="4"/>
      <c r="L117" s="4">
        <f t="shared" ref="L117:L120" si="79">+D117-H117</f>
        <v>15999.73</v>
      </c>
      <c r="M117" s="4"/>
      <c r="N117" s="12">
        <f t="shared" ref="N117:N120" si="80">IF(H117=0,0,L117/H117)</f>
        <v>1.8550411594202898</v>
      </c>
      <c r="O117" s="10"/>
      <c r="P117" s="4">
        <f>SUM(OSRRefP25x_0)</f>
        <v>39454.89</v>
      </c>
      <c r="Q117" s="4"/>
      <c r="R117" s="12">
        <f t="shared" ref="R117:R120" si="81">IF(P$12=0,0,P117/P$12)</f>
        <v>2.048989105776804E-2</v>
      </c>
      <c r="S117" s="4"/>
      <c r="T117" s="4">
        <f>SUM(OSRRefT25x_0)</f>
        <v>69000</v>
      </c>
      <c r="U117" s="4"/>
      <c r="V117" s="12">
        <f t="shared" ref="V117:V120" si="82">IF(T$12=0,0,T117/T$12)</f>
        <v>3.4966452476030245E-2</v>
      </c>
      <c r="W117" s="4"/>
      <c r="X117" s="4">
        <f t="shared" ref="X117:X120" si="83">+P117-T117</f>
        <v>-29545.11</v>
      </c>
      <c r="Y117" s="4"/>
      <c r="Z117" s="12">
        <f t="shared" ref="Z117:Z120" si="84">IF(T117=0,0,X117/T117)</f>
        <v>-0.42819000000000002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--24624.73</f>
        <v>24624.73</v>
      </c>
      <c r="E118" s="2"/>
      <c r="F118" s="19">
        <f t="shared" si="77"/>
        <v>9.3380233919955993E-2</v>
      </c>
      <c r="G118" s="2"/>
      <c r="H118" s="2">
        <v>7725</v>
      </c>
      <c r="I118" s="2"/>
      <c r="J118" s="19">
        <f t="shared" si="78"/>
        <v>2.4131047990328839E-2</v>
      </c>
      <c r="K118" s="2"/>
      <c r="L118" s="2">
        <f t="shared" si="79"/>
        <v>16899.73</v>
      </c>
      <c r="M118" s="2"/>
      <c r="N118" s="19">
        <f t="shared" si="80"/>
        <v>2.1876673139158576</v>
      </c>
      <c r="O118" s="11"/>
      <c r="P118" s="2">
        <f>--39454.89</f>
        <v>39454.89</v>
      </c>
      <c r="Q118" s="2"/>
      <c r="R118" s="19">
        <f t="shared" si="81"/>
        <v>2.048989105776804E-2</v>
      </c>
      <c r="S118" s="2"/>
      <c r="T118" s="2">
        <v>61800</v>
      </c>
      <c r="U118" s="2"/>
      <c r="V118" s="19">
        <f t="shared" si="82"/>
        <v>3.1317779174183609E-2</v>
      </c>
      <c r="W118" s="2"/>
      <c r="X118" s="2">
        <f t="shared" si="83"/>
        <v>-22345.11</v>
      </c>
      <c r="Y118" s="2"/>
      <c r="Z118" s="19">
        <f t="shared" si="84"/>
        <v>-0.36157135922330097</v>
      </c>
    </row>
    <row r="119" spans="1:26" s="24" customFormat="1" hidden="1" outlineLevel="1" x14ac:dyDescent="0.25">
      <c r="A119" s="44"/>
      <c r="B119" s="11" t="str">
        <f>CONCATENATE("          ", "9151", " - ", "MISC. INCOME")</f>
        <v xml:space="preserve">          9151 - MISC. INCOME</v>
      </c>
      <c r="C119" s="11"/>
      <c r="D119" s="2">
        <f t="shared" ref="D119:D120" si="85">0</f>
        <v>0</v>
      </c>
      <c r="E119" s="2"/>
      <c r="F119" s="19">
        <f t="shared" si="77"/>
        <v>0</v>
      </c>
      <c r="G119" s="2"/>
      <c r="H119" s="2">
        <v>100</v>
      </c>
      <c r="I119" s="2"/>
      <c r="J119" s="19">
        <f t="shared" si="78"/>
        <v>3.123760257647746E-4</v>
      </c>
      <c r="K119" s="2"/>
      <c r="L119" s="2">
        <f t="shared" si="79"/>
        <v>-100</v>
      </c>
      <c r="M119" s="2"/>
      <c r="N119" s="19">
        <f t="shared" si="80"/>
        <v>-1</v>
      </c>
      <c r="O119" s="11"/>
      <c r="P119" s="2">
        <f t="shared" ref="P119:P120" si="86">0</f>
        <v>0</v>
      </c>
      <c r="Q119" s="2"/>
      <c r="R119" s="19">
        <f t="shared" si="81"/>
        <v>0</v>
      </c>
      <c r="S119" s="2"/>
      <c r="T119" s="2">
        <v>800</v>
      </c>
      <c r="U119" s="2"/>
      <c r="V119" s="19">
        <f t="shared" si="82"/>
        <v>4.05408144649626E-4</v>
      </c>
      <c r="W119" s="2"/>
      <c r="X119" s="2">
        <f t="shared" si="83"/>
        <v>-800</v>
      </c>
      <c r="Y119" s="2"/>
      <c r="Z119" s="19">
        <f t="shared" si="84"/>
        <v>-1</v>
      </c>
    </row>
    <row r="120" spans="1:26" s="24" customFormat="1" hidden="1" outlineLevel="1" x14ac:dyDescent="0.25">
      <c r="A120" s="44"/>
      <c r="B120" s="11" t="str">
        <f>CONCATENATE("          ", "9160", " - ", "MISC. INCOME")</f>
        <v xml:space="preserve">          9160 - MISC. INCOME</v>
      </c>
      <c r="C120" s="11"/>
      <c r="D120" s="2">
        <f t="shared" si="85"/>
        <v>0</v>
      </c>
      <c r="E120" s="2"/>
      <c r="F120" s="19">
        <f t="shared" si="77"/>
        <v>0</v>
      </c>
      <c r="G120" s="2"/>
      <c r="H120" s="2">
        <v>800</v>
      </c>
      <c r="I120" s="2"/>
      <c r="J120" s="19">
        <f t="shared" si="78"/>
        <v>2.4990082061181968E-3</v>
      </c>
      <c r="K120" s="2"/>
      <c r="L120" s="2">
        <f t="shared" si="79"/>
        <v>-800</v>
      </c>
      <c r="M120" s="2"/>
      <c r="N120" s="19">
        <f t="shared" si="80"/>
        <v>-1</v>
      </c>
      <c r="O120" s="11"/>
      <c r="P120" s="2">
        <f t="shared" si="86"/>
        <v>0</v>
      </c>
      <c r="Q120" s="2"/>
      <c r="R120" s="19">
        <f t="shared" si="81"/>
        <v>0</v>
      </c>
      <c r="S120" s="2"/>
      <c r="T120" s="2">
        <v>6400</v>
      </c>
      <c r="U120" s="2"/>
      <c r="V120" s="19">
        <f t="shared" si="82"/>
        <v>3.243265157197008E-3</v>
      </c>
      <c r="W120" s="2"/>
      <c r="X120" s="2">
        <f t="shared" si="83"/>
        <v>-6400</v>
      </c>
      <c r="Y120" s="2"/>
      <c r="Z120" s="19">
        <f t="shared" si="84"/>
        <v>-1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1">
        <f>+D54-D56+D117</f>
        <v>89829.279999999882</v>
      </c>
      <c r="E122" s="14"/>
      <c r="F122" s="22">
        <f>IF(D$12=0,0,D122/D$12)</f>
        <v>0.34064451383877969</v>
      </c>
      <c r="G122" s="14"/>
      <c r="H122" s="21">
        <f>+H54-H56+H117</f>
        <v>123818.84872975577</v>
      </c>
      <c r="I122" s="14"/>
      <c r="J122" s="22">
        <f>IF(H$12=0,0,H122/H$12)</f>
        <v>0.38678039880970921</v>
      </c>
      <c r="K122" s="15"/>
      <c r="L122" s="21">
        <f>+D122-H122</f>
        <v>-33989.568729755891</v>
      </c>
      <c r="M122" s="15"/>
      <c r="N122" s="22">
        <f>IF(H122=0,0,L122/H122)</f>
        <v>-0.27451045683634773</v>
      </c>
      <c r="O122" s="29"/>
      <c r="P122" s="21">
        <f>+P54-P56+P117</f>
        <v>568973.55999999982</v>
      </c>
      <c r="Q122" s="14"/>
      <c r="R122" s="22">
        <f>IF(P$12=0,0,P122/P$12)</f>
        <v>0.29548191007883795</v>
      </c>
      <c r="S122" s="14"/>
      <c r="T122" s="21">
        <f>+T54-T56+T117</f>
        <v>654126.95741486293</v>
      </c>
      <c r="U122" s="14"/>
      <c r="V122" s="22">
        <f>IF(T$12=0,0,T122/T$12)</f>
        <v>0.33148549521358062</v>
      </c>
      <c r="W122" s="15"/>
      <c r="X122" s="21">
        <f>+P122-T122</f>
        <v>-85153.39741486311</v>
      </c>
      <c r="Y122" s="15"/>
      <c r="Z122" s="22">
        <f>IF(T122=0,0,X122/T122)</f>
        <v>-0.13017870070879342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2"/>
      <c r="B124" s="10" t="s">
        <v>14</v>
      </c>
      <c r="C124" s="10"/>
      <c r="D124" s="4">
        <v>22944.54</v>
      </c>
      <c r="E124" s="4"/>
      <c r="F124" s="12">
        <f>IF(D$12=0,0,D124/D$12)</f>
        <v>8.7008731157084254E-2</v>
      </c>
      <c r="G124" s="4"/>
      <c r="H124" s="4">
        <v>33746</v>
      </c>
      <c r="I124" s="4"/>
      <c r="J124" s="12">
        <f>IF(H$12=0,0,H124/H$12)</f>
        <v>0.10541441365458083</v>
      </c>
      <c r="K124" s="4"/>
      <c r="L124" s="4">
        <f>+D124-H124</f>
        <v>-10801.46</v>
      </c>
      <c r="M124" s="4"/>
      <c r="N124" s="12">
        <f>IF(H124=0,0,L124/H124)</f>
        <v>-0.32008119480827357</v>
      </c>
      <c r="O124" s="10"/>
      <c r="P124" s="4">
        <v>196254.51</v>
      </c>
      <c r="Q124" s="4"/>
      <c r="R124" s="12">
        <f>IF(P$12=0,0,P124/P$12)</f>
        <v>0.10191977545738053</v>
      </c>
      <c r="S124" s="4"/>
      <c r="T124" s="4">
        <v>237294</v>
      </c>
      <c r="U124" s="4"/>
      <c r="V124" s="12">
        <f>IF(T$12=0,0,T124/T$12)</f>
        <v>0.12025115034561044</v>
      </c>
      <c r="W124" s="4"/>
      <c r="X124" s="4">
        <f>+P124-T124</f>
        <v>-41039.489999999991</v>
      </c>
      <c r="Y124" s="4"/>
      <c r="Z124" s="12">
        <f>IF(T124=0,0,X124/T124)</f>
        <v>-0.17294786214569263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1">
        <f>+D122-D124</f>
        <v>66884.739999999874</v>
      </c>
      <c r="E126" s="14"/>
      <c r="F126" s="32">
        <f>IF(D$12=0,0,D126/D$12)</f>
        <v>0.2536357826816954</v>
      </c>
      <c r="G126" s="14"/>
      <c r="H126" s="31">
        <f>+H122-H124</f>
        <v>90072.848729755773</v>
      </c>
      <c r="I126" s="14"/>
      <c r="J126" s="32">
        <f>IF(H$12=0,0,H126/H$12)</f>
        <v>0.28136598515512834</v>
      </c>
      <c r="K126" s="15"/>
      <c r="L126" s="31">
        <f>D126-H126</f>
        <v>-23188.108729755899</v>
      </c>
      <c r="M126" s="15"/>
      <c r="N126" s="32">
        <f>IF(H126=0,0,L126/H126)</f>
        <v>-0.25743727501421471</v>
      </c>
      <c r="O126" s="29"/>
      <c r="P126" s="31">
        <f>+P122-P124</f>
        <v>372719.04999999981</v>
      </c>
      <c r="Q126" s="14"/>
      <c r="R126" s="32">
        <f>IF(P$12=0,0,P126/P$12)</f>
        <v>0.19356213462145744</v>
      </c>
      <c r="S126" s="14"/>
      <c r="T126" s="31">
        <f>+T122-T124</f>
        <v>416832.95741486293</v>
      </c>
      <c r="U126" s="14"/>
      <c r="V126" s="32">
        <f>IF(T$12=0,0,T126/T$12)</f>
        <v>0.21123434486797019</v>
      </c>
      <c r="W126" s="15"/>
      <c r="X126" s="31">
        <f>P126-T126</f>
        <v>-44113.907414863119</v>
      </c>
      <c r="Y126" s="15"/>
      <c r="Z126" s="32">
        <f>IF(T126=0,0,X126/T126)</f>
        <v>-0.10583114082065662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3">
        <f>SUM(D126:D128)</f>
        <v>66884.739999999874</v>
      </c>
      <c r="E129" s="14"/>
      <c r="F129" s="30">
        <f>IF(D$12=0,0,D129/D$12)</f>
        <v>0.2536357826816954</v>
      </c>
      <c r="G129" s="14"/>
      <c r="H129" s="33">
        <f>SUM(H126:H128)</f>
        <v>90072.848729755773</v>
      </c>
      <c r="I129" s="14"/>
      <c r="J129" s="30">
        <f>IF(H$12=0,0,H129/H$12)</f>
        <v>0.28136598515512834</v>
      </c>
      <c r="K129" s="15"/>
      <c r="L129" s="33">
        <f>+D129-H129</f>
        <v>-23188.108729755899</v>
      </c>
      <c r="M129" s="15"/>
      <c r="N129" s="30">
        <f>IF(H129=0,0,L129/H129)</f>
        <v>-0.25743727501421471</v>
      </c>
      <c r="O129" s="29"/>
      <c r="P129" s="33">
        <f>SUM(P126:P128)</f>
        <v>372719.04999999981</v>
      </c>
      <c r="Q129" s="14"/>
      <c r="R129" s="30">
        <f>IF(P$12=0,0,P129/P$12)</f>
        <v>0.19356213462145744</v>
      </c>
      <c r="S129" s="14"/>
      <c r="T129" s="33">
        <f>SUM(T126:T128)</f>
        <v>416832.95741486293</v>
      </c>
      <c r="U129" s="14"/>
      <c r="V129" s="30">
        <f>IF(T$12=0,0,T129/T$12)</f>
        <v>0.21123434486797019</v>
      </c>
      <c r="W129" s="15"/>
      <c r="X129" s="33">
        <f>+P129-T129</f>
        <v>-44113.907414863119</v>
      </c>
      <c r="Y129" s="15"/>
      <c r="Z129" s="30">
        <f>IF(T129=0,0,X129/T129)</f>
        <v>-0.10583114082065662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6" x14ac:dyDescent="0.25">
      <c r="A131" s="9"/>
      <c r="B131" s="59">
        <v>43908.494743599535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6" x14ac:dyDescent="0.25">
      <c r="A132" s="9"/>
      <c r="B132" s="63" t="s">
        <v>314</v>
      </c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7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43523.69</v>
      </c>
      <c r="E12" s="4"/>
      <c r="F12" s="12"/>
      <c r="G12" s="4"/>
      <c r="H12" s="4">
        <f>SUM(OSRRefH13x_0)</f>
        <v>34072.732909999999</v>
      </c>
      <c r="I12" s="4"/>
      <c r="J12" s="12"/>
      <c r="K12" s="4"/>
      <c r="L12" s="4">
        <f t="shared" ref="L12:L33" si="0">+D12-H12</f>
        <v>9450.9570900000035</v>
      </c>
      <c r="M12" s="4"/>
      <c r="N12" s="12">
        <f t="shared" ref="N12:N33" si="1">IF(H12=0,0,L12/H12)</f>
        <v>0.27737596261984154</v>
      </c>
      <c r="O12" s="10"/>
      <c r="P12" s="4">
        <f>SUM(OSRRefP13x_0)</f>
        <v>402907.49000000005</v>
      </c>
      <c r="Q12" s="4"/>
      <c r="R12" s="12"/>
      <c r="S12" s="4"/>
      <c r="T12" s="4">
        <f>SUM(OSRRefT13x_0)</f>
        <v>370007.60713999998</v>
      </c>
      <c r="U12" s="4"/>
      <c r="V12" s="12"/>
      <c r="W12" s="4"/>
      <c r="X12" s="4">
        <f t="shared" ref="X12:X33" si="2">+P12-T12</f>
        <v>32899.882860000071</v>
      </c>
      <c r="Y12" s="4"/>
      <c r="Z12" s="12">
        <f t="shared" ref="Z12:Z33" si="3">IF(T12=0,0,X12/T12)</f>
        <v>8.8916774209865698E-2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34072.732909999999</v>
      </c>
      <c r="I13" s="2"/>
      <c r="J13" s="19"/>
      <c r="K13" s="2"/>
      <c r="L13" s="2">
        <f t="shared" si="0"/>
        <v>-34072.732909999999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370007.60713999998</v>
      </c>
      <c r="U13" s="2"/>
      <c r="V13" s="19"/>
      <c r="W13" s="2"/>
      <c r="X13" s="2">
        <f t="shared" si="2"/>
        <v>-370007.60713999998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--50.44</f>
        <v>50.44</v>
      </c>
      <c r="E15" s="2"/>
      <c r="F15" s="19"/>
      <c r="G15" s="2"/>
      <c r="H15" s="2"/>
      <c r="I15" s="2"/>
      <c r="J15" s="19"/>
      <c r="K15" s="2"/>
      <c r="L15" s="2">
        <f t="shared" si="0"/>
        <v>50.44</v>
      </c>
      <c r="M15" s="2"/>
      <c r="N15" s="19">
        <f t="shared" si="1"/>
        <v>0</v>
      </c>
      <c r="O15" s="11"/>
      <c r="P15" s="2">
        <f>--225.07</f>
        <v>225.07</v>
      </c>
      <c r="Q15" s="2"/>
      <c r="R15" s="19"/>
      <c r="S15" s="2"/>
      <c r="T15" s="2"/>
      <c r="U15" s="2"/>
      <c r="V15" s="19"/>
      <c r="W15" s="2"/>
      <c r="X15" s="2">
        <f t="shared" si="2"/>
        <v>225.07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--21.95</f>
        <v>21.95</v>
      </c>
      <c r="E16" s="2"/>
      <c r="F16" s="19"/>
      <c r="G16" s="2"/>
      <c r="H16" s="2"/>
      <c r="I16" s="2"/>
      <c r="J16" s="19"/>
      <c r="K16" s="2"/>
      <c r="L16" s="2">
        <f t="shared" si="0"/>
        <v>21.95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--37559.71</f>
        <v>37559.71</v>
      </c>
      <c r="E17" s="2"/>
      <c r="F17" s="19"/>
      <c r="G17" s="2"/>
      <c r="H17" s="2"/>
      <c r="I17" s="2"/>
      <c r="J17" s="19"/>
      <c r="K17" s="2"/>
      <c r="L17" s="2">
        <f t="shared" si="0"/>
        <v>37559.71</v>
      </c>
      <c r="M17" s="2"/>
      <c r="N17" s="19">
        <f t="shared" si="1"/>
        <v>0</v>
      </c>
      <c r="O17" s="11"/>
      <c r="P17" s="2">
        <f>--338964.09</f>
        <v>338964.09</v>
      </c>
      <c r="Q17" s="2"/>
      <c r="R17" s="19"/>
      <c r="S17" s="2"/>
      <c r="T17" s="2"/>
      <c r="U17" s="2"/>
      <c r="V17" s="19"/>
      <c r="W17" s="2"/>
      <c r="X17" s="2">
        <f t="shared" si="2"/>
        <v>338964.09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--4536.62</f>
        <v>4536.62</v>
      </c>
      <c r="E18" s="2"/>
      <c r="F18" s="19"/>
      <c r="G18" s="2"/>
      <c r="H18" s="2"/>
      <c r="I18" s="2"/>
      <c r="J18" s="19"/>
      <c r="K18" s="2"/>
      <c r="L18" s="2">
        <f t="shared" si="0"/>
        <v>4536.62</v>
      </c>
      <c r="M18" s="2"/>
      <c r="N18" s="19">
        <f t="shared" si="1"/>
        <v>0</v>
      </c>
      <c r="O18" s="11"/>
      <c r="P18" s="2">
        <f>--44926.13</f>
        <v>44926.13</v>
      </c>
      <c r="Q18" s="2"/>
      <c r="R18" s="19"/>
      <c r="S18" s="2"/>
      <c r="T18" s="2"/>
      <c r="U18" s="2"/>
      <c r="V18" s="19"/>
      <c r="W18" s="2"/>
      <c r="X18" s="2">
        <f t="shared" si="2"/>
        <v>44926.13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--2727.34</f>
        <v>2727.34</v>
      </c>
      <c r="E19" s="2"/>
      <c r="F19" s="19"/>
      <c r="G19" s="2"/>
      <c r="H19" s="2"/>
      <c r="I19" s="2"/>
      <c r="J19" s="19"/>
      <c r="K19" s="2"/>
      <c r="L19" s="2">
        <f t="shared" si="0"/>
        <v>2727.34</v>
      </c>
      <c r="M19" s="2"/>
      <c r="N19" s="19">
        <f t="shared" si="1"/>
        <v>0</v>
      </c>
      <c r="O19" s="11"/>
      <c r="P19" s="2">
        <f>--29728.15</f>
        <v>29728.15</v>
      </c>
      <c r="Q19" s="2"/>
      <c r="R19" s="19"/>
      <c r="S19" s="2"/>
      <c r="T19" s="2"/>
      <c r="U19" s="2"/>
      <c r="V19" s="19"/>
      <c r="W19" s="2"/>
      <c r="X19" s="2">
        <f t="shared" si="2"/>
        <v>29728.15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--129.91</f>
        <v>129.91</v>
      </c>
      <c r="E20" s="2"/>
      <c r="F20" s="19"/>
      <c r="G20" s="2"/>
      <c r="H20" s="2"/>
      <c r="I20" s="2"/>
      <c r="J20" s="19"/>
      <c r="K20" s="2"/>
      <c r="L20" s="2">
        <f t="shared" si="0"/>
        <v>129.91</v>
      </c>
      <c r="M20" s="2"/>
      <c r="N20" s="19">
        <f t="shared" si="1"/>
        <v>0</v>
      </c>
      <c r="O20" s="11"/>
      <c r="P20" s="2">
        <f>--1514.05</f>
        <v>1514.05</v>
      </c>
      <c r="Q20" s="2"/>
      <c r="R20" s="19"/>
      <c r="S20" s="2"/>
      <c r="T20" s="2"/>
      <c r="U20" s="2"/>
      <c r="V20" s="19"/>
      <c r="W20" s="2"/>
      <c r="X20" s="2">
        <f t="shared" si="2"/>
        <v>1514.05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--831.65</f>
        <v>831.65</v>
      </c>
      <c r="E21" s="2"/>
      <c r="F21" s="19"/>
      <c r="G21" s="2"/>
      <c r="H21" s="2"/>
      <c r="I21" s="2"/>
      <c r="J21" s="19"/>
      <c r="K21" s="2"/>
      <c r="L21" s="2">
        <f t="shared" si="0"/>
        <v>831.65</v>
      </c>
      <c r="M21" s="2"/>
      <c r="N21" s="19">
        <f t="shared" si="1"/>
        <v>0</v>
      </c>
      <c r="O21" s="11"/>
      <c r="P21" s="2">
        <f>--3861.1</f>
        <v>3861.1</v>
      </c>
      <c r="Q21" s="2"/>
      <c r="R21" s="19"/>
      <c r="S21" s="2"/>
      <c r="T21" s="2"/>
      <c r="U21" s="2"/>
      <c r="V21" s="19"/>
      <c r="W21" s="2"/>
      <c r="X21" s="2">
        <f t="shared" si="2"/>
        <v>3861.1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ref="D22:D24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--467.6</f>
        <v>467.6</v>
      </c>
      <c r="Q22" s="2"/>
      <c r="R22" s="19"/>
      <c r="S22" s="2"/>
      <c r="T22" s="2"/>
      <c r="U22" s="2"/>
      <c r="V22" s="19"/>
      <c r="W22" s="2"/>
      <c r="X22" s="2">
        <f t="shared" si="2"/>
        <v>467.6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--12</f>
        <v>12</v>
      </c>
      <c r="E25" s="2"/>
      <c r="F25" s="19"/>
      <c r="G25" s="2"/>
      <c r="H25" s="2"/>
      <c r="I25" s="2"/>
      <c r="J25" s="19"/>
      <c r="K25" s="2"/>
      <c r="L25" s="2">
        <f t="shared" si="0"/>
        <v>12</v>
      </c>
      <c r="M25" s="2"/>
      <c r="N25" s="19">
        <f t="shared" si="1"/>
        <v>0</v>
      </c>
      <c r="O25" s="11"/>
      <c r="P25" s="2">
        <f>--115.5</f>
        <v>115.5</v>
      </c>
      <c r="Q25" s="2"/>
      <c r="R25" s="19"/>
      <c r="S25" s="2"/>
      <c r="T25" s="2"/>
      <c r="U25" s="2"/>
      <c r="V25" s="19"/>
      <c r="W25" s="2"/>
      <c r="X25" s="2">
        <f t="shared" si="2"/>
        <v>115.5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--13.53</f>
        <v>13.53</v>
      </c>
      <c r="E26" s="2"/>
      <c r="F26" s="19"/>
      <c r="G26" s="2"/>
      <c r="H26" s="2"/>
      <c r="I26" s="2"/>
      <c r="J26" s="19"/>
      <c r="K26" s="2"/>
      <c r="L26" s="2">
        <f t="shared" si="0"/>
        <v>13.53</v>
      </c>
      <c r="M26" s="2"/>
      <c r="N26" s="19">
        <f t="shared" si="1"/>
        <v>0</v>
      </c>
      <c r="O26" s="11"/>
      <c r="P26" s="2">
        <f>--577.32</f>
        <v>577.32000000000005</v>
      </c>
      <c r="Q26" s="2"/>
      <c r="R26" s="19"/>
      <c r="S26" s="2"/>
      <c r="T26" s="2"/>
      <c r="U26" s="2"/>
      <c r="V26" s="19"/>
      <c r="W26" s="2"/>
      <c r="X26" s="2">
        <f t="shared" si="2"/>
        <v>577.32000000000005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/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-2058.35</f>
        <v>-2058.35</v>
      </c>
      <c r="E28" s="2"/>
      <c r="F28" s="19"/>
      <c r="G28" s="2"/>
      <c r="H28" s="2"/>
      <c r="I28" s="2"/>
      <c r="J28" s="19"/>
      <c r="K28" s="2"/>
      <c r="L28" s="2">
        <f t="shared" si="0"/>
        <v>-2058.35</v>
      </c>
      <c r="M28" s="2"/>
      <c r="N28" s="19">
        <f t="shared" si="1"/>
        <v>0</v>
      </c>
      <c r="O28" s="11"/>
      <c r="P28" s="2">
        <f>-15259.46</f>
        <v>-15259.46</v>
      </c>
      <c r="Q28" s="2"/>
      <c r="R28" s="19"/>
      <c r="S28" s="2"/>
      <c r="T28" s="2"/>
      <c r="U28" s="2"/>
      <c r="V28" s="19"/>
      <c r="W28" s="2"/>
      <c r="X28" s="2">
        <f t="shared" si="2"/>
        <v>-15259.46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-261.16</f>
        <v>-261.16000000000003</v>
      </c>
      <c r="E29" s="2"/>
      <c r="F29" s="19"/>
      <c r="G29" s="2"/>
      <c r="H29" s="2"/>
      <c r="I29" s="2"/>
      <c r="J29" s="19"/>
      <c r="K29" s="2"/>
      <c r="L29" s="2">
        <f t="shared" si="0"/>
        <v>-261.16000000000003</v>
      </c>
      <c r="M29" s="2"/>
      <c r="N29" s="19">
        <f t="shared" si="1"/>
        <v>0</v>
      </c>
      <c r="O29" s="11"/>
      <c r="P29" s="2">
        <f>-1253.16</f>
        <v>-1253.1600000000001</v>
      </c>
      <c r="Q29" s="2"/>
      <c r="R29" s="19"/>
      <c r="S29" s="2"/>
      <c r="T29" s="2"/>
      <c r="U29" s="2"/>
      <c r="V29" s="19"/>
      <c r="W29" s="2"/>
      <c r="X29" s="2">
        <f t="shared" si="2"/>
        <v>-1253.1600000000001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-39.95</f>
        <v>-39.950000000000003</v>
      </c>
      <c r="E30" s="2"/>
      <c r="F30" s="19"/>
      <c r="G30" s="2"/>
      <c r="H30" s="2"/>
      <c r="I30" s="2"/>
      <c r="J30" s="19"/>
      <c r="K30" s="2"/>
      <c r="L30" s="2">
        <f t="shared" si="0"/>
        <v>-39.950000000000003</v>
      </c>
      <c r="M30" s="2"/>
      <c r="N30" s="19">
        <f t="shared" si="1"/>
        <v>0</v>
      </c>
      <c r="O30" s="11"/>
      <c r="P30" s="2">
        <f>-849.26</f>
        <v>-849.26</v>
      </c>
      <c r="Q30" s="2"/>
      <c r="R30" s="19"/>
      <c r="S30" s="2"/>
      <c r="T30" s="2"/>
      <c r="U30" s="2"/>
      <c r="V30" s="19"/>
      <c r="W30" s="2"/>
      <c r="X30" s="2">
        <f t="shared" si="2"/>
        <v>-849.26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 t="shared" ref="D31:D33" si="6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-130.8</f>
        <v>-130.80000000000001</v>
      </c>
      <c r="Q31" s="2"/>
      <c r="R31" s="19"/>
      <c r="S31" s="2"/>
      <c r="T31" s="2"/>
      <c r="U31" s="2"/>
      <c r="V31" s="19"/>
      <c r="W31" s="2"/>
      <c r="X31" s="2">
        <f t="shared" si="2"/>
        <v>-130.80000000000001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-9.99</f>
        <v>-9.99</v>
      </c>
      <c r="Q32" s="2"/>
      <c r="R32" s="19"/>
      <c r="S32" s="2"/>
      <c r="T32" s="2"/>
      <c r="U32" s="2"/>
      <c r="V32" s="19"/>
      <c r="W32" s="2"/>
      <c r="X32" s="2">
        <f t="shared" si="2"/>
        <v>-9.99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--0.99</f>
        <v>0.99</v>
      </c>
      <c r="Q33" s="2"/>
      <c r="R33" s="19"/>
      <c r="S33" s="2"/>
      <c r="T33" s="2"/>
      <c r="U33" s="2"/>
      <c r="V33" s="19"/>
      <c r="W33" s="2"/>
      <c r="X33" s="2">
        <f t="shared" si="2"/>
        <v>0.99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26662</v>
      </c>
      <c r="E35" s="4"/>
      <c r="F35" s="12">
        <f t="shared" ref="F35:F51" si="7">IF(D$12=0,0,D35/D$12)</f>
        <v>0.61258592734209805</v>
      </c>
      <c r="G35" s="4"/>
      <c r="H35" s="4">
        <f>SUM(OSRRefH16x_0)</f>
        <v>14449.40078</v>
      </c>
      <c r="I35" s="4"/>
      <c r="J35" s="12">
        <f t="shared" ref="J35:J51" si="8">IF(H$12=0,0,H35/H$12)</f>
        <v>0.42407519285778361</v>
      </c>
      <c r="K35" s="4"/>
      <c r="L35" s="4">
        <f t="shared" ref="L35:L51" si="9">+D35-H35</f>
        <v>12212.59922</v>
      </c>
      <c r="M35" s="4"/>
      <c r="N35" s="12">
        <f t="shared" ref="N35:N51" si="10">IF(H35=0,0,L35/H35)</f>
        <v>0.84519762486648942</v>
      </c>
      <c r="O35" s="10"/>
      <c r="P35" s="4">
        <f>SUM(OSRRefP16x_0)</f>
        <v>171793.80999999997</v>
      </c>
      <c r="Q35" s="4"/>
      <c r="R35" s="12">
        <f t="shared" ref="R35:R51" si="11">IF(P$12=0,0,P35/P$12)</f>
        <v>0.42638524788903764</v>
      </c>
      <c r="S35" s="4"/>
      <c r="T35" s="4">
        <f>SUM(OSRRefT16x_0)</f>
        <v>158050.28423000002</v>
      </c>
      <c r="U35" s="4"/>
      <c r="V35" s="12">
        <f t="shared" ref="V35:V51" si="12">IF(T$12=0,0,T35/T$12)</f>
        <v>0.42715414813133407</v>
      </c>
      <c r="W35" s="4"/>
      <c r="X35" s="4">
        <f t="shared" ref="X35:X51" si="13">+P35-T35</f>
        <v>13743.525769999949</v>
      </c>
      <c r="Y35" s="4"/>
      <c r="Z35" s="12">
        <f t="shared" ref="Z35:Z51" si="14">IF(T35=0,0,X35/T35)</f>
        <v>8.6956665955753132E-2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7"/>
        <v>0</v>
      </c>
      <c r="G36" s="2"/>
      <c r="H36" s="2">
        <v>14449.40078</v>
      </c>
      <c r="I36" s="2"/>
      <c r="J36" s="19">
        <f t="shared" si="8"/>
        <v>0.42407519285778361</v>
      </c>
      <c r="K36" s="2"/>
      <c r="L36" s="2">
        <f t="shared" si="9"/>
        <v>-14449.40078</v>
      </c>
      <c r="M36" s="2"/>
      <c r="N36" s="19">
        <f t="shared" si="10"/>
        <v>-1</v>
      </c>
      <c r="O36" s="11"/>
      <c r="P36" s="2"/>
      <c r="Q36" s="2"/>
      <c r="R36" s="19">
        <f t="shared" si="11"/>
        <v>0</v>
      </c>
      <c r="S36" s="2"/>
      <c r="T36" s="2">
        <v>158050.28423000002</v>
      </c>
      <c r="U36" s="2"/>
      <c r="V36" s="19">
        <f t="shared" si="12"/>
        <v>0.42715414813133407</v>
      </c>
      <c r="W36" s="2"/>
      <c r="X36" s="2">
        <f t="shared" si="13"/>
        <v>-158050.28423000002</v>
      </c>
      <c r="Y36" s="2"/>
      <c r="Z36" s="19">
        <f t="shared" si="14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7"/>
        <v>0</v>
      </c>
      <c r="G37" s="2"/>
      <c r="H37" s="2"/>
      <c r="I37" s="2"/>
      <c r="J37" s="19">
        <f t="shared" si="8"/>
        <v>0</v>
      </c>
      <c r="K37" s="2"/>
      <c r="L37" s="2">
        <f t="shared" si="9"/>
        <v>0</v>
      </c>
      <c r="M37" s="2"/>
      <c r="N37" s="19">
        <f t="shared" si="10"/>
        <v>0</v>
      </c>
      <c r="O37" s="11"/>
      <c r="P37" s="2">
        <v>6.06</v>
      </c>
      <c r="Q37" s="2"/>
      <c r="R37" s="19">
        <f t="shared" si="11"/>
        <v>1.5040673480654327E-5</v>
      </c>
      <c r="S37" s="2"/>
      <c r="T37" s="2"/>
      <c r="U37" s="2"/>
      <c r="V37" s="19">
        <f t="shared" si="12"/>
        <v>0</v>
      </c>
      <c r="W37" s="2"/>
      <c r="X37" s="2">
        <f t="shared" si="13"/>
        <v>6.06</v>
      </c>
      <c r="Y37" s="2"/>
      <c r="Z37" s="19">
        <f t="shared" si="14"/>
        <v>0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-77.069999999999993</v>
      </c>
      <c r="E38" s="2"/>
      <c r="F38" s="19">
        <f t="shared" si="7"/>
        <v>-1.7707597862221698E-3</v>
      </c>
      <c r="G38" s="2"/>
      <c r="H38" s="2"/>
      <c r="I38" s="2"/>
      <c r="J38" s="19">
        <f t="shared" si="8"/>
        <v>0</v>
      </c>
      <c r="K38" s="2"/>
      <c r="L38" s="2">
        <f t="shared" si="9"/>
        <v>-77.069999999999993</v>
      </c>
      <c r="M38" s="2"/>
      <c r="N38" s="19">
        <f t="shared" si="10"/>
        <v>0</v>
      </c>
      <c r="O38" s="11"/>
      <c r="P38" s="2">
        <v>1198.07</v>
      </c>
      <c r="Q38" s="2"/>
      <c r="R38" s="19">
        <f t="shared" si="11"/>
        <v>2.9735610027999226E-3</v>
      </c>
      <c r="S38" s="2"/>
      <c r="T38" s="2"/>
      <c r="U38" s="2"/>
      <c r="V38" s="19">
        <f t="shared" si="12"/>
        <v>0</v>
      </c>
      <c r="W38" s="2"/>
      <c r="X38" s="2">
        <f t="shared" si="13"/>
        <v>1198.07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18.899999999999999</v>
      </c>
      <c r="E39" s="2"/>
      <c r="F39" s="19">
        <f t="shared" si="7"/>
        <v>4.3424626910080458E-4</v>
      </c>
      <c r="G39" s="2"/>
      <c r="H39" s="2"/>
      <c r="I39" s="2"/>
      <c r="J39" s="19">
        <f t="shared" si="8"/>
        <v>0</v>
      </c>
      <c r="K39" s="2"/>
      <c r="L39" s="2">
        <f t="shared" si="9"/>
        <v>18.899999999999999</v>
      </c>
      <c r="M39" s="2"/>
      <c r="N39" s="19">
        <f t="shared" si="10"/>
        <v>0</v>
      </c>
      <c r="O39" s="11"/>
      <c r="P39" s="2">
        <v>325.45</v>
      </c>
      <c r="Q39" s="2"/>
      <c r="R39" s="19">
        <f t="shared" si="11"/>
        <v>8.0775366077210416E-4</v>
      </c>
      <c r="S39" s="2"/>
      <c r="T39" s="2"/>
      <c r="U39" s="2"/>
      <c r="V39" s="19">
        <f t="shared" si="12"/>
        <v>0</v>
      </c>
      <c r="W39" s="2"/>
      <c r="X39" s="2">
        <f t="shared" si="13"/>
        <v>325.45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7"/>
        <v>0</v>
      </c>
      <c r="G40" s="2"/>
      <c r="H40" s="2"/>
      <c r="I40" s="2"/>
      <c r="J40" s="19">
        <f t="shared" si="8"/>
        <v>0</v>
      </c>
      <c r="K40" s="2"/>
      <c r="L40" s="2">
        <f t="shared" si="9"/>
        <v>0</v>
      </c>
      <c r="M40" s="2"/>
      <c r="N40" s="19">
        <f t="shared" si="10"/>
        <v>0</v>
      </c>
      <c r="O40" s="11"/>
      <c r="P40" s="2">
        <v>29.76</v>
      </c>
      <c r="Q40" s="2"/>
      <c r="R40" s="19">
        <f t="shared" si="11"/>
        <v>7.3863109370342055E-5</v>
      </c>
      <c r="S40" s="2"/>
      <c r="T40" s="2"/>
      <c r="U40" s="2"/>
      <c r="V40" s="19">
        <f t="shared" si="12"/>
        <v>0</v>
      </c>
      <c r="W40" s="2"/>
      <c r="X40" s="2">
        <f t="shared" si="13"/>
        <v>29.76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15579.110000000002</v>
      </c>
      <c r="E41" s="2"/>
      <c r="F41" s="19">
        <f t="shared" si="7"/>
        <v>0.35794552346090147</v>
      </c>
      <c r="G41" s="2"/>
      <c r="H41" s="2"/>
      <c r="I41" s="2"/>
      <c r="J41" s="19">
        <f t="shared" si="8"/>
        <v>0</v>
      </c>
      <c r="K41" s="2"/>
      <c r="L41" s="2">
        <f t="shared" si="9"/>
        <v>15579.110000000002</v>
      </c>
      <c r="M41" s="2"/>
      <c r="N41" s="19">
        <f t="shared" si="10"/>
        <v>0</v>
      </c>
      <c r="O41" s="11"/>
      <c r="P41" s="2">
        <v>190445.19</v>
      </c>
      <c r="Q41" s="2"/>
      <c r="R41" s="19">
        <f t="shared" si="11"/>
        <v>0.4726772143153754</v>
      </c>
      <c r="S41" s="2"/>
      <c r="T41" s="2"/>
      <c r="U41" s="2"/>
      <c r="V41" s="19">
        <f t="shared" si="12"/>
        <v>0</v>
      </c>
      <c r="W41" s="2"/>
      <c r="X41" s="2">
        <f t="shared" si="13"/>
        <v>190445.19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>
        <v>3727.25</v>
      </c>
      <c r="E42" s="2"/>
      <c r="F42" s="19">
        <f t="shared" si="7"/>
        <v>8.5637270185501269E-2</v>
      </c>
      <c r="G42" s="2"/>
      <c r="H42" s="2"/>
      <c r="I42" s="2"/>
      <c r="J42" s="19">
        <f t="shared" si="8"/>
        <v>0</v>
      </c>
      <c r="K42" s="2"/>
      <c r="L42" s="2">
        <f t="shared" si="9"/>
        <v>3727.25</v>
      </c>
      <c r="M42" s="2"/>
      <c r="N42" s="19">
        <f t="shared" si="10"/>
        <v>0</v>
      </c>
      <c r="O42" s="11"/>
      <c r="P42" s="2">
        <v>24980.89</v>
      </c>
      <c r="Q42" s="2"/>
      <c r="R42" s="19">
        <f t="shared" si="11"/>
        <v>6.2001552763389922E-2</v>
      </c>
      <c r="S42" s="2"/>
      <c r="T42" s="2"/>
      <c r="U42" s="2"/>
      <c r="V42" s="19">
        <f t="shared" si="12"/>
        <v>0</v>
      </c>
      <c r="W42" s="2"/>
      <c r="X42" s="2">
        <f t="shared" si="13"/>
        <v>24980.89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>
        <v>2086.6</v>
      </c>
      <c r="E43" s="2"/>
      <c r="F43" s="19">
        <f t="shared" si="7"/>
        <v>4.7941707148451793E-2</v>
      </c>
      <c r="G43" s="2"/>
      <c r="H43" s="2"/>
      <c r="I43" s="2"/>
      <c r="J43" s="19">
        <f t="shared" si="8"/>
        <v>0</v>
      </c>
      <c r="K43" s="2"/>
      <c r="L43" s="2">
        <f t="shared" si="9"/>
        <v>2086.6</v>
      </c>
      <c r="M43" s="2"/>
      <c r="N43" s="19">
        <f t="shared" si="10"/>
        <v>0</v>
      </c>
      <c r="O43" s="11"/>
      <c r="P43" s="2">
        <v>19549.95</v>
      </c>
      <c r="Q43" s="2"/>
      <c r="R43" s="19">
        <f t="shared" si="11"/>
        <v>4.8522180612725764E-2</v>
      </c>
      <c r="S43" s="2"/>
      <c r="T43" s="2"/>
      <c r="U43" s="2"/>
      <c r="V43" s="19">
        <f t="shared" si="12"/>
        <v>0</v>
      </c>
      <c r="W43" s="2"/>
      <c r="X43" s="2">
        <f t="shared" si="13"/>
        <v>19549.95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"5043", " - ", "PURCHASES @ COST-CARDS")</f>
        <v xml:space="preserve">          5043 - PURCHASES @ COST-CARDS</v>
      </c>
      <c r="C44" s="11"/>
      <c r="D44" s="2">
        <v>-214</v>
      </c>
      <c r="E44" s="2"/>
      <c r="F44" s="19">
        <f t="shared" si="7"/>
        <v>-4.9168625178609626E-3</v>
      </c>
      <c r="G44" s="2"/>
      <c r="H44" s="2"/>
      <c r="I44" s="2"/>
      <c r="J44" s="19">
        <f t="shared" si="8"/>
        <v>0</v>
      </c>
      <c r="K44" s="2"/>
      <c r="L44" s="2">
        <f t="shared" si="9"/>
        <v>-214</v>
      </c>
      <c r="M44" s="2"/>
      <c r="N44" s="19">
        <f t="shared" si="10"/>
        <v>0</v>
      </c>
      <c r="O44" s="11"/>
      <c r="P44" s="2">
        <v>154.47</v>
      </c>
      <c r="Q44" s="2"/>
      <c r="R44" s="19">
        <f t="shared" si="11"/>
        <v>3.8338825619747098E-4</v>
      </c>
      <c r="S44" s="2"/>
      <c r="T44" s="2"/>
      <c r="U44" s="2"/>
      <c r="V44" s="19">
        <f t="shared" si="12"/>
        <v>0</v>
      </c>
      <c r="W44" s="2"/>
      <c r="X44" s="2">
        <f t="shared" si="13"/>
        <v>154.47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>
        <v>187.21</v>
      </c>
      <c r="E45" s="2"/>
      <c r="F45" s="19">
        <f t="shared" si="7"/>
        <v>4.3013356634053774E-3</v>
      </c>
      <c r="G45" s="2"/>
      <c r="H45" s="2"/>
      <c r="I45" s="2"/>
      <c r="J45" s="19">
        <f t="shared" si="8"/>
        <v>0</v>
      </c>
      <c r="K45" s="2"/>
      <c r="L45" s="2">
        <f t="shared" si="9"/>
        <v>187.21</v>
      </c>
      <c r="M45" s="2"/>
      <c r="N45" s="19">
        <f t="shared" si="10"/>
        <v>0</v>
      </c>
      <c r="O45" s="11"/>
      <c r="P45" s="2">
        <v>-4461.9799999999996</v>
      </c>
      <c r="Q45" s="2"/>
      <c r="R45" s="19">
        <f t="shared" si="11"/>
        <v>-1.1074452847724422E-2</v>
      </c>
      <c r="S45" s="2"/>
      <c r="T45" s="2"/>
      <c r="U45" s="2"/>
      <c r="V45" s="19">
        <f t="shared" si="12"/>
        <v>0</v>
      </c>
      <c r="W45" s="2"/>
      <c r="X45" s="2">
        <f t="shared" si="13"/>
        <v>-4461.9799999999996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-998.2</v>
      </c>
      <c r="Q46" s="2"/>
      <c r="R46" s="19">
        <f t="shared" si="11"/>
        <v>-2.4774917934635562E-3</v>
      </c>
      <c r="S46" s="2"/>
      <c r="T46" s="2"/>
      <c r="U46" s="2"/>
      <c r="V46" s="19">
        <f t="shared" si="12"/>
        <v>0</v>
      </c>
      <c r="W46" s="2"/>
      <c r="X46" s="2">
        <f t="shared" si="13"/>
        <v>-998.2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7"/>
        <v>0</v>
      </c>
      <c r="G47" s="2"/>
      <c r="H47" s="2"/>
      <c r="I47" s="2"/>
      <c r="J47" s="19">
        <f t="shared" si="8"/>
        <v>0</v>
      </c>
      <c r="K47" s="2"/>
      <c r="L47" s="2">
        <f t="shared" si="9"/>
        <v>0</v>
      </c>
      <c r="M47" s="2"/>
      <c r="N47" s="19">
        <f t="shared" si="10"/>
        <v>0</v>
      </c>
      <c r="O47" s="11"/>
      <c r="P47" s="2">
        <v>90.35</v>
      </c>
      <c r="Q47" s="2"/>
      <c r="R47" s="19">
        <f t="shared" si="11"/>
        <v>2.2424502458368294E-4</v>
      </c>
      <c r="S47" s="2"/>
      <c r="T47" s="2"/>
      <c r="U47" s="2"/>
      <c r="V47" s="19">
        <f t="shared" si="12"/>
        <v>0</v>
      </c>
      <c r="W47" s="2"/>
      <c r="X47" s="2">
        <f t="shared" si="13"/>
        <v>90.35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-60.35</v>
      </c>
      <c r="Q48" s="2"/>
      <c r="R48" s="19">
        <f t="shared" si="11"/>
        <v>-1.497862449764833E-4</v>
      </c>
      <c r="S48" s="2"/>
      <c r="T48" s="2"/>
      <c r="U48" s="2"/>
      <c r="V48" s="19">
        <f t="shared" si="12"/>
        <v>0</v>
      </c>
      <c r="W48" s="2"/>
      <c r="X48" s="2">
        <f t="shared" si="13"/>
        <v>-60.35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>
        <v>-11.85</v>
      </c>
      <c r="Q49" s="2"/>
      <c r="R49" s="19">
        <f t="shared" si="11"/>
        <v>-2.941121794484386E-5</v>
      </c>
      <c r="S49" s="2"/>
      <c r="T49" s="2"/>
      <c r="U49" s="2"/>
      <c r="V49" s="19">
        <f t="shared" si="12"/>
        <v>0</v>
      </c>
      <c r="W49" s="2"/>
      <c r="X49" s="2">
        <f t="shared" si="13"/>
        <v>-11.85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-45409</v>
      </c>
      <c r="E50" s="2"/>
      <c r="F50" s="19">
        <f t="shared" si="7"/>
        <v>-1.0433168695025627</v>
      </c>
      <c r="G50" s="2"/>
      <c r="H50" s="2"/>
      <c r="I50" s="2"/>
      <c r="J50" s="19">
        <f t="shared" si="8"/>
        <v>0</v>
      </c>
      <c r="K50" s="2"/>
      <c r="L50" s="2">
        <f t="shared" si="9"/>
        <v>-45409</v>
      </c>
      <c r="M50" s="2"/>
      <c r="N50" s="19">
        <f t="shared" si="10"/>
        <v>0</v>
      </c>
      <c r="O50" s="11"/>
      <c r="P50" s="2">
        <v>-193121</v>
      </c>
      <c r="Q50" s="2"/>
      <c r="R50" s="19">
        <f t="shared" si="11"/>
        <v>-0.47931846588406679</v>
      </c>
      <c r="S50" s="2"/>
      <c r="T50" s="2"/>
      <c r="U50" s="2"/>
      <c r="V50" s="19">
        <f t="shared" si="12"/>
        <v>0</v>
      </c>
      <c r="W50" s="2"/>
      <c r="X50" s="2">
        <f t="shared" si="13"/>
        <v>-193121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50763</v>
      </c>
      <c r="E51" s="2"/>
      <c r="F51" s="19">
        <f t="shared" si="7"/>
        <v>1.1663303364213833</v>
      </c>
      <c r="G51" s="2"/>
      <c r="H51" s="2"/>
      <c r="I51" s="2"/>
      <c r="J51" s="19">
        <f t="shared" si="8"/>
        <v>0</v>
      </c>
      <c r="K51" s="2"/>
      <c r="L51" s="2">
        <f t="shared" si="9"/>
        <v>50763</v>
      </c>
      <c r="M51" s="2"/>
      <c r="N51" s="19">
        <f t="shared" si="10"/>
        <v>0</v>
      </c>
      <c r="O51" s="11"/>
      <c r="P51" s="2">
        <v>133667</v>
      </c>
      <c r="Q51" s="2"/>
      <c r="R51" s="19">
        <f t="shared" si="11"/>
        <v>0.33175605645851852</v>
      </c>
      <c r="S51" s="2"/>
      <c r="T51" s="2"/>
      <c r="U51" s="2"/>
      <c r="V51" s="19">
        <f t="shared" si="12"/>
        <v>0</v>
      </c>
      <c r="W51" s="2"/>
      <c r="X51" s="2">
        <f t="shared" si="13"/>
        <v>133667</v>
      </c>
      <c r="Y51" s="2"/>
      <c r="Z51" s="19">
        <f t="shared" si="14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6</v>
      </c>
      <c r="C53" s="28"/>
      <c r="D53" s="21">
        <f>D12-D35</f>
        <v>16861.690000000002</v>
      </c>
      <c r="E53" s="14"/>
      <c r="F53" s="22">
        <f>IF(D$12=0,0,D53/D$12)</f>
        <v>0.38741407265790195</v>
      </c>
      <c r="G53" s="14"/>
      <c r="H53" s="21">
        <f>H12-H35</f>
        <v>19623.332129999999</v>
      </c>
      <c r="I53" s="14"/>
      <c r="J53" s="22">
        <f>IF(H$12=0,0,H53/H$12)</f>
        <v>0.57592480714221639</v>
      </c>
      <c r="K53" s="15"/>
      <c r="L53" s="21">
        <f>+D53-H53</f>
        <v>-2761.6421299999965</v>
      </c>
      <c r="M53" s="15"/>
      <c r="N53" s="22">
        <f>IF(H53=0,0,L53/H53)</f>
        <v>-0.14073257852971971</v>
      </c>
      <c r="O53" s="29"/>
      <c r="P53" s="21">
        <f>P12-P35</f>
        <v>231113.68000000008</v>
      </c>
      <c r="Q53" s="14"/>
      <c r="R53" s="22">
        <f>IF(P$12=0,0,P53/P$12)</f>
        <v>0.57361475211096236</v>
      </c>
      <c r="S53" s="14"/>
      <c r="T53" s="21">
        <f>T12-T35</f>
        <v>211957.32290999996</v>
      </c>
      <c r="U53" s="14"/>
      <c r="V53" s="22">
        <f>IF(T$12=0,0,T53/T$12)</f>
        <v>0.57284585186866588</v>
      </c>
      <c r="W53" s="15"/>
      <c r="X53" s="21">
        <f>+P53-T53</f>
        <v>19156.357090000121</v>
      </c>
      <c r="Y53" s="15"/>
      <c r="Z53" s="22">
        <f>IF(T53=0,0,X53/T53)</f>
        <v>9.0378368753667351E-2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9" t="s">
        <v>9</v>
      </c>
      <c r="C55" s="10"/>
      <c r="D55" s="20">
        <f>SUM(OSRRefD22x_0)</f>
        <v>33354</v>
      </c>
      <c r="E55" s="20"/>
      <c r="F55" s="34">
        <f t="shared" ref="F55:F65" si="15">IF(D$12=0,0,D55/D$12)</f>
        <v>0.76634127299408661</v>
      </c>
      <c r="G55" s="20"/>
      <c r="H55" s="20">
        <f>SUM(OSRRefH22x_0)</f>
        <v>25538.11852533077</v>
      </c>
      <c r="I55" s="20"/>
      <c r="J55" s="34">
        <f t="shared" ref="J55:J65" si="16">IF(H$12=0,0,H55/H$12)</f>
        <v>0.74951776227599265</v>
      </c>
      <c r="K55" s="4"/>
      <c r="L55" s="20">
        <f t="shared" ref="L55:L65" si="17">+D55-H55</f>
        <v>7815.8814746692296</v>
      </c>
      <c r="M55" s="4"/>
      <c r="N55" s="34">
        <f t="shared" ref="N55:N65" si="18">IF(H55=0,0,L55/H55)</f>
        <v>0.30604766231767649</v>
      </c>
      <c r="O55" s="10"/>
      <c r="P55" s="20">
        <f>SUM(OSRRefP22x_0)</f>
        <v>255842.51</v>
      </c>
      <c r="Q55" s="20"/>
      <c r="R55" s="34">
        <f t="shared" ref="R55:R65" si="19">IF(P$12=0,0,P55/P$12)</f>
        <v>0.63499070220809239</v>
      </c>
      <c r="S55" s="20"/>
      <c r="T55" s="20">
        <f>SUM(OSRRefT22x_0)</f>
        <v>217970.30285564423</v>
      </c>
      <c r="U55" s="20"/>
      <c r="V55" s="34">
        <f t="shared" ref="V55:V65" si="20">IF(T$12=0,0,T55/T$12)</f>
        <v>0.58909681490189114</v>
      </c>
      <c r="W55" s="4"/>
      <c r="X55" s="20">
        <f t="shared" ref="X55:X65" si="21">+P55-T55</f>
        <v>37872.20714435578</v>
      </c>
      <c r="Y55" s="4"/>
      <c r="Z55" s="34">
        <f t="shared" ref="Z55:Z65" si="22">IF(T55=0,0,X55/T55)</f>
        <v>0.17374938993151515</v>
      </c>
    </row>
    <row r="56" spans="1:26" s="27" customFormat="1" outlineLevel="1" collapsed="1" x14ac:dyDescent="0.25">
      <c r="A56" s="26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1931.5</v>
      </c>
      <c r="E56" s="1"/>
      <c r="F56" s="5">
        <f t="shared" si="15"/>
        <v>4.4378130622656303E-2</v>
      </c>
      <c r="G56" s="1"/>
      <c r="H56" s="1">
        <f>SUM(OSRRefH22_0x_0)</f>
        <v>1803.2727561000002</v>
      </c>
      <c r="I56" s="1"/>
      <c r="J56" s="5">
        <f t="shared" si="16"/>
        <v>5.2924218343834636E-2</v>
      </c>
      <c r="K56" s="1"/>
      <c r="L56" s="1">
        <f t="shared" si="17"/>
        <v>128.22724389999985</v>
      </c>
      <c r="M56" s="1"/>
      <c r="N56" s="5">
        <f t="shared" si="18"/>
        <v>7.1108069184897635E-2</v>
      </c>
      <c r="O56" s="13"/>
      <c r="P56" s="1">
        <f>SUM(OSRRefP22_0x_0)</f>
        <v>16579.849999999999</v>
      </c>
      <c r="Q56" s="1"/>
      <c r="R56" s="5">
        <f t="shared" si="19"/>
        <v>4.1150513235680967E-2</v>
      </c>
      <c r="S56" s="1"/>
      <c r="T56" s="1">
        <f>SUM(OSRRefT22_0x_0)</f>
        <v>16063.937374874997</v>
      </c>
      <c r="U56" s="1"/>
      <c r="V56" s="5">
        <f t="shared" si="20"/>
        <v>4.3415154350588465E-2</v>
      </c>
      <c r="W56" s="1"/>
      <c r="X56" s="1">
        <f t="shared" si="21"/>
        <v>515.9126251250018</v>
      </c>
      <c r="Y56" s="1"/>
      <c r="Z56" s="5">
        <f t="shared" si="22"/>
        <v>3.2116199975475594E-2</v>
      </c>
    </row>
    <row r="57" spans="1:26" s="24" customFormat="1" hidden="1" outlineLevel="2" x14ac:dyDescent="0.25">
      <c r="A57" s="25"/>
      <c r="B57" s="11" t="str">
        <f>CONCATENATE("          ", "6111", " - ", "F.I.C.A.")</f>
        <v xml:space="preserve">          6111 - F.I.C.A.</v>
      </c>
      <c r="C57" s="11"/>
      <c r="D57" s="6">
        <v>335.22</v>
      </c>
      <c r="E57" s="2"/>
      <c r="F57" s="7">
        <f t="shared" si="15"/>
        <v>7.7020123983053829E-3</v>
      </c>
      <c r="G57" s="2"/>
      <c r="H57" s="6">
        <v>292.98280133076901</v>
      </c>
      <c r="I57" s="2"/>
      <c r="J57" s="7">
        <f t="shared" si="16"/>
        <v>8.5987467487464598E-3</v>
      </c>
      <c r="K57" s="2"/>
      <c r="L57" s="6">
        <f t="shared" si="17"/>
        <v>42.23719866923102</v>
      </c>
      <c r="M57" s="2"/>
      <c r="N57" s="7">
        <f t="shared" si="18"/>
        <v>0.14416272380966982</v>
      </c>
      <c r="O57" s="11"/>
      <c r="P57" s="6">
        <v>3457.8</v>
      </c>
      <c r="Q57" s="2"/>
      <c r="R57" s="7">
        <f t="shared" si="19"/>
        <v>8.5821189375258327E-3</v>
      </c>
      <c r="S57" s="2"/>
      <c r="T57" s="6">
        <v>3559.6757266442296</v>
      </c>
      <c r="U57" s="2"/>
      <c r="V57" s="7">
        <f t="shared" si="20"/>
        <v>9.6205474102519003E-3</v>
      </c>
      <c r="W57" s="2"/>
      <c r="X57" s="6">
        <f t="shared" si="21"/>
        <v>-101.87572664422942</v>
      </c>
      <c r="Y57" s="2"/>
      <c r="Z57" s="7">
        <f t="shared" si="22"/>
        <v>-2.8619384030317139E-2</v>
      </c>
    </row>
    <row r="58" spans="1:26" s="24" customFormat="1" hidden="1" outlineLevel="2" x14ac:dyDescent="0.25">
      <c r="A58" s="25"/>
      <c r="B58" s="11" t="str">
        <f>CONCATENATE("          ", "6112", " - ", "COMPENSATION INSURANCE")</f>
        <v xml:space="preserve">          6112 - COMPENSATION INSURANCE</v>
      </c>
      <c r="C58" s="11"/>
      <c r="D58" s="6">
        <v>178.81</v>
      </c>
      <c r="E58" s="2"/>
      <c r="F58" s="7">
        <f t="shared" si="15"/>
        <v>4.1083373215827978E-3</v>
      </c>
      <c r="G58" s="2"/>
      <c r="H58" s="6">
        <v>161.74052538461498</v>
      </c>
      <c r="I58" s="2"/>
      <c r="J58" s="7">
        <f t="shared" si="16"/>
        <v>4.7469196501448169E-3</v>
      </c>
      <c r="K58" s="2"/>
      <c r="L58" s="6">
        <f t="shared" si="17"/>
        <v>17.069474615385019</v>
      </c>
      <c r="M58" s="2"/>
      <c r="N58" s="7">
        <f t="shared" si="18"/>
        <v>0.10553616401822752</v>
      </c>
      <c r="O58" s="11"/>
      <c r="P58" s="6">
        <v>1362.75</v>
      </c>
      <c r="Q58" s="2"/>
      <c r="R58" s="7">
        <f t="shared" si="19"/>
        <v>3.3822900636570441E-3</v>
      </c>
      <c r="S58" s="2"/>
      <c r="T58" s="6">
        <v>1433.628057115382</v>
      </c>
      <c r="U58" s="2"/>
      <c r="V58" s="7">
        <f t="shared" si="20"/>
        <v>3.8745907636783786E-3</v>
      </c>
      <c r="W58" s="2"/>
      <c r="X58" s="6">
        <f t="shared" si="21"/>
        <v>-70.878057115382035</v>
      </c>
      <c r="Y58" s="2"/>
      <c r="Z58" s="7">
        <f t="shared" si="22"/>
        <v>-4.9439641449258824E-2</v>
      </c>
    </row>
    <row r="59" spans="1:26" s="24" customFormat="1" hidden="1" outlineLevel="2" x14ac:dyDescent="0.25">
      <c r="A59" s="25"/>
      <c r="B59" s="11" t="str">
        <f>CONCATENATE("          ", "6113", " - ", "GROUP INSURANCE")</f>
        <v xml:space="preserve">          6113 - GROUP INSURANCE</v>
      </c>
      <c r="C59" s="11"/>
      <c r="D59" s="6">
        <v>988.45</v>
      </c>
      <c r="E59" s="2"/>
      <c r="F59" s="7">
        <f t="shared" si="15"/>
        <v>2.2710620354110599E-2</v>
      </c>
      <c r="G59" s="2"/>
      <c r="H59" s="6">
        <v>988.5</v>
      </c>
      <c r="I59" s="2"/>
      <c r="J59" s="7">
        <f t="shared" si="16"/>
        <v>2.9011467985589304E-2</v>
      </c>
      <c r="K59" s="2"/>
      <c r="L59" s="6">
        <f t="shared" si="17"/>
        <v>-4.9999999999954525E-2</v>
      </c>
      <c r="M59" s="2"/>
      <c r="N59" s="7">
        <f t="shared" si="18"/>
        <v>-5.0581689428380903E-5</v>
      </c>
      <c r="O59" s="11"/>
      <c r="P59" s="6">
        <v>7320.66</v>
      </c>
      <c r="Q59" s="2"/>
      <c r="R59" s="7">
        <f t="shared" si="19"/>
        <v>1.8169580317308073E-2</v>
      </c>
      <c r="S59" s="2"/>
      <c r="T59" s="6">
        <v>7908</v>
      </c>
      <c r="U59" s="2"/>
      <c r="V59" s="7">
        <f t="shared" si="20"/>
        <v>2.1372533557148854E-2</v>
      </c>
      <c r="W59" s="2"/>
      <c r="X59" s="6">
        <f t="shared" si="21"/>
        <v>-587.34000000000015</v>
      </c>
      <c r="Y59" s="2"/>
      <c r="Z59" s="7">
        <f t="shared" si="22"/>
        <v>-7.4271623672230669E-2</v>
      </c>
    </row>
    <row r="60" spans="1:26" s="24" customFormat="1" hidden="1" outlineLevel="2" x14ac:dyDescent="0.25">
      <c r="A60" s="25"/>
      <c r="B60" s="11" t="str">
        <f>CONCATENATE("          ", "6114", " - ", "STATE UNEMPLOYMENT INSURANCE")</f>
        <v xml:space="preserve">          6114 - STATE UNEMPLOYMENT INSURANCE</v>
      </c>
      <c r="C60" s="11"/>
      <c r="D60" s="6">
        <v>24.47</v>
      </c>
      <c r="E60" s="2"/>
      <c r="F60" s="7">
        <f t="shared" si="15"/>
        <v>5.622225505236343E-4</v>
      </c>
      <c r="G60" s="2"/>
      <c r="H60" s="6">
        <v>22.132914</v>
      </c>
      <c r="I60" s="2"/>
      <c r="J60" s="7">
        <f t="shared" si="16"/>
        <v>6.4957847844087128E-4</v>
      </c>
      <c r="K60" s="2"/>
      <c r="L60" s="6">
        <f t="shared" si="17"/>
        <v>2.3370859999999993</v>
      </c>
      <c r="M60" s="2"/>
      <c r="N60" s="7">
        <f t="shared" si="18"/>
        <v>0.1055932354862988</v>
      </c>
      <c r="O60" s="11"/>
      <c r="P60" s="6">
        <v>219.19</v>
      </c>
      <c r="Q60" s="2"/>
      <c r="R60" s="7">
        <f t="shared" si="19"/>
        <v>5.4402066340340305E-4</v>
      </c>
      <c r="S60" s="2"/>
      <c r="T60" s="6">
        <v>196.18068149999999</v>
      </c>
      <c r="U60" s="2"/>
      <c r="V60" s="7">
        <f t="shared" si="20"/>
        <v>5.3020715713493699E-4</v>
      </c>
      <c r="W60" s="2"/>
      <c r="X60" s="6">
        <f t="shared" si="21"/>
        <v>23.009318500000006</v>
      </c>
      <c r="Y60" s="2"/>
      <c r="Z60" s="7">
        <f t="shared" si="22"/>
        <v>0.11728636236794808</v>
      </c>
    </row>
    <row r="61" spans="1:26" s="24" customFormat="1" hidden="1" outlineLevel="2" x14ac:dyDescent="0.25">
      <c r="A61" s="25"/>
      <c r="B61" s="11" t="str">
        <f>CONCATENATE("          ", "6115", " - ", "P.E.R.S.")</f>
        <v xml:space="preserve">          6115 - P.E.R.S.</v>
      </c>
      <c r="C61" s="11"/>
      <c r="D61" s="6">
        <v>155.82</v>
      </c>
      <c r="E61" s="2"/>
      <c r="F61" s="7">
        <f t="shared" si="15"/>
        <v>3.5801192408088556E-3</v>
      </c>
      <c r="G61" s="2"/>
      <c r="H61" s="6">
        <v>172.53915384615402</v>
      </c>
      <c r="I61" s="2"/>
      <c r="J61" s="7">
        <f t="shared" si="16"/>
        <v>5.0638483946063373E-3</v>
      </c>
      <c r="K61" s="2"/>
      <c r="L61" s="6">
        <f t="shared" si="17"/>
        <v>-16.719153846154029</v>
      </c>
      <c r="M61" s="2"/>
      <c r="N61" s="7">
        <f t="shared" si="18"/>
        <v>-9.6900636600210768E-2</v>
      </c>
      <c r="O61" s="11"/>
      <c r="P61" s="6">
        <v>1543.3</v>
      </c>
      <c r="Q61" s="2"/>
      <c r="R61" s="7">
        <f t="shared" si="19"/>
        <v>3.8304078189263738E-3</v>
      </c>
      <c r="S61" s="2"/>
      <c r="T61" s="6">
        <v>1509.717596153846</v>
      </c>
      <c r="U61" s="2"/>
      <c r="V61" s="7">
        <f t="shared" si="20"/>
        <v>4.0802339384947116E-3</v>
      </c>
      <c r="W61" s="2"/>
      <c r="X61" s="6">
        <f t="shared" si="21"/>
        <v>33.582403846153966</v>
      </c>
      <c r="Y61" s="2"/>
      <c r="Z61" s="7">
        <f t="shared" si="22"/>
        <v>2.2244162704143106E-2</v>
      </c>
    </row>
    <row r="62" spans="1:26" s="24" customFormat="1" hidden="1" outlineLevel="2" x14ac:dyDescent="0.25">
      <c r="A62" s="25"/>
      <c r="B62" s="11" t="str">
        <f>CONCATENATE("          ", "6116", " - ", "EDUCATIONAL BENEFITS")</f>
        <v xml:space="preserve">          6116 - EDUCATIONAL BENEFITS</v>
      </c>
      <c r="C62" s="11"/>
      <c r="D62" s="6"/>
      <c r="E62" s="2"/>
      <c r="F62" s="7">
        <f t="shared" si="15"/>
        <v>0</v>
      </c>
      <c r="G62" s="2"/>
      <c r="H62" s="6">
        <v>0</v>
      </c>
      <c r="I62" s="2"/>
      <c r="J62" s="7">
        <f t="shared" si="16"/>
        <v>0</v>
      </c>
      <c r="K62" s="2"/>
      <c r="L62" s="6">
        <f t="shared" si="17"/>
        <v>0</v>
      </c>
      <c r="M62" s="2"/>
      <c r="N62" s="7">
        <f t="shared" si="18"/>
        <v>0</v>
      </c>
      <c r="O62" s="11"/>
      <c r="P62" s="6"/>
      <c r="Q62" s="2"/>
      <c r="R62" s="7">
        <f t="shared" si="19"/>
        <v>0</v>
      </c>
      <c r="S62" s="2"/>
      <c r="T62" s="6">
        <v>0</v>
      </c>
      <c r="U62" s="2"/>
      <c r="V62" s="7">
        <f t="shared" si="20"/>
        <v>0</v>
      </c>
      <c r="W62" s="2"/>
      <c r="X62" s="6">
        <f t="shared" si="21"/>
        <v>0</v>
      </c>
      <c r="Y62" s="2"/>
      <c r="Z62" s="7">
        <f t="shared" si="22"/>
        <v>0</v>
      </c>
    </row>
    <row r="63" spans="1:26" s="24" customFormat="1" hidden="1" outlineLevel="2" x14ac:dyDescent="0.25">
      <c r="A63" s="25"/>
      <c r="B63" s="11" t="str">
        <f>CONCATENATE("          ", "6118", " - ", "VACATION")</f>
        <v xml:space="preserve">          6118 - VACATION</v>
      </c>
      <c r="C63" s="11"/>
      <c r="D63" s="6">
        <v>145.84</v>
      </c>
      <c r="E63" s="2"/>
      <c r="F63" s="7">
        <f t="shared" si="15"/>
        <v>3.3508188299291716E-3</v>
      </c>
      <c r="G63" s="2"/>
      <c r="H63" s="6">
        <v>60.188076923076899</v>
      </c>
      <c r="I63" s="2"/>
      <c r="J63" s="7">
        <f t="shared" si="16"/>
        <v>1.7664587423045339E-3</v>
      </c>
      <c r="K63" s="2"/>
      <c r="L63" s="6">
        <f t="shared" si="17"/>
        <v>85.651923076923111</v>
      </c>
      <c r="M63" s="2"/>
      <c r="N63" s="7">
        <f t="shared" si="18"/>
        <v>1.423071270185126</v>
      </c>
      <c r="O63" s="11"/>
      <c r="P63" s="6">
        <v>1596.84</v>
      </c>
      <c r="Q63" s="2"/>
      <c r="R63" s="7">
        <f t="shared" si="19"/>
        <v>3.9632919209320223E-3</v>
      </c>
      <c r="S63" s="2"/>
      <c r="T63" s="6">
        <v>526.64567307692312</v>
      </c>
      <c r="U63" s="2"/>
      <c r="V63" s="7">
        <f t="shared" si="20"/>
        <v>1.4233374204051321E-3</v>
      </c>
      <c r="W63" s="2"/>
      <c r="X63" s="6">
        <f t="shared" si="21"/>
        <v>1070.1943269230769</v>
      </c>
      <c r="Y63" s="2"/>
      <c r="Z63" s="7">
        <f t="shared" si="22"/>
        <v>2.0320955466518411</v>
      </c>
    </row>
    <row r="64" spans="1:26" s="24" customFormat="1" hidden="1" outlineLevel="2" x14ac:dyDescent="0.25">
      <c r="A64" s="25"/>
      <c r="B64" s="11" t="str">
        <f>CONCATENATE("          ", "6119", " - ", "SICK LEAVE")</f>
        <v xml:space="preserve">          6119 - SICK LEAVE</v>
      </c>
      <c r="C64" s="11"/>
      <c r="D64" s="6">
        <v>102.89</v>
      </c>
      <c r="E64" s="2"/>
      <c r="F64" s="7">
        <f t="shared" si="15"/>
        <v>2.3639999273958618E-3</v>
      </c>
      <c r="G64" s="2"/>
      <c r="H64" s="6">
        <v>105.18928461538499</v>
      </c>
      <c r="I64" s="2"/>
      <c r="J64" s="7">
        <f t="shared" si="16"/>
        <v>3.0871983440023095E-3</v>
      </c>
      <c r="K64" s="2"/>
      <c r="L64" s="6">
        <f t="shared" si="17"/>
        <v>-2.2992846153849911</v>
      </c>
      <c r="M64" s="2"/>
      <c r="N64" s="7">
        <f t="shared" si="18"/>
        <v>-2.18585440883272E-2</v>
      </c>
      <c r="O64" s="11"/>
      <c r="P64" s="6">
        <v>589.80999999999995</v>
      </c>
      <c r="Q64" s="2"/>
      <c r="R64" s="7">
        <f t="shared" si="19"/>
        <v>1.4638844266707473E-3</v>
      </c>
      <c r="S64" s="2"/>
      <c r="T64" s="6">
        <v>930.08964038461806</v>
      </c>
      <c r="U64" s="2"/>
      <c r="V64" s="7">
        <f t="shared" si="20"/>
        <v>2.5137041034745526E-3</v>
      </c>
      <c r="W64" s="2"/>
      <c r="X64" s="6">
        <f t="shared" si="21"/>
        <v>-340.27964038461812</v>
      </c>
      <c r="Y64" s="2"/>
      <c r="Z64" s="7">
        <f t="shared" si="22"/>
        <v>-0.36585682240681983</v>
      </c>
    </row>
    <row r="65" spans="1:26" s="24" customFormat="1" hidden="1" outlineLevel="2" x14ac:dyDescent="0.25">
      <c r="A65" s="25"/>
      <c r="B65" s="11" t="str">
        <f>CONCATENATE("          ", "6156", " - ", "EMPLOYEE MEALS")</f>
        <v xml:space="preserve">          6156 - EMPLOYEE MEALS</v>
      </c>
      <c r="C65" s="11"/>
      <c r="D65" s="6"/>
      <c r="E65" s="2"/>
      <c r="F65" s="7">
        <f t="shared" si="15"/>
        <v>0</v>
      </c>
      <c r="G65" s="2"/>
      <c r="H65" s="6"/>
      <c r="I65" s="2"/>
      <c r="J65" s="7">
        <f t="shared" si="16"/>
        <v>0</v>
      </c>
      <c r="K65" s="2"/>
      <c r="L65" s="6">
        <f t="shared" si="17"/>
        <v>0</v>
      </c>
      <c r="M65" s="2"/>
      <c r="N65" s="7">
        <f t="shared" si="18"/>
        <v>0</v>
      </c>
      <c r="O65" s="11"/>
      <c r="P65" s="6">
        <v>489.5</v>
      </c>
      <c r="Q65" s="2"/>
      <c r="R65" s="7">
        <f t="shared" si="19"/>
        <v>1.2149190872574743E-3</v>
      </c>
      <c r="S65" s="2"/>
      <c r="T65" s="6"/>
      <c r="U65" s="2"/>
      <c r="V65" s="7">
        <f t="shared" si="20"/>
        <v>0</v>
      </c>
      <c r="W65" s="2"/>
      <c r="X65" s="6">
        <f t="shared" si="21"/>
        <v>489.5</v>
      </c>
      <c r="Y65" s="2"/>
      <c r="Z65" s="7">
        <f t="shared" si="22"/>
        <v>0</v>
      </c>
    </row>
    <row r="66" spans="1:26" s="27" customFormat="1" outlineLevel="1" collapsed="1" x14ac:dyDescent="0.25">
      <c r="A66" s="26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11818.57</v>
      </c>
      <c r="E66" s="1"/>
      <c r="F66" s="5">
        <f t="shared" ref="F66:F76" si="23">IF(D$12=0,0,D66/D$12)</f>
        <v>0.27154338246596277</v>
      </c>
      <c r="G66" s="1"/>
      <c r="H66" s="1">
        <f>SUM(OSRRefH22_1x_0)</f>
        <v>8412.3457692307693</v>
      </c>
      <c r="I66" s="1"/>
      <c r="J66" s="5">
        <f t="shared" ref="J66:J76" si="24">IF(H$12=0,0,H66/H$12)</f>
        <v>0.24689377841957114</v>
      </c>
      <c r="K66" s="1"/>
      <c r="L66" s="1">
        <f t="shared" ref="L66:L76" si="25">+D66-H66</f>
        <v>3406.2242307692304</v>
      </c>
      <c r="M66" s="1"/>
      <c r="N66" s="5">
        <f t="shared" ref="N66:N76" si="26">IF(H66=0,0,L66/H66)</f>
        <v>0.40490777771260084</v>
      </c>
      <c r="O66" s="13"/>
      <c r="P66" s="1">
        <f>SUM(OSRRefP22_1x_0)</f>
        <v>90359.89</v>
      </c>
      <c r="Q66" s="1"/>
      <c r="R66" s="5">
        <f t="shared" ref="R66:R76" si="27">IF(P$12=0,0,P66/P$12)</f>
        <v>0.22426957116136012</v>
      </c>
      <c r="S66" s="1"/>
      <c r="T66" s="1">
        <f>SUM(OSRRefT22_1x_0)</f>
        <v>74576.365480769222</v>
      </c>
      <c r="U66" s="1"/>
      <c r="V66" s="5">
        <f t="shared" ref="V66:V76" si="28">IF(T$12=0,0,T66/T$12)</f>
        <v>0.20155360063327488</v>
      </c>
      <c r="W66" s="1"/>
      <c r="X66" s="1">
        <f t="shared" ref="X66:X76" si="29">+P66-T66</f>
        <v>15783.524519230778</v>
      </c>
      <c r="Y66" s="1"/>
      <c r="Z66" s="5">
        <f t="shared" ref="Z66:Z76" si="30">IF(T66=0,0,X66/T66)</f>
        <v>0.21164244754326123</v>
      </c>
    </row>
    <row r="67" spans="1:26" s="24" customFormat="1" hidden="1" outlineLevel="2" x14ac:dyDescent="0.25">
      <c r="A67" s="25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3"/>
        <v>0</v>
      </c>
      <c r="G67" s="2"/>
      <c r="H67" s="6">
        <v>0</v>
      </c>
      <c r="I67" s="2"/>
      <c r="J67" s="7">
        <f t="shared" si="24"/>
        <v>0</v>
      </c>
      <c r="K67" s="2"/>
      <c r="L67" s="6">
        <f t="shared" si="25"/>
        <v>0</v>
      </c>
      <c r="M67" s="2"/>
      <c r="N67" s="7">
        <f t="shared" si="26"/>
        <v>0</v>
      </c>
      <c r="O67" s="11"/>
      <c r="P67" s="6"/>
      <c r="Q67" s="2"/>
      <c r="R67" s="7">
        <f t="shared" si="27"/>
        <v>0</v>
      </c>
      <c r="S67" s="2"/>
      <c r="T67" s="6">
        <v>0</v>
      </c>
      <c r="U67" s="2"/>
      <c r="V67" s="7">
        <f t="shared" si="28"/>
        <v>0</v>
      </c>
      <c r="W67" s="2"/>
      <c r="X67" s="6">
        <f t="shared" si="29"/>
        <v>0</v>
      </c>
      <c r="Y67" s="2"/>
      <c r="Z67" s="7">
        <f t="shared" si="30"/>
        <v>0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2788.76</v>
      </c>
      <c r="E68" s="2"/>
      <c r="F68" s="7">
        <f t="shared" si="23"/>
        <v>6.4074530445373548E-2</v>
      </c>
      <c r="G68" s="2"/>
      <c r="H68" s="6">
        <v>1905.9557692307701</v>
      </c>
      <c r="I68" s="2"/>
      <c r="J68" s="7">
        <f t="shared" si="24"/>
        <v>5.5937860172976951E-2</v>
      </c>
      <c r="K68" s="2"/>
      <c r="L68" s="6">
        <f t="shared" si="25"/>
        <v>882.80423076923012</v>
      </c>
      <c r="M68" s="2"/>
      <c r="N68" s="7">
        <f t="shared" si="26"/>
        <v>0.46318190853165681</v>
      </c>
      <c r="O68" s="11"/>
      <c r="P68" s="6">
        <v>16452.95</v>
      </c>
      <c r="Q68" s="2"/>
      <c r="R68" s="7">
        <f t="shared" si="27"/>
        <v>4.0835552597942519E-2</v>
      </c>
      <c r="S68" s="2"/>
      <c r="T68" s="6">
        <v>16677.11298076923</v>
      </c>
      <c r="U68" s="2"/>
      <c r="V68" s="7">
        <f t="shared" si="28"/>
        <v>4.5072351646162516E-2</v>
      </c>
      <c r="W68" s="2"/>
      <c r="X68" s="6">
        <f t="shared" si="29"/>
        <v>-224.16298076922976</v>
      </c>
      <c r="Y68" s="2"/>
      <c r="Z68" s="7">
        <f t="shared" si="30"/>
        <v>-1.3441354089746669E-2</v>
      </c>
    </row>
    <row r="69" spans="1:26" s="24" customFormat="1" hidden="1" outlineLevel="2" x14ac:dyDescent="0.25">
      <c r="A69" s="25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3"/>
        <v>0</v>
      </c>
      <c r="G69" s="2"/>
      <c r="H69" s="6">
        <v>0</v>
      </c>
      <c r="I69" s="2"/>
      <c r="J69" s="7">
        <f t="shared" si="24"/>
        <v>0</v>
      </c>
      <c r="K69" s="2"/>
      <c r="L69" s="6">
        <f t="shared" si="25"/>
        <v>0</v>
      </c>
      <c r="M69" s="2"/>
      <c r="N69" s="7">
        <f t="shared" si="26"/>
        <v>0</v>
      </c>
      <c r="O69" s="11"/>
      <c r="P69" s="6"/>
      <c r="Q69" s="2"/>
      <c r="R69" s="7">
        <f t="shared" si="27"/>
        <v>0</v>
      </c>
      <c r="S69" s="2"/>
      <c r="T69" s="6">
        <v>0</v>
      </c>
      <c r="U69" s="2"/>
      <c r="V69" s="7">
        <f t="shared" si="28"/>
        <v>0</v>
      </c>
      <c r="W69" s="2"/>
      <c r="X69" s="6">
        <f t="shared" si="29"/>
        <v>0</v>
      </c>
      <c r="Y69" s="2"/>
      <c r="Z69" s="7">
        <f t="shared" si="30"/>
        <v>0</v>
      </c>
    </row>
    <row r="70" spans="1:26" s="24" customFormat="1" hidden="1" outlineLevel="2" x14ac:dyDescent="0.25">
      <c r="A70" s="25"/>
      <c r="B70" s="11" t="str">
        <f>CONCATENATE("          ", "6004", " - ", "STAFF HOURLY")</f>
        <v xml:space="preserve">          6004 - STAFF HOURLY</v>
      </c>
      <c r="C70" s="11"/>
      <c r="D70" s="6"/>
      <c r="E70" s="2"/>
      <c r="F70" s="7">
        <f t="shared" si="23"/>
        <v>0</v>
      </c>
      <c r="G70" s="2"/>
      <c r="H70" s="6">
        <v>1822.07</v>
      </c>
      <c r="I70" s="2"/>
      <c r="J70" s="7">
        <f t="shared" si="24"/>
        <v>5.3475898302987053E-2</v>
      </c>
      <c r="K70" s="2"/>
      <c r="L70" s="6">
        <f t="shared" si="25"/>
        <v>-1822.07</v>
      </c>
      <c r="M70" s="2"/>
      <c r="N70" s="7">
        <f t="shared" si="26"/>
        <v>-1</v>
      </c>
      <c r="O70" s="11"/>
      <c r="P70" s="6"/>
      <c r="Q70" s="2"/>
      <c r="R70" s="7">
        <f t="shared" si="27"/>
        <v>0</v>
      </c>
      <c r="S70" s="2"/>
      <c r="T70" s="6">
        <v>15943.112500000001</v>
      </c>
      <c r="U70" s="2"/>
      <c r="V70" s="7">
        <f t="shared" si="28"/>
        <v>4.3088607348463509E-2</v>
      </c>
      <c r="W70" s="2"/>
      <c r="X70" s="6">
        <f t="shared" si="29"/>
        <v>-15943.112500000001</v>
      </c>
      <c r="Y70" s="2"/>
      <c r="Z70" s="7">
        <f t="shared" si="30"/>
        <v>-1</v>
      </c>
    </row>
    <row r="71" spans="1:26" s="24" customFormat="1" hidden="1" outlineLevel="2" x14ac:dyDescent="0.25">
      <c r="A71" s="25"/>
      <c r="B71" s="11" t="str">
        <f>CONCATENATE("          ", "6005", " - ", "TEMPORARY WAGES-HOURLY")</f>
        <v xml:space="preserve">          6005 - TEMPORARY WAGES-HOURLY</v>
      </c>
      <c r="C71" s="11"/>
      <c r="D71" s="6">
        <v>1777.78</v>
      </c>
      <c r="E71" s="2"/>
      <c r="F71" s="7">
        <f t="shared" si="23"/>
        <v>4.0846260967303094E-2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1777.78</v>
      </c>
      <c r="M71" s="2"/>
      <c r="N71" s="7">
        <f t="shared" si="26"/>
        <v>0</v>
      </c>
      <c r="O71" s="11"/>
      <c r="P71" s="6">
        <v>7824.81</v>
      </c>
      <c r="Q71" s="2"/>
      <c r="R71" s="7">
        <f t="shared" si="27"/>
        <v>1.9420860108607062E-2</v>
      </c>
      <c r="S71" s="2"/>
      <c r="T71" s="6">
        <v>0</v>
      </c>
      <c r="U71" s="2"/>
      <c r="V71" s="7">
        <f t="shared" si="28"/>
        <v>0</v>
      </c>
      <c r="W71" s="2"/>
      <c r="X71" s="6">
        <f t="shared" si="29"/>
        <v>7824.81</v>
      </c>
      <c r="Y71" s="2"/>
      <c r="Z71" s="7">
        <f t="shared" si="30"/>
        <v>0</v>
      </c>
    </row>
    <row r="72" spans="1:26" s="24" customFormat="1" hidden="1" outlineLevel="2" x14ac:dyDescent="0.25">
      <c r="A72" s="25"/>
      <c r="B72" s="11" t="str">
        <f>CONCATENATE("          ", "6006", " - ", "TEMPORARY PART TIME")</f>
        <v xml:space="preserve">          6006 - TEMPORARY PART TIME</v>
      </c>
      <c r="C72" s="11"/>
      <c r="D72" s="6">
        <v>316.16000000000003</v>
      </c>
      <c r="E72" s="2"/>
      <c r="F72" s="7">
        <f t="shared" si="23"/>
        <v>7.2640899703127195E-3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316.16000000000003</v>
      </c>
      <c r="M72" s="2"/>
      <c r="N72" s="7">
        <f t="shared" si="26"/>
        <v>0</v>
      </c>
      <c r="O72" s="11"/>
      <c r="P72" s="6">
        <v>316.16000000000003</v>
      </c>
      <c r="Q72" s="2"/>
      <c r="R72" s="7">
        <f t="shared" si="27"/>
        <v>7.8469625868707478E-4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316.16000000000003</v>
      </c>
      <c r="Y72" s="2"/>
      <c r="Z72" s="7">
        <f t="shared" si="30"/>
        <v>0</v>
      </c>
    </row>
    <row r="73" spans="1:26" s="24" customFormat="1" hidden="1" outlineLevel="2" x14ac:dyDescent="0.25">
      <c r="A73" s="25"/>
      <c r="B73" s="11" t="str">
        <f>CONCATENATE("          ", "6007", " - ", "STUDENT HOURLY")</f>
        <v xml:space="preserve">          6007 - STUDENT HOURLY</v>
      </c>
      <c r="C73" s="11"/>
      <c r="D73" s="6">
        <v>6935.87</v>
      </c>
      <c r="E73" s="2"/>
      <c r="F73" s="7">
        <f t="shared" si="23"/>
        <v>0.15935850108297342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6935.87</v>
      </c>
      <c r="M73" s="2"/>
      <c r="N73" s="7">
        <f t="shared" si="26"/>
        <v>0</v>
      </c>
      <c r="O73" s="11"/>
      <c r="P73" s="6">
        <v>65765.97</v>
      </c>
      <c r="Q73" s="2"/>
      <c r="R73" s="7">
        <f t="shared" si="27"/>
        <v>0.16322846219612347</v>
      </c>
      <c r="S73" s="2"/>
      <c r="T73" s="6">
        <v>13015.5</v>
      </c>
      <c r="U73" s="2"/>
      <c r="V73" s="7">
        <f t="shared" si="28"/>
        <v>3.5176303807925004E-2</v>
      </c>
      <c r="W73" s="2"/>
      <c r="X73" s="6">
        <f t="shared" si="29"/>
        <v>52750.47</v>
      </c>
      <c r="Y73" s="2"/>
      <c r="Z73" s="7">
        <f t="shared" si="30"/>
        <v>4.0528961622680653</v>
      </c>
    </row>
    <row r="74" spans="1:26" s="24" customFormat="1" hidden="1" outlineLevel="2" x14ac:dyDescent="0.25">
      <c r="A74" s="25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3"/>
        <v>0</v>
      </c>
      <c r="G74" s="2"/>
      <c r="H74" s="6">
        <v>4684.32</v>
      </c>
      <c r="I74" s="2"/>
      <c r="J74" s="7">
        <f t="shared" si="24"/>
        <v>0.13748001994360715</v>
      </c>
      <c r="K74" s="2"/>
      <c r="L74" s="6">
        <f t="shared" si="25"/>
        <v>-4684.32</v>
      </c>
      <c r="M74" s="2"/>
      <c r="N74" s="7">
        <f t="shared" si="26"/>
        <v>-1</v>
      </c>
      <c r="O74" s="11"/>
      <c r="P74" s="6"/>
      <c r="Q74" s="2"/>
      <c r="R74" s="7">
        <f t="shared" si="27"/>
        <v>0</v>
      </c>
      <c r="S74" s="2"/>
      <c r="T74" s="6">
        <v>28940.639999999999</v>
      </c>
      <c r="U74" s="2"/>
      <c r="V74" s="7">
        <f t="shared" si="28"/>
        <v>7.8216337830723875E-2</v>
      </c>
      <c r="W74" s="2"/>
      <c r="X74" s="6">
        <f t="shared" si="29"/>
        <v>-28940.639999999999</v>
      </c>
      <c r="Y74" s="2"/>
      <c r="Z74" s="7">
        <f t="shared" si="30"/>
        <v>-1</v>
      </c>
    </row>
    <row r="75" spans="1:26" s="24" customFormat="1" hidden="1" outlineLevel="2" x14ac:dyDescent="0.25">
      <c r="A75" s="25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3"/>
        <v>0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/>
      <c r="Q75" s="2"/>
      <c r="R75" s="7">
        <f t="shared" si="27"/>
        <v>0</v>
      </c>
      <c r="S75" s="2"/>
      <c r="T75" s="6">
        <v>0</v>
      </c>
      <c r="U75" s="2"/>
      <c r="V75" s="7">
        <f t="shared" si="28"/>
        <v>0</v>
      </c>
      <c r="W75" s="2"/>
      <c r="X75" s="6">
        <f t="shared" si="29"/>
        <v>0</v>
      </c>
      <c r="Y75" s="2"/>
      <c r="Z75" s="7">
        <f t="shared" si="30"/>
        <v>0</v>
      </c>
    </row>
    <row r="76" spans="1:26" s="24" customFormat="1" hidden="1" outlineLevel="2" x14ac:dyDescent="0.25">
      <c r="A76" s="25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/>
      <c r="Q76" s="2"/>
      <c r="R76" s="7">
        <f t="shared" si="27"/>
        <v>0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0</v>
      </c>
      <c r="Y76" s="2"/>
      <c r="Z76" s="7">
        <f t="shared" si="30"/>
        <v>0</v>
      </c>
    </row>
    <row r="77" spans="1:26" s="27" customFormat="1" outlineLevel="1" collapsed="1" x14ac:dyDescent="0.25">
      <c r="A77" s="26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22.5</v>
      </c>
      <c r="E77" s="1"/>
      <c r="F77" s="5">
        <f t="shared" ref="F77:F81" si="31">IF(D$12=0,0,D77/D$12)</f>
        <v>5.1695984416762458E-4</v>
      </c>
      <c r="G77" s="1"/>
      <c r="H77" s="1">
        <f>SUM(OSRRefH22_2x_0)</f>
        <v>100</v>
      </c>
      <c r="I77" s="1"/>
      <c r="J77" s="5">
        <f t="shared" ref="J77:J81" si="32">IF(H$12=0,0,H77/H$12)</f>
        <v>2.9348981270196561E-3</v>
      </c>
      <c r="K77" s="1"/>
      <c r="L77" s="1">
        <f t="shared" ref="L77:L81" si="33">+D77-H77</f>
        <v>-77.5</v>
      </c>
      <c r="M77" s="1"/>
      <c r="N77" s="5">
        <f t="shared" ref="N77:N81" si="34">IF(H77=0,0,L77/H77)</f>
        <v>-0.77500000000000002</v>
      </c>
      <c r="O77" s="13"/>
      <c r="P77" s="1">
        <f>SUM(OSRRefP22_2x_0)</f>
        <v>2838.98</v>
      </c>
      <c r="Q77" s="1"/>
      <c r="R77" s="5">
        <f t="shared" ref="R77:R81" si="35">IF(P$12=0,0,P77/P$12)</f>
        <v>7.0462328709749219E-3</v>
      </c>
      <c r="S77" s="1"/>
      <c r="T77" s="1">
        <f>SUM(OSRRefT22_2x_0)</f>
        <v>4750</v>
      </c>
      <c r="U77" s="1"/>
      <c r="V77" s="5">
        <f t="shared" ref="V77:V81" si="36">IF(T$12=0,0,T77/T$12)</f>
        <v>1.2837573899400236E-2</v>
      </c>
      <c r="W77" s="1"/>
      <c r="X77" s="1">
        <f t="shared" ref="X77:X81" si="37">+P77-T77</f>
        <v>-1911.02</v>
      </c>
      <c r="Y77" s="1"/>
      <c r="Z77" s="5">
        <f t="shared" ref="Z77:Z81" si="38">IF(T77=0,0,X77/T77)</f>
        <v>-0.40232000000000001</v>
      </c>
    </row>
    <row r="78" spans="1:26" s="24" customFormat="1" hidden="1" outlineLevel="2" x14ac:dyDescent="0.25">
      <c r="A78" s="25"/>
      <c r="B78" s="11" t="str">
        <f>CONCATENATE("          ", "6362", " - ", "ADVERTISING EXPENSE")</f>
        <v xml:space="preserve">          6362 - ADVERTISING EXPENSE</v>
      </c>
      <c r="C78" s="11"/>
      <c r="D78" s="6">
        <v>22.5</v>
      </c>
      <c r="E78" s="2"/>
      <c r="F78" s="7">
        <f t="shared" si="31"/>
        <v>5.1695984416762458E-4</v>
      </c>
      <c r="G78" s="2"/>
      <c r="H78" s="6">
        <v>100</v>
      </c>
      <c r="I78" s="2"/>
      <c r="J78" s="7">
        <f t="shared" si="32"/>
        <v>2.9348981270196561E-3</v>
      </c>
      <c r="K78" s="2"/>
      <c r="L78" s="6">
        <f t="shared" si="33"/>
        <v>-77.5</v>
      </c>
      <c r="M78" s="2"/>
      <c r="N78" s="7">
        <f t="shared" si="34"/>
        <v>-0.77500000000000002</v>
      </c>
      <c r="O78" s="11"/>
      <c r="P78" s="6">
        <v>2838.98</v>
      </c>
      <c r="Q78" s="2"/>
      <c r="R78" s="7">
        <f t="shared" si="35"/>
        <v>7.0462328709749219E-3</v>
      </c>
      <c r="S78" s="2"/>
      <c r="T78" s="6">
        <v>4750</v>
      </c>
      <c r="U78" s="2"/>
      <c r="V78" s="7">
        <f t="shared" si="36"/>
        <v>1.2837573899400236E-2</v>
      </c>
      <c r="W78" s="2"/>
      <c r="X78" s="6">
        <f t="shared" si="37"/>
        <v>-1911.02</v>
      </c>
      <c r="Y78" s="2"/>
      <c r="Z78" s="7">
        <f t="shared" si="38"/>
        <v>-0.40232000000000001</v>
      </c>
    </row>
    <row r="79" spans="1:26" s="27" customFormat="1" outlineLevel="1" collapsed="1" x14ac:dyDescent="0.25">
      <c r="A79" s="26"/>
      <c r="B79" s="13" t="str">
        <f>CONCATENATE("     ","Bad Debts/Over/Short                              ")</f>
        <v xml:space="preserve">     Bad Debts/Over/Short                              </v>
      </c>
      <c r="C79" s="13"/>
      <c r="D79" s="1">
        <f>SUM(OSRRefD22_3x_0)</f>
        <v>-1.33</v>
      </c>
      <c r="E79" s="1"/>
      <c r="F79" s="5">
        <f t="shared" si="31"/>
        <v>-3.0558070788575144E-5</v>
      </c>
      <c r="G79" s="1"/>
      <c r="H79" s="1">
        <f>SUM(OSRRefH22_3x_0)</f>
        <v>10</v>
      </c>
      <c r="I79" s="1"/>
      <c r="J79" s="5">
        <f t="shared" si="32"/>
        <v>2.9348981270196564E-4</v>
      </c>
      <c r="K79" s="1"/>
      <c r="L79" s="1">
        <f t="shared" si="33"/>
        <v>-11.33</v>
      </c>
      <c r="M79" s="1"/>
      <c r="N79" s="5">
        <f t="shared" si="34"/>
        <v>-1.133</v>
      </c>
      <c r="O79" s="13"/>
      <c r="P79" s="1">
        <f>SUM(OSRRefP22_3x_0)</f>
        <v>44.48</v>
      </c>
      <c r="Q79" s="1"/>
      <c r="R79" s="5">
        <f t="shared" si="35"/>
        <v>1.1039755056427467E-4</v>
      </c>
      <c r="S79" s="1"/>
      <c r="T79" s="1">
        <f>SUM(OSRRefT22_3x_0)</f>
        <v>80</v>
      </c>
      <c r="U79" s="1"/>
      <c r="V79" s="5">
        <f t="shared" si="36"/>
        <v>2.1621177093726713E-4</v>
      </c>
      <c r="W79" s="1"/>
      <c r="X79" s="1">
        <f t="shared" si="37"/>
        <v>-35.520000000000003</v>
      </c>
      <c r="Y79" s="1"/>
      <c r="Z79" s="5">
        <f t="shared" si="38"/>
        <v>-0.44400000000000006</v>
      </c>
    </row>
    <row r="80" spans="1:26" s="24" customFormat="1" hidden="1" outlineLevel="2" x14ac:dyDescent="0.25">
      <c r="A80" s="25"/>
      <c r="B80" s="11" t="str">
        <f>CONCATENATE("          ", "6272", " - ", "CASH (OVER/SHORT)")</f>
        <v xml:space="preserve">          6272 - CASH (OVER/SHORT)</v>
      </c>
      <c r="C80" s="11"/>
      <c r="D80" s="6">
        <v>-1.33</v>
      </c>
      <c r="E80" s="2"/>
      <c r="F80" s="7">
        <f t="shared" si="31"/>
        <v>-3.0558070788575144E-5</v>
      </c>
      <c r="G80" s="2"/>
      <c r="H80" s="6"/>
      <c r="I80" s="2"/>
      <c r="J80" s="7">
        <f t="shared" si="32"/>
        <v>0</v>
      </c>
      <c r="K80" s="2"/>
      <c r="L80" s="6">
        <f t="shared" si="33"/>
        <v>-1.33</v>
      </c>
      <c r="M80" s="2"/>
      <c r="N80" s="7">
        <f t="shared" si="34"/>
        <v>0</v>
      </c>
      <c r="O80" s="11"/>
      <c r="P80" s="6">
        <v>44.48</v>
      </c>
      <c r="Q80" s="2"/>
      <c r="R80" s="7">
        <f t="shared" si="35"/>
        <v>1.1039755056427467E-4</v>
      </c>
      <c r="S80" s="2"/>
      <c r="T80" s="6"/>
      <c r="U80" s="2"/>
      <c r="V80" s="7">
        <f t="shared" si="36"/>
        <v>0</v>
      </c>
      <c r="W80" s="2"/>
      <c r="X80" s="6">
        <f t="shared" si="37"/>
        <v>44.48</v>
      </c>
      <c r="Y80" s="2"/>
      <c r="Z80" s="7">
        <f t="shared" si="38"/>
        <v>0</v>
      </c>
    </row>
    <row r="81" spans="1:26" s="24" customFormat="1" hidden="1" outlineLevel="2" x14ac:dyDescent="0.25">
      <c r="A81" s="25"/>
      <c r="B81" s="11" t="str">
        <f>CONCATENATE("          ", "6342", " - ", "BAD DEBT")</f>
        <v xml:space="preserve">          6342 - BAD DEBT</v>
      </c>
      <c r="C81" s="11"/>
      <c r="D81" s="6"/>
      <c r="E81" s="2"/>
      <c r="F81" s="7">
        <f t="shared" si="31"/>
        <v>0</v>
      </c>
      <c r="G81" s="2"/>
      <c r="H81" s="6">
        <v>10</v>
      </c>
      <c r="I81" s="2"/>
      <c r="J81" s="7">
        <f t="shared" si="32"/>
        <v>2.9348981270196564E-4</v>
      </c>
      <c r="K81" s="2"/>
      <c r="L81" s="6">
        <f t="shared" si="33"/>
        <v>-10</v>
      </c>
      <c r="M81" s="2"/>
      <c r="N81" s="7">
        <f t="shared" si="34"/>
        <v>-1</v>
      </c>
      <c r="O81" s="11"/>
      <c r="P81" s="6"/>
      <c r="Q81" s="2"/>
      <c r="R81" s="7">
        <f t="shared" si="35"/>
        <v>0</v>
      </c>
      <c r="S81" s="2"/>
      <c r="T81" s="6">
        <v>80</v>
      </c>
      <c r="U81" s="2"/>
      <c r="V81" s="7">
        <f t="shared" si="36"/>
        <v>2.1621177093726713E-4</v>
      </c>
      <c r="W81" s="2"/>
      <c r="X81" s="6">
        <f t="shared" si="37"/>
        <v>-80</v>
      </c>
      <c r="Y81" s="2"/>
      <c r="Z81" s="7">
        <f t="shared" si="38"/>
        <v>-1</v>
      </c>
    </row>
    <row r="82" spans="1:26" s="27" customFormat="1" outlineLevel="1" collapsed="1" x14ac:dyDescent="0.25">
      <c r="A82" s="26"/>
      <c r="B82" s="13" t="str">
        <f>CONCATENATE("     ","Bank/card Fees                                    ")</f>
        <v xml:space="preserve">     Bank/card Fees                                    </v>
      </c>
      <c r="C82" s="13"/>
      <c r="D82" s="1">
        <f>SUM(OSRRefD22_4x_0)</f>
        <v>626.4</v>
      </c>
      <c r="E82" s="1"/>
      <c r="F82" s="5">
        <f t="shared" ref="F82:F102" si="39">IF(D$12=0,0,D82/D$12)</f>
        <v>1.4392162061626667E-2</v>
      </c>
      <c r="G82" s="1"/>
      <c r="H82" s="1">
        <f>SUM(OSRRefH22_4x_0)</f>
        <v>600</v>
      </c>
      <c r="I82" s="1"/>
      <c r="J82" s="5">
        <f t="shared" ref="J82:J102" si="40">IF(H$12=0,0,H82/H$12)</f>
        <v>1.7609388762117938E-2</v>
      </c>
      <c r="K82" s="1"/>
      <c r="L82" s="1">
        <f t="shared" ref="L82:L102" si="41">+D82-H82</f>
        <v>26.399999999999977</v>
      </c>
      <c r="M82" s="1"/>
      <c r="N82" s="5">
        <f t="shared" ref="N82:N102" si="42">IF(H82=0,0,L82/H82)</f>
        <v>4.3999999999999963E-2</v>
      </c>
      <c r="O82" s="13"/>
      <c r="P82" s="1">
        <f>SUM(OSRRefP22_4x_0)</f>
        <v>5800.45</v>
      </c>
      <c r="Q82" s="1"/>
      <c r="R82" s="5">
        <f t="shared" ref="R82:R102" si="43">IF(P$12=0,0,P82/P$12)</f>
        <v>1.439648093908604E-2</v>
      </c>
      <c r="S82" s="1"/>
      <c r="T82" s="1">
        <f>SUM(OSRRefT22_4x_0)</f>
        <v>5585</v>
      </c>
      <c r="U82" s="1"/>
      <c r="V82" s="5">
        <f t="shared" ref="V82:V102" si="44">IF(T$12=0,0,T82/T$12)</f>
        <v>1.5094284258557961E-2</v>
      </c>
      <c r="W82" s="1"/>
      <c r="X82" s="1">
        <f t="shared" ref="X82:X102" si="45">+P82-T82</f>
        <v>215.44999999999982</v>
      </c>
      <c r="Y82" s="1"/>
      <c r="Z82" s="5">
        <f t="shared" ref="Z82:Z102" si="46">IF(T82=0,0,X82/T82)</f>
        <v>3.8576544315129781E-2</v>
      </c>
    </row>
    <row r="83" spans="1:26" s="24" customFormat="1" hidden="1" outlineLevel="2" x14ac:dyDescent="0.25">
      <c r="A83" s="25"/>
      <c r="B83" s="11" t="str">
        <f>CONCATENATE("          ", "6381", " - ", "BANK/CREDIT CARD FEES")</f>
        <v xml:space="preserve">          6381 - BANK/CREDIT CARD FEES</v>
      </c>
      <c r="C83" s="11"/>
      <c r="D83" s="6">
        <v>626.4</v>
      </c>
      <c r="E83" s="2"/>
      <c r="F83" s="7">
        <f t="shared" si="39"/>
        <v>1.4392162061626667E-2</v>
      </c>
      <c r="G83" s="2"/>
      <c r="H83" s="6">
        <v>600</v>
      </c>
      <c r="I83" s="2"/>
      <c r="J83" s="7">
        <f t="shared" si="40"/>
        <v>1.7609388762117938E-2</v>
      </c>
      <c r="K83" s="2"/>
      <c r="L83" s="6">
        <f t="shared" si="41"/>
        <v>26.399999999999977</v>
      </c>
      <c r="M83" s="2"/>
      <c r="N83" s="7">
        <f t="shared" si="42"/>
        <v>4.3999999999999963E-2</v>
      </c>
      <c r="O83" s="11"/>
      <c r="P83" s="6">
        <v>5800.45</v>
      </c>
      <c r="Q83" s="2"/>
      <c r="R83" s="7">
        <f t="shared" si="43"/>
        <v>1.439648093908604E-2</v>
      </c>
      <c r="S83" s="2"/>
      <c r="T83" s="6">
        <v>5585</v>
      </c>
      <c r="U83" s="2"/>
      <c r="V83" s="7">
        <f t="shared" si="44"/>
        <v>1.5094284258557961E-2</v>
      </c>
      <c r="W83" s="2"/>
      <c r="X83" s="6">
        <f t="shared" si="45"/>
        <v>215.44999999999982</v>
      </c>
      <c r="Y83" s="2"/>
      <c r="Z83" s="7">
        <f t="shared" si="46"/>
        <v>3.8576544315129781E-2</v>
      </c>
    </row>
    <row r="84" spans="1:26" s="27" customFormat="1" outlineLevel="1" collapsed="1" x14ac:dyDescent="0.25">
      <c r="A84" s="26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SUM(OSRRefD22_5x_0)</f>
        <v>7034.48</v>
      </c>
      <c r="E84" s="1"/>
      <c r="F84" s="5">
        <f t="shared" si="39"/>
        <v>0.16162416376001207</v>
      </c>
      <c r="G84" s="1"/>
      <c r="H84" s="1">
        <f>SUM(OSRRefH22_5x_0)</f>
        <v>2000</v>
      </c>
      <c r="I84" s="1"/>
      <c r="J84" s="5">
        <f t="shared" si="40"/>
        <v>5.8697962540393125E-2</v>
      </c>
      <c r="K84" s="1"/>
      <c r="L84" s="1">
        <f t="shared" si="41"/>
        <v>5034.4799999999996</v>
      </c>
      <c r="M84" s="1"/>
      <c r="N84" s="5">
        <f t="shared" si="42"/>
        <v>2.5172399999999997</v>
      </c>
      <c r="O84" s="13"/>
      <c r="P84" s="1">
        <f>SUM(OSRRefP22_5x_0)</f>
        <v>66241.61</v>
      </c>
      <c r="Q84" s="1"/>
      <c r="R84" s="5">
        <f t="shared" si="43"/>
        <v>0.16440898132720241</v>
      </c>
      <c r="S84" s="1"/>
      <c r="T84" s="1">
        <f>SUM(OSRRefT22_5x_0)</f>
        <v>34000</v>
      </c>
      <c r="U84" s="1"/>
      <c r="V84" s="5">
        <f t="shared" si="44"/>
        <v>9.1890002648338534E-2</v>
      </c>
      <c r="W84" s="1"/>
      <c r="X84" s="1">
        <f t="shared" si="45"/>
        <v>32241.61</v>
      </c>
      <c r="Y84" s="1"/>
      <c r="Z84" s="5">
        <f t="shared" si="46"/>
        <v>0.94828264705882359</v>
      </c>
    </row>
    <row r="85" spans="1:26" s="24" customFormat="1" hidden="1" outlineLevel="2" x14ac:dyDescent="0.25">
      <c r="A85" s="25"/>
      <c r="B85" s="11" t="str">
        <f>CONCATENATE("          ", "6382", " - ", "DISCOUNTS/MARK DOWNS")</f>
        <v xml:space="preserve">          6382 - DISCOUNTS/MARK DOWNS</v>
      </c>
      <c r="C85" s="11"/>
      <c r="D85" s="6">
        <v>7034.48</v>
      </c>
      <c r="E85" s="2"/>
      <c r="F85" s="7">
        <f t="shared" si="39"/>
        <v>0.16162416376001207</v>
      </c>
      <c r="G85" s="2"/>
      <c r="H85" s="6">
        <v>2000</v>
      </c>
      <c r="I85" s="2"/>
      <c r="J85" s="7">
        <f t="shared" si="40"/>
        <v>5.8697962540393125E-2</v>
      </c>
      <c r="K85" s="2"/>
      <c r="L85" s="6">
        <f t="shared" si="41"/>
        <v>5034.4799999999996</v>
      </c>
      <c r="M85" s="2"/>
      <c r="N85" s="7">
        <f t="shared" si="42"/>
        <v>2.5172399999999997</v>
      </c>
      <c r="O85" s="11"/>
      <c r="P85" s="6">
        <v>66241.61</v>
      </c>
      <c r="Q85" s="2"/>
      <c r="R85" s="7">
        <f t="shared" si="43"/>
        <v>0.16440898132720241</v>
      </c>
      <c r="S85" s="2"/>
      <c r="T85" s="6">
        <v>34000</v>
      </c>
      <c r="U85" s="2"/>
      <c r="V85" s="7">
        <f t="shared" si="44"/>
        <v>9.1890002648338534E-2</v>
      </c>
      <c r="W85" s="2"/>
      <c r="X85" s="6">
        <f t="shared" si="45"/>
        <v>32241.61</v>
      </c>
      <c r="Y85" s="2"/>
      <c r="Z85" s="7">
        <f t="shared" si="46"/>
        <v>0.94828264705882359</v>
      </c>
    </row>
    <row r="86" spans="1:26" s="27" customFormat="1" outlineLevel="1" collapsed="1" x14ac:dyDescent="0.25">
      <c r="A86" s="26"/>
      <c r="B86" s="13" t="str">
        <f>CONCATENATE("     ","Donations                                         ")</f>
        <v xml:space="preserve">     Donations                                         </v>
      </c>
      <c r="C86" s="13"/>
      <c r="D86" s="1">
        <f>SUM(OSRRefD22_6x_0)</f>
        <v>0</v>
      </c>
      <c r="E86" s="1"/>
      <c r="F86" s="5">
        <f t="shared" si="39"/>
        <v>0</v>
      </c>
      <c r="G86" s="1"/>
      <c r="H86" s="1">
        <f>SUM(OSRRefH22_6x_0)</f>
        <v>25</v>
      </c>
      <c r="I86" s="1"/>
      <c r="J86" s="5">
        <f t="shared" si="40"/>
        <v>7.3372453175491402E-4</v>
      </c>
      <c r="K86" s="1"/>
      <c r="L86" s="1">
        <f t="shared" si="41"/>
        <v>-25</v>
      </c>
      <c r="M86" s="1"/>
      <c r="N86" s="5">
        <f t="shared" si="42"/>
        <v>-1</v>
      </c>
      <c r="O86" s="13"/>
      <c r="P86" s="1">
        <f>SUM(OSRRefP22_6x_0)</f>
        <v>0</v>
      </c>
      <c r="Q86" s="1"/>
      <c r="R86" s="5">
        <f t="shared" si="43"/>
        <v>0</v>
      </c>
      <c r="S86" s="1"/>
      <c r="T86" s="1">
        <f>SUM(OSRRefT22_6x_0)</f>
        <v>275</v>
      </c>
      <c r="U86" s="1"/>
      <c r="V86" s="5">
        <f t="shared" si="44"/>
        <v>7.432279625968558E-4</v>
      </c>
      <c r="W86" s="1"/>
      <c r="X86" s="1">
        <f t="shared" si="45"/>
        <v>-275</v>
      </c>
      <c r="Y86" s="1"/>
      <c r="Z86" s="5">
        <f t="shared" si="46"/>
        <v>-1</v>
      </c>
    </row>
    <row r="87" spans="1:26" s="24" customFormat="1" hidden="1" outlineLevel="2" x14ac:dyDescent="0.25">
      <c r="A87" s="25"/>
      <c r="B87" s="11" t="str">
        <f>CONCATENATE("          ", "6395", " - ", "DONATION-OFF CAMPUS")</f>
        <v xml:space="preserve">          6395 - DONATION-OFF CAMPUS</v>
      </c>
      <c r="C87" s="11"/>
      <c r="D87" s="6"/>
      <c r="E87" s="2"/>
      <c r="F87" s="7">
        <f t="shared" si="39"/>
        <v>0</v>
      </c>
      <c r="G87" s="2"/>
      <c r="H87" s="6">
        <v>25</v>
      </c>
      <c r="I87" s="2"/>
      <c r="J87" s="7">
        <f t="shared" si="40"/>
        <v>7.3372453175491402E-4</v>
      </c>
      <c r="K87" s="2"/>
      <c r="L87" s="6">
        <f t="shared" si="41"/>
        <v>-25</v>
      </c>
      <c r="M87" s="2"/>
      <c r="N87" s="7">
        <f t="shared" si="42"/>
        <v>-1</v>
      </c>
      <c r="O87" s="11"/>
      <c r="P87" s="6"/>
      <c r="Q87" s="2"/>
      <c r="R87" s="7">
        <f t="shared" si="43"/>
        <v>0</v>
      </c>
      <c r="S87" s="2"/>
      <c r="T87" s="6">
        <v>275</v>
      </c>
      <c r="U87" s="2"/>
      <c r="V87" s="7">
        <f t="shared" si="44"/>
        <v>7.432279625968558E-4</v>
      </c>
      <c r="W87" s="2"/>
      <c r="X87" s="6">
        <f t="shared" si="45"/>
        <v>-275</v>
      </c>
      <c r="Y87" s="2"/>
      <c r="Z87" s="7">
        <f t="shared" si="46"/>
        <v>-1</v>
      </c>
    </row>
    <row r="88" spans="1:26" s="27" customFormat="1" outlineLevel="1" collapsed="1" x14ac:dyDescent="0.25">
      <c r="A88" s="26"/>
      <c r="B88" s="13" t="str">
        <f>CONCATENATE("     ","Employees' Appreciation                           ")</f>
        <v xml:space="preserve">     Employees' Appreciation                           </v>
      </c>
      <c r="C88" s="13"/>
      <c r="D88" s="1">
        <f>SUM(OSRRefD22_7x_0)</f>
        <v>0</v>
      </c>
      <c r="E88" s="1"/>
      <c r="F88" s="5">
        <f t="shared" si="39"/>
        <v>0</v>
      </c>
      <c r="G88" s="1"/>
      <c r="H88" s="1">
        <f>SUM(OSRRefH22_7x_0)</f>
        <v>50</v>
      </c>
      <c r="I88" s="1"/>
      <c r="J88" s="5">
        <f t="shared" si="40"/>
        <v>1.467449063509828E-3</v>
      </c>
      <c r="K88" s="1"/>
      <c r="L88" s="1">
        <f t="shared" si="41"/>
        <v>-50</v>
      </c>
      <c r="M88" s="1"/>
      <c r="N88" s="5">
        <f t="shared" si="42"/>
        <v>-1</v>
      </c>
      <c r="O88" s="13"/>
      <c r="P88" s="1">
        <f>SUM(OSRRefP22_7x_0)</f>
        <v>120.93</v>
      </c>
      <c r="Q88" s="1"/>
      <c r="R88" s="5">
        <f t="shared" si="43"/>
        <v>3.0014334059662182E-4</v>
      </c>
      <c r="S88" s="1"/>
      <c r="T88" s="1">
        <f>SUM(OSRRefT22_7x_0)</f>
        <v>400</v>
      </c>
      <c r="U88" s="1"/>
      <c r="V88" s="5">
        <f t="shared" si="44"/>
        <v>1.0810588546863356E-3</v>
      </c>
      <c r="W88" s="1"/>
      <c r="X88" s="1">
        <f t="shared" si="45"/>
        <v>-279.07</v>
      </c>
      <c r="Y88" s="1"/>
      <c r="Z88" s="5">
        <f t="shared" si="46"/>
        <v>-0.69767499999999993</v>
      </c>
    </row>
    <row r="89" spans="1:26" s="24" customFormat="1" hidden="1" outlineLevel="2" x14ac:dyDescent="0.25">
      <c r="A89" s="25"/>
      <c r="B89" s="11" t="str">
        <f>CONCATENATE("          ", "6277", " - ", "EMPLOYEE APPRECIATION")</f>
        <v xml:space="preserve">          6277 - EMPLOYEE APPRECIATION</v>
      </c>
      <c r="C89" s="11"/>
      <c r="D89" s="6"/>
      <c r="E89" s="2"/>
      <c r="F89" s="7">
        <f t="shared" si="39"/>
        <v>0</v>
      </c>
      <c r="G89" s="2"/>
      <c r="H89" s="6">
        <v>50</v>
      </c>
      <c r="I89" s="2"/>
      <c r="J89" s="7">
        <f t="shared" si="40"/>
        <v>1.467449063509828E-3</v>
      </c>
      <c r="K89" s="2"/>
      <c r="L89" s="6">
        <f t="shared" si="41"/>
        <v>-50</v>
      </c>
      <c r="M89" s="2"/>
      <c r="N89" s="7">
        <f t="shared" si="42"/>
        <v>-1</v>
      </c>
      <c r="O89" s="11"/>
      <c r="P89" s="6">
        <v>120.93</v>
      </c>
      <c r="Q89" s="2"/>
      <c r="R89" s="7">
        <f t="shared" si="43"/>
        <v>3.0014334059662182E-4</v>
      </c>
      <c r="S89" s="2"/>
      <c r="T89" s="6">
        <v>400</v>
      </c>
      <c r="U89" s="2"/>
      <c r="V89" s="7">
        <f t="shared" si="44"/>
        <v>1.0810588546863356E-3</v>
      </c>
      <c r="W89" s="2"/>
      <c r="X89" s="6">
        <f t="shared" si="45"/>
        <v>-279.07</v>
      </c>
      <c r="Y89" s="2"/>
      <c r="Z89" s="7">
        <f t="shared" si="46"/>
        <v>-0.69767499999999993</v>
      </c>
    </row>
    <row r="90" spans="1:26" s="27" customFormat="1" outlineLevel="1" collapsed="1" x14ac:dyDescent="0.25">
      <c r="A90" s="26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SUM(OSRRefD22_8x_0)</f>
        <v>0</v>
      </c>
      <c r="E90" s="1"/>
      <c r="F90" s="5">
        <f t="shared" si="39"/>
        <v>0</v>
      </c>
      <c r="G90" s="1"/>
      <c r="H90" s="1">
        <f>SUM(OSRRefH22_8x_0)</f>
        <v>0</v>
      </c>
      <c r="I90" s="1"/>
      <c r="J90" s="5">
        <f t="shared" si="40"/>
        <v>0</v>
      </c>
      <c r="K90" s="1"/>
      <c r="L90" s="1">
        <f t="shared" si="41"/>
        <v>0</v>
      </c>
      <c r="M90" s="1"/>
      <c r="N90" s="5">
        <f t="shared" si="42"/>
        <v>0</v>
      </c>
      <c r="O90" s="13"/>
      <c r="P90" s="1">
        <f>SUM(OSRRefP22_8x_0)</f>
        <v>1271.44</v>
      </c>
      <c r="Q90" s="1"/>
      <c r="R90" s="5">
        <f t="shared" si="43"/>
        <v>3.1556623581259309E-3</v>
      </c>
      <c r="S90" s="1"/>
      <c r="T90" s="1">
        <f>SUM(OSRRefT22_8x_0)</f>
        <v>1615</v>
      </c>
      <c r="U90" s="1"/>
      <c r="V90" s="5">
        <f t="shared" si="44"/>
        <v>4.3647751257960797E-3</v>
      </c>
      <c r="W90" s="1"/>
      <c r="X90" s="1">
        <f t="shared" si="45"/>
        <v>-343.55999999999995</v>
      </c>
      <c r="Y90" s="1"/>
      <c r="Z90" s="5">
        <f t="shared" si="46"/>
        <v>-0.21273065015479872</v>
      </c>
    </row>
    <row r="91" spans="1:26" s="24" customFormat="1" hidden="1" outlineLevel="2" x14ac:dyDescent="0.25">
      <c r="A91" s="25"/>
      <c r="B91" s="11" t="str">
        <f>CONCATENATE("          ", "6279", " - ", "GENERAL EXPENSE")</f>
        <v xml:space="preserve">          6279 - GENERAL EXPENSE</v>
      </c>
      <c r="C91" s="11"/>
      <c r="D91" s="6"/>
      <c r="E91" s="2"/>
      <c r="F91" s="7">
        <f t="shared" si="39"/>
        <v>0</v>
      </c>
      <c r="G91" s="2"/>
      <c r="H91" s="6">
        <v>0</v>
      </c>
      <c r="I91" s="2"/>
      <c r="J91" s="7">
        <f t="shared" si="40"/>
        <v>0</v>
      </c>
      <c r="K91" s="2"/>
      <c r="L91" s="6">
        <f t="shared" si="41"/>
        <v>0</v>
      </c>
      <c r="M91" s="2"/>
      <c r="N91" s="7">
        <f t="shared" si="42"/>
        <v>0</v>
      </c>
      <c r="O91" s="11"/>
      <c r="P91" s="6">
        <v>1271.44</v>
      </c>
      <c r="Q91" s="2"/>
      <c r="R91" s="7">
        <f t="shared" si="43"/>
        <v>3.1556623581259309E-3</v>
      </c>
      <c r="S91" s="2"/>
      <c r="T91" s="6">
        <v>1615</v>
      </c>
      <c r="U91" s="2"/>
      <c r="V91" s="7">
        <f t="shared" si="44"/>
        <v>4.3647751257960797E-3</v>
      </c>
      <c r="W91" s="2"/>
      <c r="X91" s="6">
        <f t="shared" si="45"/>
        <v>-343.55999999999995</v>
      </c>
      <c r="Y91" s="2"/>
      <c r="Z91" s="7">
        <f t="shared" si="46"/>
        <v>-0.21273065015479872</v>
      </c>
    </row>
    <row r="92" spans="1:26" s="27" customFormat="1" outlineLevel="1" collapsed="1" x14ac:dyDescent="0.25">
      <c r="A92" s="26"/>
      <c r="B92" s="13" t="str">
        <f>CONCATENATE("     ","Insurance                                         ")</f>
        <v xml:space="preserve">     Insurance                                         </v>
      </c>
      <c r="C92" s="13"/>
      <c r="D92" s="1">
        <f>SUM(OSRRefD22_9x_0)</f>
        <v>161.18</v>
      </c>
      <c r="E92" s="1"/>
      <c r="F92" s="5">
        <f t="shared" si="39"/>
        <v>3.703270563686121E-3</v>
      </c>
      <c r="G92" s="1"/>
      <c r="H92" s="1">
        <f>SUM(OSRRefH22_9x_0)</f>
        <v>155</v>
      </c>
      <c r="I92" s="1"/>
      <c r="J92" s="5">
        <f t="shared" si="40"/>
        <v>4.5490920968804674E-3</v>
      </c>
      <c r="K92" s="1"/>
      <c r="L92" s="1">
        <f t="shared" si="41"/>
        <v>6.1800000000000068</v>
      </c>
      <c r="M92" s="1"/>
      <c r="N92" s="5">
        <f t="shared" si="42"/>
        <v>3.9870967741935527E-2</v>
      </c>
      <c r="O92" s="13"/>
      <c r="P92" s="1">
        <f>SUM(OSRRefP22_9x_0)</f>
        <v>1289.44</v>
      </c>
      <c r="Q92" s="1"/>
      <c r="R92" s="5">
        <f t="shared" si="43"/>
        <v>3.2003376258902508E-3</v>
      </c>
      <c r="S92" s="1"/>
      <c r="T92" s="1">
        <f>SUM(OSRRefT22_9x_0)</f>
        <v>1240</v>
      </c>
      <c r="U92" s="1"/>
      <c r="V92" s="5">
        <f t="shared" si="44"/>
        <v>3.3512824495276405E-3</v>
      </c>
      <c r="W92" s="1"/>
      <c r="X92" s="1">
        <f t="shared" si="45"/>
        <v>49.440000000000055</v>
      </c>
      <c r="Y92" s="1"/>
      <c r="Z92" s="5">
        <f t="shared" si="46"/>
        <v>3.9870967741935527E-2</v>
      </c>
    </row>
    <row r="93" spans="1:26" s="24" customFormat="1" hidden="1" outlineLevel="2" x14ac:dyDescent="0.25">
      <c r="A93" s="25"/>
      <c r="B93" s="11" t="str">
        <f>CONCATENATE("          ", "6314", " - ", "LIABILITY INSURANCE")</f>
        <v xml:space="preserve">          6314 - LIABILITY INSURANCE</v>
      </c>
      <c r="C93" s="11"/>
      <c r="D93" s="6">
        <v>161.18</v>
      </c>
      <c r="E93" s="2"/>
      <c r="F93" s="7">
        <f t="shared" si="39"/>
        <v>3.703270563686121E-3</v>
      </c>
      <c r="G93" s="2"/>
      <c r="H93" s="6">
        <v>155</v>
      </c>
      <c r="I93" s="2"/>
      <c r="J93" s="7">
        <f t="shared" si="40"/>
        <v>4.5490920968804674E-3</v>
      </c>
      <c r="K93" s="2"/>
      <c r="L93" s="6">
        <f t="shared" si="41"/>
        <v>6.1800000000000068</v>
      </c>
      <c r="M93" s="2"/>
      <c r="N93" s="7">
        <f t="shared" si="42"/>
        <v>3.9870967741935527E-2</v>
      </c>
      <c r="O93" s="11"/>
      <c r="P93" s="6">
        <v>1289.44</v>
      </c>
      <c r="Q93" s="2"/>
      <c r="R93" s="7">
        <f t="shared" si="43"/>
        <v>3.2003376258902508E-3</v>
      </c>
      <c r="S93" s="2"/>
      <c r="T93" s="6">
        <v>1240</v>
      </c>
      <c r="U93" s="2"/>
      <c r="V93" s="7">
        <f t="shared" si="44"/>
        <v>3.3512824495276405E-3</v>
      </c>
      <c r="W93" s="2"/>
      <c r="X93" s="6">
        <f t="shared" si="45"/>
        <v>49.440000000000055</v>
      </c>
      <c r="Y93" s="2"/>
      <c r="Z93" s="7">
        <f t="shared" si="46"/>
        <v>3.9870967741935527E-2</v>
      </c>
    </row>
    <row r="94" spans="1:26" s="27" customFormat="1" outlineLevel="1" collapsed="1" x14ac:dyDescent="0.25">
      <c r="A94" s="26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SUM(OSRRefD22_10x_0)</f>
        <v>300</v>
      </c>
      <c r="E94" s="1"/>
      <c r="F94" s="5">
        <f t="shared" si="39"/>
        <v>6.8927979222349941E-3</v>
      </c>
      <c r="G94" s="1"/>
      <c r="H94" s="1">
        <f>SUM(OSRRefH22_10x_0)</f>
        <v>300</v>
      </c>
      <c r="I94" s="1"/>
      <c r="J94" s="5">
        <f t="shared" si="40"/>
        <v>8.8046943810589692E-3</v>
      </c>
      <c r="K94" s="1"/>
      <c r="L94" s="1">
        <f t="shared" si="41"/>
        <v>0</v>
      </c>
      <c r="M94" s="1"/>
      <c r="N94" s="5">
        <f t="shared" si="42"/>
        <v>0</v>
      </c>
      <c r="O94" s="13"/>
      <c r="P94" s="1">
        <f>SUM(OSRRefP22_10x_0)</f>
        <v>2400</v>
      </c>
      <c r="Q94" s="1"/>
      <c r="R94" s="5">
        <f t="shared" si="43"/>
        <v>5.9567023685759722E-3</v>
      </c>
      <c r="S94" s="1"/>
      <c r="T94" s="1">
        <f>SUM(OSRRefT22_10x_0)</f>
        <v>2400</v>
      </c>
      <c r="U94" s="1"/>
      <c r="V94" s="5">
        <f t="shared" si="44"/>
        <v>6.4863531281180139E-3</v>
      </c>
      <c r="W94" s="1"/>
      <c r="X94" s="1">
        <f t="shared" si="45"/>
        <v>0</v>
      </c>
      <c r="Y94" s="1"/>
      <c r="Z94" s="5">
        <f t="shared" si="46"/>
        <v>0</v>
      </c>
    </row>
    <row r="95" spans="1:26" s="24" customFormat="1" hidden="1" outlineLevel="2" x14ac:dyDescent="0.25">
      <c r="A95" s="25"/>
      <c r="B95" s="11" t="str">
        <f>CONCATENATE("          ", "6408", " - ", "INVENTORY ADJUSTMENT")</f>
        <v xml:space="preserve">          6408 - INVENTORY ADJUSTMENT</v>
      </c>
      <c r="C95" s="11"/>
      <c r="D95" s="6">
        <v>300</v>
      </c>
      <c r="E95" s="2"/>
      <c r="F95" s="7">
        <f t="shared" si="39"/>
        <v>6.8927979222349941E-3</v>
      </c>
      <c r="G95" s="2"/>
      <c r="H95" s="6">
        <v>300</v>
      </c>
      <c r="I95" s="2"/>
      <c r="J95" s="7">
        <f t="shared" si="40"/>
        <v>8.8046943810589692E-3</v>
      </c>
      <c r="K95" s="2"/>
      <c r="L95" s="6">
        <f t="shared" si="41"/>
        <v>0</v>
      </c>
      <c r="M95" s="2"/>
      <c r="N95" s="7">
        <f t="shared" si="42"/>
        <v>0</v>
      </c>
      <c r="O95" s="11"/>
      <c r="P95" s="6">
        <v>2400</v>
      </c>
      <c r="Q95" s="2"/>
      <c r="R95" s="7">
        <f t="shared" si="43"/>
        <v>5.9567023685759722E-3</v>
      </c>
      <c r="S95" s="2"/>
      <c r="T95" s="6">
        <v>2400</v>
      </c>
      <c r="U95" s="2"/>
      <c r="V95" s="7">
        <f t="shared" si="44"/>
        <v>6.4863531281180139E-3</v>
      </c>
      <c r="W95" s="2"/>
      <c r="X95" s="6">
        <f t="shared" si="45"/>
        <v>0</v>
      </c>
      <c r="Y95" s="2"/>
      <c r="Z95" s="7">
        <f t="shared" si="46"/>
        <v>0</v>
      </c>
    </row>
    <row r="96" spans="1:26" s="27" customFormat="1" outlineLevel="1" collapsed="1" x14ac:dyDescent="0.25">
      <c r="A96" s="26"/>
      <c r="B96" s="13" t="str">
        <f>CONCATENATE("     ","Professional Services                             ")</f>
        <v xml:space="preserve">     Professional Services                             </v>
      </c>
      <c r="C96" s="13"/>
      <c r="D96" s="1">
        <f>SUM(OSRRefD22_11x_0)</f>
        <v>0</v>
      </c>
      <c r="E96" s="1"/>
      <c r="F96" s="5">
        <f t="shared" si="39"/>
        <v>0</v>
      </c>
      <c r="G96" s="1"/>
      <c r="H96" s="1">
        <f>SUM(OSRRefH22_11x_0)</f>
        <v>0</v>
      </c>
      <c r="I96" s="1"/>
      <c r="J96" s="5">
        <f t="shared" si="40"/>
        <v>0</v>
      </c>
      <c r="K96" s="1"/>
      <c r="L96" s="1">
        <f t="shared" si="41"/>
        <v>0</v>
      </c>
      <c r="M96" s="1"/>
      <c r="N96" s="5">
        <f t="shared" si="42"/>
        <v>0</v>
      </c>
      <c r="O96" s="13"/>
      <c r="P96" s="1">
        <f>SUM(OSRRefP22_11x_0)</f>
        <v>750</v>
      </c>
      <c r="Q96" s="1"/>
      <c r="R96" s="5">
        <f t="shared" si="43"/>
        <v>1.8614694901799911E-3</v>
      </c>
      <c r="S96" s="1"/>
      <c r="T96" s="1">
        <f>SUM(OSRRefT22_11x_0)</f>
        <v>900</v>
      </c>
      <c r="U96" s="1"/>
      <c r="V96" s="5">
        <f t="shared" si="44"/>
        <v>2.4323824230442553E-3</v>
      </c>
      <c r="W96" s="1"/>
      <c r="X96" s="1">
        <f t="shared" si="45"/>
        <v>-150</v>
      </c>
      <c r="Y96" s="1"/>
      <c r="Z96" s="5">
        <f t="shared" si="46"/>
        <v>-0.16666666666666666</v>
      </c>
    </row>
    <row r="97" spans="1:26" s="24" customFormat="1" hidden="1" outlineLevel="2" x14ac:dyDescent="0.25">
      <c r="A97" s="25"/>
      <c r="B97" s="11" t="str">
        <f>CONCATENATE("          ", "6336", " - ", "PROFESSIONAL SERVICES")</f>
        <v xml:space="preserve">          6336 - PROFESSIONAL SERVICES</v>
      </c>
      <c r="C97" s="11"/>
      <c r="D97" s="6"/>
      <c r="E97" s="2"/>
      <c r="F97" s="7">
        <f t="shared" si="39"/>
        <v>0</v>
      </c>
      <c r="G97" s="2"/>
      <c r="H97" s="6">
        <v>0</v>
      </c>
      <c r="I97" s="2"/>
      <c r="J97" s="7">
        <f t="shared" si="40"/>
        <v>0</v>
      </c>
      <c r="K97" s="2"/>
      <c r="L97" s="6">
        <f t="shared" si="41"/>
        <v>0</v>
      </c>
      <c r="M97" s="2"/>
      <c r="N97" s="7">
        <f t="shared" si="42"/>
        <v>0</v>
      </c>
      <c r="O97" s="11"/>
      <c r="P97" s="6">
        <v>750</v>
      </c>
      <c r="Q97" s="2"/>
      <c r="R97" s="7">
        <f t="shared" si="43"/>
        <v>1.8614694901799911E-3</v>
      </c>
      <c r="S97" s="2"/>
      <c r="T97" s="6">
        <v>900</v>
      </c>
      <c r="U97" s="2"/>
      <c r="V97" s="7">
        <f t="shared" si="44"/>
        <v>2.4323824230442553E-3</v>
      </c>
      <c r="W97" s="2"/>
      <c r="X97" s="6">
        <f t="shared" si="45"/>
        <v>-150</v>
      </c>
      <c r="Y97" s="2"/>
      <c r="Z97" s="7">
        <f t="shared" si="46"/>
        <v>-0.16666666666666666</v>
      </c>
    </row>
    <row r="98" spans="1:26" s="27" customFormat="1" outlineLevel="1" collapsed="1" x14ac:dyDescent="0.25">
      <c r="A98" s="26"/>
      <c r="B98" s="13" t="str">
        <f>CONCATENATE("     ","Rent                                              ")</f>
        <v xml:space="preserve">     Rent                                              </v>
      </c>
      <c r="C98" s="13"/>
      <c r="D98" s="1">
        <f>SUM(OSRRefD22_12x_0)</f>
        <v>6900</v>
      </c>
      <c r="E98" s="1"/>
      <c r="F98" s="5">
        <f t="shared" si="39"/>
        <v>0.15853435221140486</v>
      </c>
      <c r="G98" s="1"/>
      <c r="H98" s="1">
        <f>SUM(OSRRefH22_12x_0)</f>
        <v>7200</v>
      </c>
      <c r="I98" s="1"/>
      <c r="J98" s="5">
        <f t="shared" si="40"/>
        <v>0.21131266514541525</v>
      </c>
      <c r="K98" s="1"/>
      <c r="L98" s="1">
        <f t="shared" si="41"/>
        <v>-300</v>
      </c>
      <c r="M98" s="1"/>
      <c r="N98" s="5">
        <f t="shared" si="42"/>
        <v>-4.1666666666666664E-2</v>
      </c>
      <c r="O98" s="13"/>
      <c r="P98" s="1">
        <f>SUM(OSRRefP22_12x_0)</f>
        <v>55200</v>
      </c>
      <c r="Q98" s="1"/>
      <c r="R98" s="5">
        <f t="shared" si="43"/>
        <v>0.13700415447724734</v>
      </c>
      <c r="S98" s="1"/>
      <c r="T98" s="1">
        <f>SUM(OSRRefT22_12x_0)</f>
        <v>57600</v>
      </c>
      <c r="U98" s="1"/>
      <c r="V98" s="5">
        <f t="shared" si="44"/>
        <v>0.15567247507483234</v>
      </c>
      <c r="W98" s="1"/>
      <c r="X98" s="1">
        <f t="shared" si="45"/>
        <v>-2400</v>
      </c>
      <c r="Y98" s="1"/>
      <c r="Z98" s="5">
        <f t="shared" si="46"/>
        <v>-4.1666666666666664E-2</v>
      </c>
    </row>
    <row r="99" spans="1:26" s="24" customFormat="1" hidden="1" outlineLevel="2" x14ac:dyDescent="0.25">
      <c r="A99" s="25"/>
      <c r="B99" s="11" t="str">
        <f>CONCATENATE("          ", "6273", " - ", "RENT")</f>
        <v xml:space="preserve">          6273 - RENT</v>
      </c>
      <c r="C99" s="11"/>
      <c r="D99" s="6">
        <v>6900</v>
      </c>
      <c r="E99" s="2"/>
      <c r="F99" s="7">
        <f t="shared" si="39"/>
        <v>0.15853435221140486</v>
      </c>
      <c r="G99" s="2"/>
      <c r="H99" s="6">
        <v>7200</v>
      </c>
      <c r="I99" s="2"/>
      <c r="J99" s="7">
        <f t="shared" si="40"/>
        <v>0.21131266514541525</v>
      </c>
      <c r="K99" s="2"/>
      <c r="L99" s="6">
        <f t="shared" si="41"/>
        <v>-300</v>
      </c>
      <c r="M99" s="2"/>
      <c r="N99" s="7">
        <f t="shared" si="42"/>
        <v>-4.1666666666666664E-2</v>
      </c>
      <c r="O99" s="11"/>
      <c r="P99" s="6">
        <v>55200</v>
      </c>
      <c r="Q99" s="2"/>
      <c r="R99" s="7">
        <f t="shared" si="43"/>
        <v>0.13700415447724734</v>
      </c>
      <c r="S99" s="2"/>
      <c r="T99" s="6">
        <v>57600</v>
      </c>
      <c r="U99" s="2"/>
      <c r="V99" s="7">
        <f t="shared" si="44"/>
        <v>0.15567247507483234</v>
      </c>
      <c r="W99" s="2"/>
      <c r="X99" s="6">
        <f t="shared" si="45"/>
        <v>-2400</v>
      </c>
      <c r="Y99" s="2"/>
      <c r="Z99" s="7">
        <f t="shared" si="46"/>
        <v>-4.1666666666666664E-2</v>
      </c>
    </row>
    <row r="100" spans="1:26" s="27" customFormat="1" outlineLevel="1" collapsed="1" x14ac:dyDescent="0.25">
      <c r="A100" s="26"/>
      <c r="B100" s="13" t="str">
        <f>CONCATENATE("     ","Repair and Maintenance                            ")</f>
        <v xml:space="preserve">     Repair and Maintenance                            </v>
      </c>
      <c r="C100" s="13"/>
      <c r="D100" s="1">
        <f>SUM(OSRRefD22_13x_0)</f>
        <v>0</v>
      </c>
      <c r="E100" s="1"/>
      <c r="F100" s="5">
        <f t="shared" si="39"/>
        <v>0</v>
      </c>
      <c r="G100" s="1"/>
      <c r="H100" s="1">
        <f>SUM(OSRRefH22_13x_0)</f>
        <v>100</v>
      </c>
      <c r="I100" s="1"/>
      <c r="J100" s="5">
        <f t="shared" si="40"/>
        <v>2.9348981270196561E-3</v>
      </c>
      <c r="K100" s="1"/>
      <c r="L100" s="1">
        <f t="shared" si="41"/>
        <v>-100</v>
      </c>
      <c r="M100" s="1"/>
      <c r="N100" s="5">
        <f t="shared" si="42"/>
        <v>-1</v>
      </c>
      <c r="O100" s="13"/>
      <c r="P100" s="1">
        <f>SUM(OSRRefP22_13x_0)</f>
        <v>275.75</v>
      </c>
      <c r="Q100" s="1"/>
      <c r="R100" s="5">
        <f t="shared" si="43"/>
        <v>6.8440028255617675E-4</v>
      </c>
      <c r="S100" s="1"/>
      <c r="T100" s="1">
        <f>SUM(OSRRefT22_13x_0)</f>
        <v>1150</v>
      </c>
      <c r="U100" s="1"/>
      <c r="V100" s="5">
        <f t="shared" si="44"/>
        <v>3.1080442072232151E-3</v>
      </c>
      <c r="W100" s="1"/>
      <c r="X100" s="1">
        <f t="shared" si="45"/>
        <v>-874.25</v>
      </c>
      <c r="Y100" s="1"/>
      <c r="Z100" s="5">
        <f t="shared" si="46"/>
        <v>-0.76021739130434784</v>
      </c>
    </row>
    <row r="101" spans="1:26" s="24" customFormat="1" hidden="1" outlineLevel="2" x14ac:dyDescent="0.25">
      <c r="A101" s="25"/>
      <c r="B101" s="11" t="str">
        <f>CONCATENATE("          ", "6373", " - ", "MAINTENANCE CONTRACTS")</f>
        <v xml:space="preserve">          6373 - MAINTENANCE CONTRACTS</v>
      </c>
      <c r="C101" s="11"/>
      <c r="D101" s="6"/>
      <c r="E101" s="2"/>
      <c r="F101" s="7">
        <f t="shared" si="39"/>
        <v>0</v>
      </c>
      <c r="G101" s="2"/>
      <c r="H101" s="6">
        <v>0</v>
      </c>
      <c r="I101" s="2"/>
      <c r="J101" s="7">
        <f t="shared" si="40"/>
        <v>0</v>
      </c>
      <c r="K101" s="2"/>
      <c r="L101" s="6">
        <f t="shared" si="41"/>
        <v>0</v>
      </c>
      <c r="M101" s="2"/>
      <c r="N101" s="7">
        <f t="shared" si="42"/>
        <v>0</v>
      </c>
      <c r="O101" s="11"/>
      <c r="P101" s="6">
        <v>93.22</v>
      </c>
      <c r="Q101" s="2"/>
      <c r="R101" s="7">
        <f t="shared" si="43"/>
        <v>2.3136824783277172E-4</v>
      </c>
      <c r="S101" s="2"/>
      <c r="T101" s="6">
        <v>75</v>
      </c>
      <c r="U101" s="2"/>
      <c r="V101" s="7">
        <f t="shared" si="44"/>
        <v>2.0269853525368793E-4</v>
      </c>
      <c r="W101" s="2"/>
      <c r="X101" s="6">
        <f t="shared" si="45"/>
        <v>18.22</v>
      </c>
      <c r="Y101" s="2"/>
      <c r="Z101" s="7">
        <f t="shared" si="46"/>
        <v>0.24293333333333331</v>
      </c>
    </row>
    <row r="102" spans="1:26" s="24" customFormat="1" hidden="1" outlineLevel="2" x14ac:dyDescent="0.25">
      <c r="A102" s="25"/>
      <c r="B102" s="11" t="str">
        <f>CONCATENATE("          ", "6375", " - ", "OUTSIDE REPAIRS &amp; MAINTENANCE")</f>
        <v xml:space="preserve">          6375 - OUTSIDE REPAIRS &amp; MAINTENANCE</v>
      </c>
      <c r="C102" s="11"/>
      <c r="D102" s="6"/>
      <c r="E102" s="2"/>
      <c r="F102" s="7">
        <f t="shared" si="39"/>
        <v>0</v>
      </c>
      <c r="G102" s="2"/>
      <c r="H102" s="6">
        <v>100</v>
      </c>
      <c r="I102" s="2"/>
      <c r="J102" s="7">
        <f t="shared" si="40"/>
        <v>2.9348981270196561E-3</v>
      </c>
      <c r="K102" s="2"/>
      <c r="L102" s="6">
        <f t="shared" si="41"/>
        <v>-100</v>
      </c>
      <c r="M102" s="2"/>
      <c r="N102" s="7">
        <f t="shared" si="42"/>
        <v>-1</v>
      </c>
      <c r="O102" s="11"/>
      <c r="P102" s="6">
        <v>182.53</v>
      </c>
      <c r="Q102" s="2"/>
      <c r="R102" s="7">
        <f t="shared" si="43"/>
        <v>4.5303203472340505E-4</v>
      </c>
      <c r="S102" s="2"/>
      <c r="T102" s="6">
        <v>1075</v>
      </c>
      <c r="U102" s="2"/>
      <c r="V102" s="7">
        <f t="shared" si="44"/>
        <v>2.905345671969527E-3</v>
      </c>
      <c r="W102" s="2"/>
      <c r="X102" s="6">
        <f t="shared" si="45"/>
        <v>-892.47</v>
      </c>
      <c r="Y102" s="2"/>
      <c r="Z102" s="7">
        <f t="shared" si="46"/>
        <v>-0.83020465116279074</v>
      </c>
    </row>
    <row r="103" spans="1:26" s="27" customFormat="1" outlineLevel="1" collapsed="1" x14ac:dyDescent="0.25">
      <c r="A103" s="26"/>
      <c r="B103" s="13" t="str">
        <f>CONCATENATE("     ","Services                                          ")</f>
        <v xml:space="preserve">     Services                                          </v>
      </c>
      <c r="C103" s="13"/>
      <c r="D103" s="1">
        <f>SUM(OSRRefD22_14x_0)</f>
        <v>189.45</v>
      </c>
      <c r="E103" s="1"/>
      <c r="F103" s="5">
        <f t="shared" ref="F103:F106" si="47">IF(D$12=0,0,D103/D$12)</f>
        <v>4.3528018878913983E-3</v>
      </c>
      <c r="G103" s="1"/>
      <c r="H103" s="1">
        <f>SUM(OSRRefH22_14x_0)</f>
        <v>242.5</v>
      </c>
      <c r="I103" s="1"/>
      <c r="J103" s="5">
        <f t="shared" ref="J103:J106" si="48">IF(H$12=0,0,H103/H$12)</f>
        <v>7.1171279580226664E-3</v>
      </c>
      <c r="K103" s="1"/>
      <c r="L103" s="1">
        <f t="shared" ref="L103:L106" si="49">+D103-H103</f>
        <v>-53.050000000000011</v>
      </c>
      <c r="M103" s="1"/>
      <c r="N103" s="5">
        <f t="shared" ref="N103:N106" si="50">IF(H103=0,0,L103/H103)</f>
        <v>-0.21876288659793819</v>
      </c>
      <c r="O103" s="13"/>
      <c r="P103" s="1">
        <f>SUM(OSRRefP22_14x_0)</f>
        <v>2381.1800000000003</v>
      </c>
      <c r="Q103" s="1"/>
      <c r="R103" s="5">
        <f t="shared" ref="R103:R106" si="51">IF(P$12=0,0,P103/P$12)</f>
        <v>5.9099918941690564E-3</v>
      </c>
      <c r="S103" s="1"/>
      <c r="T103" s="1">
        <f>SUM(OSRRefT22_14x_0)</f>
        <v>2205</v>
      </c>
      <c r="U103" s="1"/>
      <c r="V103" s="5">
        <f t="shared" ref="V103:V106" si="52">IF(T$12=0,0,T103/T$12)</f>
        <v>5.9593369364584255E-3</v>
      </c>
      <c r="W103" s="1"/>
      <c r="X103" s="1">
        <f t="shared" ref="X103:X106" si="53">+P103-T103</f>
        <v>176.18000000000029</v>
      </c>
      <c r="Y103" s="1"/>
      <c r="Z103" s="5">
        <f t="shared" ref="Z103:Z106" si="54">IF(T103=0,0,X103/T103)</f>
        <v>7.9900226757369741E-2</v>
      </c>
    </row>
    <row r="104" spans="1:26" s="24" customFormat="1" hidden="1" outlineLevel="2" x14ac:dyDescent="0.25">
      <c r="A104" s="25"/>
      <c r="B104" s="11" t="str">
        <f>CONCATENATE("          ", "6283", " - ", "PLANT SERVICE")</f>
        <v xml:space="preserve">          6283 - PLANT SERVICE</v>
      </c>
      <c r="C104" s="11"/>
      <c r="D104" s="6"/>
      <c r="E104" s="2"/>
      <c r="F104" s="7">
        <f t="shared" si="47"/>
        <v>0</v>
      </c>
      <c r="G104" s="2"/>
      <c r="H104" s="6">
        <v>60</v>
      </c>
      <c r="I104" s="2"/>
      <c r="J104" s="7">
        <f t="shared" si="48"/>
        <v>1.7609388762117937E-3</v>
      </c>
      <c r="K104" s="2"/>
      <c r="L104" s="6">
        <f t="shared" si="49"/>
        <v>-60</v>
      </c>
      <c r="M104" s="2"/>
      <c r="N104" s="7">
        <f t="shared" si="50"/>
        <v>-1</v>
      </c>
      <c r="O104" s="11"/>
      <c r="P104" s="6">
        <v>178.65</v>
      </c>
      <c r="Q104" s="2"/>
      <c r="R104" s="7">
        <f t="shared" si="51"/>
        <v>4.4340203256087394E-4</v>
      </c>
      <c r="S104" s="2"/>
      <c r="T104" s="6">
        <v>480</v>
      </c>
      <c r="U104" s="2"/>
      <c r="V104" s="7">
        <f t="shared" si="52"/>
        <v>1.2972706256236027E-3</v>
      </c>
      <c r="W104" s="2"/>
      <c r="X104" s="6">
        <f t="shared" si="53"/>
        <v>-301.35000000000002</v>
      </c>
      <c r="Y104" s="2"/>
      <c r="Z104" s="7">
        <f t="shared" si="54"/>
        <v>-0.6278125</v>
      </c>
    </row>
    <row r="105" spans="1:26" s="24" customFormat="1" hidden="1" outlineLevel="2" x14ac:dyDescent="0.25">
      <c r="A105" s="25"/>
      <c r="B105" s="11" t="str">
        <f>CONCATENATE("          ", "6284", " - ", "TRASH REMOVAL EXPENSE")</f>
        <v xml:space="preserve">          6284 - TRASH REMOVAL EXPENSE</v>
      </c>
      <c r="C105" s="11"/>
      <c r="D105" s="6">
        <v>134.82</v>
      </c>
      <c r="E105" s="2"/>
      <c r="F105" s="7">
        <f t="shared" si="47"/>
        <v>3.0976233862524062E-3</v>
      </c>
      <c r="G105" s="2"/>
      <c r="H105" s="6">
        <v>62.5</v>
      </c>
      <c r="I105" s="2"/>
      <c r="J105" s="7">
        <f t="shared" si="48"/>
        <v>1.8343113293872852E-3</v>
      </c>
      <c r="K105" s="2"/>
      <c r="L105" s="6">
        <f t="shared" si="49"/>
        <v>72.319999999999993</v>
      </c>
      <c r="M105" s="2"/>
      <c r="N105" s="7">
        <f t="shared" si="50"/>
        <v>1.1571199999999999</v>
      </c>
      <c r="O105" s="11"/>
      <c r="P105" s="6">
        <v>1078.56</v>
      </c>
      <c r="Q105" s="2"/>
      <c r="R105" s="7">
        <f t="shared" si="51"/>
        <v>2.6769420444380417E-3</v>
      </c>
      <c r="S105" s="2"/>
      <c r="T105" s="6">
        <v>500</v>
      </c>
      <c r="U105" s="2"/>
      <c r="V105" s="7">
        <f t="shared" si="52"/>
        <v>1.3513235683579195E-3</v>
      </c>
      <c r="W105" s="2"/>
      <c r="X105" s="6">
        <f t="shared" si="53"/>
        <v>578.55999999999995</v>
      </c>
      <c r="Y105" s="2"/>
      <c r="Z105" s="7">
        <f t="shared" si="54"/>
        <v>1.1571199999999999</v>
      </c>
    </row>
    <row r="106" spans="1:26" s="24" customFormat="1" hidden="1" outlineLevel="2" x14ac:dyDescent="0.25">
      <c r="A106" s="25"/>
      <c r="B106" s="11" t="str">
        <f>CONCATENATE("          ", "6285", " - ", "JANITORIAL SERVICES")</f>
        <v xml:space="preserve">          6285 - JANITORIAL SERVICES</v>
      </c>
      <c r="C106" s="11"/>
      <c r="D106" s="6">
        <v>54.63</v>
      </c>
      <c r="E106" s="2"/>
      <c r="F106" s="7">
        <f t="shared" si="47"/>
        <v>1.2551785016389925E-3</v>
      </c>
      <c r="G106" s="2"/>
      <c r="H106" s="6">
        <v>120</v>
      </c>
      <c r="I106" s="2"/>
      <c r="J106" s="7">
        <f t="shared" si="48"/>
        <v>3.5218777524235875E-3</v>
      </c>
      <c r="K106" s="2"/>
      <c r="L106" s="6">
        <f t="shared" si="49"/>
        <v>-65.37</v>
      </c>
      <c r="M106" s="2"/>
      <c r="N106" s="7">
        <f t="shared" si="50"/>
        <v>-0.54475000000000007</v>
      </c>
      <c r="O106" s="11"/>
      <c r="P106" s="6">
        <v>1123.97</v>
      </c>
      <c r="Q106" s="2"/>
      <c r="R106" s="7">
        <f t="shared" si="51"/>
        <v>2.7896478171701398E-3</v>
      </c>
      <c r="S106" s="2"/>
      <c r="T106" s="6">
        <v>1225</v>
      </c>
      <c r="U106" s="2"/>
      <c r="V106" s="7">
        <f t="shared" si="52"/>
        <v>3.3107427424769031E-3</v>
      </c>
      <c r="W106" s="2"/>
      <c r="X106" s="6">
        <f t="shared" si="53"/>
        <v>-101.02999999999997</v>
      </c>
      <c r="Y106" s="2"/>
      <c r="Z106" s="7">
        <f t="shared" si="54"/>
        <v>-8.2473469387755086E-2</v>
      </c>
    </row>
    <row r="107" spans="1:26" s="27" customFormat="1" outlineLevel="1" collapsed="1" x14ac:dyDescent="0.25">
      <c r="A107" s="26"/>
      <c r="B107" s="13" t="str">
        <f>CONCATENATE("     ","Subscriptions &amp; Dues                              ")</f>
        <v xml:space="preserve">     Subscriptions &amp; Dues                              </v>
      </c>
      <c r="C107" s="13"/>
      <c r="D107" s="1">
        <f>SUM(OSRRefD22_15x_0)</f>
        <v>0</v>
      </c>
      <c r="E107" s="1"/>
      <c r="F107" s="5">
        <f t="shared" ref="F107:F109" si="55">IF(D$12=0,0,D107/D$12)</f>
        <v>0</v>
      </c>
      <c r="G107" s="1"/>
      <c r="H107" s="1">
        <f>SUM(OSRRefH22_15x_0)</f>
        <v>215</v>
      </c>
      <c r="I107" s="1"/>
      <c r="J107" s="5">
        <f t="shared" ref="J107:J109" si="56">IF(H$12=0,0,H107/H$12)</f>
        <v>6.3100309730922607E-3</v>
      </c>
      <c r="K107" s="1"/>
      <c r="L107" s="1">
        <f t="shared" ref="L107:L109" si="57">+D107-H107</f>
        <v>-215</v>
      </c>
      <c r="M107" s="1"/>
      <c r="N107" s="5">
        <f t="shared" ref="N107:N109" si="58">IF(H107=0,0,L107/H107)</f>
        <v>-1</v>
      </c>
      <c r="O107" s="13"/>
      <c r="P107" s="1">
        <f>SUM(OSRRefP22_15x_0)</f>
        <v>163.41999999999999</v>
      </c>
      <c r="Q107" s="1"/>
      <c r="R107" s="5">
        <f t="shared" ref="R107:R109" si="59">IF(P$12=0,0,P107/P$12)</f>
        <v>4.0560179211361885E-4</v>
      </c>
      <c r="S107" s="1"/>
      <c r="T107" s="1">
        <f>SUM(OSRRefT22_15x_0)</f>
        <v>2340</v>
      </c>
      <c r="U107" s="1"/>
      <c r="V107" s="5">
        <f t="shared" ref="V107:V109" si="60">IF(T$12=0,0,T107/T$12)</f>
        <v>6.3241942999150633E-3</v>
      </c>
      <c r="W107" s="1"/>
      <c r="X107" s="1">
        <f t="shared" ref="X107:X109" si="61">+P107-T107</f>
        <v>-2176.58</v>
      </c>
      <c r="Y107" s="1"/>
      <c r="Z107" s="5">
        <f t="shared" ref="Z107:Z109" si="62">IF(T107=0,0,X107/T107)</f>
        <v>-0.93016239316239313</v>
      </c>
    </row>
    <row r="108" spans="1:26" s="24" customFormat="1" hidden="1" outlineLevel="2" x14ac:dyDescent="0.25">
      <c r="A108" s="25"/>
      <c r="B108" s="11" t="str">
        <f>CONCATENATE("          ", "6258", " - ", "MEMBERSHIP DUES")</f>
        <v xml:space="preserve">          6258 - MEMBERSHIP DUES</v>
      </c>
      <c r="C108" s="11"/>
      <c r="D108" s="6"/>
      <c r="E108" s="2"/>
      <c r="F108" s="7">
        <f t="shared" si="55"/>
        <v>0</v>
      </c>
      <c r="G108" s="2"/>
      <c r="H108" s="6">
        <v>0</v>
      </c>
      <c r="I108" s="2"/>
      <c r="J108" s="7">
        <f t="shared" si="56"/>
        <v>0</v>
      </c>
      <c r="K108" s="2"/>
      <c r="L108" s="6">
        <f t="shared" si="57"/>
        <v>0</v>
      </c>
      <c r="M108" s="2"/>
      <c r="N108" s="7">
        <f t="shared" si="58"/>
        <v>0</v>
      </c>
      <c r="O108" s="11"/>
      <c r="P108" s="6"/>
      <c r="Q108" s="2"/>
      <c r="R108" s="7">
        <f t="shared" si="59"/>
        <v>0</v>
      </c>
      <c r="S108" s="2"/>
      <c r="T108" s="6">
        <v>395</v>
      </c>
      <c r="U108" s="2"/>
      <c r="V108" s="7">
        <f t="shared" si="60"/>
        <v>1.0675456190027564E-3</v>
      </c>
      <c r="W108" s="2"/>
      <c r="X108" s="6">
        <f t="shared" si="61"/>
        <v>-395</v>
      </c>
      <c r="Y108" s="2"/>
      <c r="Z108" s="7">
        <f t="shared" si="62"/>
        <v>-1</v>
      </c>
    </row>
    <row r="109" spans="1:26" s="24" customFormat="1" hidden="1" outlineLevel="2" x14ac:dyDescent="0.25">
      <c r="A109" s="25"/>
      <c r="B109" s="11" t="str">
        <f>CONCATENATE("          ", "6275", " - ", "SUBSCRIPTIONS")</f>
        <v xml:space="preserve">          6275 - SUBSCRIPTIONS</v>
      </c>
      <c r="C109" s="11"/>
      <c r="D109" s="6"/>
      <c r="E109" s="2"/>
      <c r="F109" s="7">
        <f t="shared" si="55"/>
        <v>0</v>
      </c>
      <c r="G109" s="2"/>
      <c r="H109" s="6">
        <v>215</v>
      </c>
      <c r="I109" s="2"/>
      <c r="J109" s="7">
        <f t="shared" si="56"/>
        <v>6.3100309730922607E-3</v>
      </c>
      <c r="K109" s="2"/>
      <c r="L109" s="6">
        <f t="shared" si="57"/>
        <v>-215</v>
      </c>
      <c r="M109" s="2"/>
      <c r="N109" s="7">
        <f t="shared" si="58"/>
        <v>-1</v>
      </c>
      <c r="O109" s="11"/>
      <c r="P109" s="6">
        <v>163.41999999999999</v>
      </c>
      <c r="Q109" s="2"/>
      <c r="R109" s="7">
        <f t="shared" si="59"/>
        <v>4.0560179211361885E-4</v>
      </c>
      <c r="S109" s="2"/>
      <c r="T109" s="6">
        <v>1945</v>
      </c>
      <c r="U109" s="2"/>
      <c r="V109" s="7">
        <f t="shared" si="60"/>
        <v>5.2566486809123066E-3</v>
      </c>
      <c r="W109" s="2"/>
      <c r="X109" s="6">
        <f t="shared" si="61"/>
        <v>-1781.58</v>
      </c>
      <c r="Y109" s="2"/>
      <c r="Z109" s="7">
        <f t="shared" si="62"/>
        <v>-0.91597943444730079</v>
      </c>
    </row>
    <row r="110" spans="1:26" s="27" customFormat="1" outlineLevel="1" collapsed="1" x14ac:dyDescent="0.25">
      <c r="A110" s="26"/>
      <c r="B110" s="13" t="str">
        <f>CONCATENATE("     ","Supplies                                          ")</f>
        <v xml:space="preserve">     Supplies                                          </v>
      </c>
      <c r="C110" s="13"/>
      <c r="D110" s="1">
        <f>SUM(OSRRefD22_16x_0)</f>
        <v>482.68</v>
      </c>
      <c r="E110" s="1"/>
      <c r="F110" s="5">
        <f t="shared" ref="F110:F116" si="63">IF(D$12=0,0,D110/D$12)</f>
        <v>1.1090052337014622E-2</v>
      </c>
      <c r="G110" s="1"/>
      <c r="H110" s="1">
        <f>SUM(OSRRefH22_16x_0)</f>
        <v>450</v>
      </c>
      <c r="I110" s="1"/>
      <c r="J110" s="5">
        <f t="shared" ref="J110:J116" si="64">IF(H$12=0,0,H110/H$12)</f>
        <v>1.3207041571588453E-2</v>
      </c>
      <c r="K110" s="1"/>
      <c r="L110" s="1">
        <f t="shared" ref="L110:L116" si="65">+D110-H110</f>
        <v>32.680000000000007</v>
      </c>
      <c r="M110" s="1"/>
      <c r="N110" s="5">
        <f t="shared" ref="N110:N116" si="66">IF(H110=0,0,L110/H110)</f>
        <v>7.2622222222222241E-2</v>
      </c>
      <c r="O110" s="13"/>
      <c r="P110" s="1">
        <f>SUM(OSRRefP22_16x_0)</f>
        <v>3138.8800000000006</v>
      </c>
      <c r="Q110" s="1"/>
      <c r="R110" s="5">
        <f t="shared" ref="R110:R116" si="67">IF(P$12=0,0,P110/P$12)</f>
        <v>7.7905724711148962E-3</v>
      </c>
      <c r="S110" s="1"/>
      <c r="T110" s="1">
        <f>SUM(OSRRefT22_16x_0)</f>
        <v>3905</v>
      </c>
      <c r="U110" s="1"/>
      <c r="V110" s="5">
        <f t="shared" ref="V110:V116" si="68">IF(T$12=0,0,T110/T$12)</f>
        <v>1.0553837068875352E-2</v>
      </c>
      <c r="W110" s="1"/>
      <c r="X110" s="1">
        <f t="shared" ref="X110:X116" si="69">+P110-T110</f>
        <v>-766.11999999999944</v>
      </c>
      <c r="Y110" s="1"/>
      <c r="Z110" s="5">
        <f t="shared" ref="Z110:Z116" si="70">IF(T110=0,0,X110/T110)</f>
        <v>-0.19618950064020471</v>
      </c>
    </row>
    <row r="111" spans="1:26" s="24" customFormat="1" hidden="1" outlineLevel="2" x14ac:dyDescent="0.25">
      <c r="A111" s="25"/>
      <c r="B111" s="11" t="str">
        <f>CONCATENATE("          ", "6234", " - ", "EXPENDABLE SUPPLIES &amp; EQUIPMEN")</f>
        <v xml:space="preserve">          6234 - EXPENDABLE SUPPLIES &amp; EQUIPMEN</v>
      </c>
      <c r="C111" s="11"/>
      <c r="D111" s="6"/>
      <c r="E111" s="2"/>
      <c r="F111" s="7">
        <f t="shared" si="63"/>
        <v>0</v>
      </c>
      <c r="G111" s="2"/>
      <c r="H111" s="6">
        <v>200</v>
      </c>
      <c r="I111" s="2"/>
      <c r="J111" s="7">
        <f t="shared" si="64"/>
        <v>5.8697962540393122E-3</v>
      </c>
      <c r="K111" s="2"/>
      <c r="L111" s="6">
        <f t="shared" si="65"/>
        <v>-200</v>
      </c>
      <c r="M111" s="2"/>
      <c r="N111" s="7">
        <f t="shared" si="66"/>
        <v>-1</v>
      </c>
      <c r="O111" s="11"/>
      <c r="P111" s="6">
        <v>303.86</v>
      </c>
      <c r="Q111" s="2"/>
      <c r="R111" s="7">
        <f t="shared" si="67"/>
        <v>7.5416815904812292E-4</v>
      </c>
      <c r="S111" s="2"/>
      <c r="T111" s="6">
        <v>1350</v>
      </c>
      <c r="U111" s="2"/>
      <c r="V111" s="7">
        <f t="shared" si="68"/>
        <v>3.648573634566383E-3</v>
      </c>
      <c r="W111" s="2"/>
      <c r="X111" s="6">
        <f t="shared" si="69"/>
        <v>-1046.1399999999999</v>
      </c>
      <c r="Y111" s="2"/>
      <c r="Z111" s="7">
        <f t="shared" si="70"/>
        <v>-0.77491851851851845</v>
      </c>
    </row>
    <row r="112" spans="1:26" s="24" customFormat="1" hidden="1" outlineLevel="2" x14ac:dyDescent="0.25">
      <c r="A112" s="25"/>
      <c r="B112" s="11" t="str">
        <f>CONCATENATE("          ", "6237", " - ", "JANITORIAL SUPPLIES")</f>
        <v xml:space="preserve">          6237 - JANITORIAL SUPPLIES</v>
      </c>
      <c r="C112" s="11"/>
      <c r="D112" s="6"/>
      <c r="E112" s="2"/>
      <c r="F112" s="7">
        <f t="shared" si="63"/>
        <v>0</v>
      </c>
      <c r="G112" s="2"/>
      <c r="H112" s="6">
        <v>25</v>
      </c>
      <c r="I112" s="2"/>
      <c r="J112" s="7">
        <f t="shared" si="64"/>
        <v>7.3372453175491402E-4</v>
      </c>
      <c r="K112" s="2"/>
      <c r="L112" s="6">
        <f t="shared" si="65"/>
        <v>-25</v>
      </c>
      <c r="M112" s="2"/>
      <c r="N112" s="7">
        <f t="shared" si="66"/>
        <v>-1</v>
      </c>
      <c r="O112" s="11"/>
      <c r="P112" s="6">
        <v>287.72000000000003</v>
      </c>
      <c r="Q112" s="2"/>
      <c r="R112" s="7">
        <f t="shared" si="67"/>
        <v>7.1410933561944954E-4</v>
      </c>
      <c r="S112" s="2"/>
      <c r="T112" s="6">
        <v>155</v>
      </c>
      <c r="U112" s="2"/>
      <c r="V112" s="7">
        <f t="shared" si="68"/>
        <v>4.1891030619095506E-4</v>
      </c>
      <c r="W112" s="2"/>
      <c r="X112" s="6">
        <f t="shared" si="69"/>
        <v>132.72000000000003</v>
      </c>
      <c r="Y112" s="2"/>
      <c r="Z112" s="7">
        <f t="shared" si="70"/>
        <v>0.85625806451612918</v>
      </c>
    </row>
    <row r="113" spans="1:26" s="24" customFormat="1" hidden="1" outlineLevel="2" x14ac:dyDescent="0.25">
      <c r="A113" s="25"/>
      <c r="B113" s="11" t="str">
        <f>CONCATENATE("          ", "6241", " - ", "OFFICE EXPENSE")</f>
        <v xml:space="preserve">          6241 - OFFICE EXPENSE</v>
      </c>
      <c r="C113" s="11"/>
      <c r="D113" s="6">
        <v>22.48</v>
      </c>
      <c r="E113" s="2"/>
      <c r="F113" s="7">
        <f t="shared" si="63"/>
        <v>5.1650032430614219E-4</v>
      </c>
      <c r="G113" s="2"/>
      <c r="H113" s="6">
        <v>200</v>
      </c>
      <c r="I113" s="2"/>
      <c r="J113" s="7">
        <f t="shared" si="64"/>
        <v>5.8697962540393122E-3</v>
      </c>
      <c r="K113" s="2"/>
      <c r="L113" s="6">
        <f t="shared" si="65"/>
        <v>-177.52</v>
      </c>
      <c r="M113" s="2"/>
      <c r="N113" s="7">
        <f t="shared" si="66"/>
        <v>-0.88760000000000006</v>
      </c>
      <c r="O113" s="11"/>
      <c r="P113" s="6">
        <v>2044.93</v>
      </c>
      <c r="Q113" s="2"/>
      <c r="R113" s="7">
        <f t="shared" si="67"/>
        <v>5.0754330727383595E-3</v>
      </c>
      <c r="S113" s="2"/>
      <c r="T113" s="6">
        <v>1700</v>
      </c>
      <c r="U113" s="2"/>
      <c r="V113" s="7">
        <f t="shared" si="68"/>
        <v>4.5945001324169269E-3</v>
      </c>
      <c r="W113" s="2"/>
      <c r="X113" s="6">
        <f t="shared" si="69"/>
        <v>344.93000000000006</v>
      </c>
      <c r="Y113" s="2"/>
      <c r="Z113" s="7">
        <f t="shared" si="70"/>
        <v>0.20290000000000002</v>
      </c>
    </row>
    <row r="114" spans="1:26" s="24" customFormat="1" hidden="1" outlineLevel="2" x14ac:dyDescent="0.25">
      <c r="A114" s="25"/>
      <c r="B114" s="11" t="str">
        <f>CONCATENATE("          ", "6245", " - ", "PRINTING")</f>
        <v xml:space="preserve">          6245 - PRINTING</v>
      </c>
      <c r="C114" s="11"/>
      <c r="D114" s="6"/>
      <c r="E114" s="2"/>
      <c r="F114" s="7">
        <f t="shared" si="63"/>
        <v>0</v>
      </c>
      <c r="G114" s="2"/>
      <c r="H114" s="6"/>
      <c r="I114" s="2"/>
      <c r="J114" s="7">
        <f t="shared" si="64"/>
        <v>0</v>
      </c>
      <c r="K114" s="2"/>
      <c r="L114" s="6">
        <f t="shared" si="65"/>
        <v>0</v>
      </c>
      <c r="M114" s="2"/>
      <c r="N114" s="7">
        <f t="shared" si="66"/>
        <v>0</v>
      </c>
      <c r="O114" s="11"/>
      <c r="P114" s="6">
        <v>22.05</v>
      </c>
      <c r="Q114" s="2"/>
      <c r="R114" s="7">
        <f t="shared" si="67"/>
        <v>5.4727203011291744E-5</v>
      </c>
      <c r="S114" s="2"/>
      <c r="T114" s="6"/>
      <c r="U114" s="2"/>
      <c r="V114" s="7">
        <f t="shared" si="68"/>
        <v>0</v>
      </c>
      <c r="W114" s="2"/>
      <c r="X114" s="6">
        <f t="shared" si="69"/>
        <v>22.05</v>
      </c>
      <c r="Y114" s="2"/>
      <c r="Z114" s="7">
        <f t="shared" si="70"/>
        <v>0</v>
      </c>
    </row>
    <row r="115" spans="1:26" s="24" customFormat="1" hidden="1" outlineLevel="2" x14ac:dyDescent="0.25">
      <c r="A115" s="25"/>
      <c r="B115" s="11" t="str">
        <f>CONCATENATE("          ", "6247", " - ", "STORE SUPPLIES")</f>
        <v xml:space="preserve">          6247 - STORE SUPPLIES</v>
      </c>
      <c r="C115" s="11"/>
      <c r="D115" s="6">
        <v>460.2</v>
      </c>
      <c r="E115" s="2"/>
      <c r="F115" s="7">
        <f t="shared" si="63"/>
        <v>1.057355201270848E-2</v>
      </c>
      <c r="G115" s="2"/>
      <c r="H115" s="6">
        <v>25</v>
      </c>
      <c r="I115" s="2"/>
      <c r="J115" s="7">
        <f t="shared" si="64"/>
        <v>7.3372453175491402E-4</v>
      </c>
      <c r="K115" s="2"/>
      <c r="L115" s="6">
        <f t="shared" si="65"/>
        <v>435.2</v>
      </c>
      <c r="M115" s="2"/>
      <c r="N115" s="7">
        <f t="shared" si="66"/>
        <v>17.408000000000001</v>
      </c>
      <c r="O115" s="11"/>
      <c r="P115" s="6">
        <v>480.32</v>
      </c>
      <c r="Q115" s="2"/>
      <c r="R115" s="7">
        <f t="shared" si="67"/>
        <v>1.1921347006976712E-3</v>
      </c>
      <c r="S115" s="2"/>
      <c r="T115" s="6">
        <v>200</v>
      </c>
      <c r="U115" s="2"/>
      <c r="V115" s="7">
        <f t="shared" si="68"/>
        <v>5.4052942734316778E-4</v>
      </c>
      <c r="W115" s="2"/>
      <c r="X115" s="6">
        <f t="shared" si="69"/>
        <v>280.32</v>
      </c>
      <c r="Y115" s="2"/>
      <c r="Z115" s="7">
        <f t="shared" si="70"/>
        <v>1.4016</v>
      </c>
    </row>
    <row r="116" spans="1:26" s="24" customFormat="1" hidden="1" outlineLevel="2" x14ac:dyDescent="0.25">
      <c r="A116" s="25"/>
      <c r="B116" s="11" t="str">
        <f>CONCATENATE("          ", "6248", " - ", "UNIFORMS")</f>
        <v xml:space="preserve">          6248 - UNIFORMS</v>
      </c>
      <c r="C116" s="11"/>
      <c r="D116" s="6"/>
      <c r="E116" s="2"/>
      <c r="F116" s="7">
        <f t="shared" si="63"/>
        <v>0</v>
      </c>
      <c r="G116" s="2"/>
      <c r="H116" s="6">
        <v>0</v>
      </c>
      <c r="I116" s="2"/>
      <c r="J116" s="7">
        <f t="shared" si="64"/>
        <v>0</v>
      </c>
      <c r="K116" s="2"/>
      <c r="L116" s="6">
        <f t="shared" si="65"/>
        <v>0</v>
      </c>
      <c r="M116" s="2"/>
      <c r="N116" s="7">
        <f t="shared" si="66"/>
        <v>0</v>
      </c>
      <c r="O116" s="11"/>
      <c r="P116" s="6"/>
      <c r="Q116" s="2"/>
      <c r="R116" s="7">
        <f t="shared" si="67"/>
        <v>0</v>
      </c>
      <c r="S116" s="2"/>
      <c r="T116" s="6">
        <v>500</v>
      </c>
      <c r="U116" s="2"/>
      <c r="V116" s="7">
        <f t="shared" si="68"/>
        <v>1.3513235683579195E-3</v>
      </c>
      <c r="W116" s="2"/>
      <c r="X116" s="6">
        <f t="shared" si="69"/>
        <v>-500</v>
      </c>
      <c r="Y116" s="2"/>
      <c r="Z116" s="7">
        <f t="shared" si="70"/>
        <v>-1</v>
      </c>
    </row>
    <row r="117" spans="1:26" s="27" customFormat="1" outlineLevel="1" collapsed="1" x14ac:dyDescent="0.25">
      <c r="A117" s="26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SUM(OSRRefD22_17x_0)</f>
        <v>649.07000000000005</v>
      </c>
      <c r="E117" s="1"/>
      <c r="F117" s="5">
        <f t="shared" ref="F117:F119" si="71">IF(D$12=0,0,D117/D$12)</f>
        <v>1.4913027824616893E-2</v>
      </c>
      <c r="G117" s="1"/>
      <c r="H117" s="1">
        <f>SUM(OSRRefH22_17x_0)</f>
        <v>850</v>
      </c>
      <c r="I117" s="1"/>
      <c r="J117" s="5">
        <f t="shared" ref="J117:J119" si="72">IF(H$12=0,0,H117/H$12)</f>
        <v>2.4946634079667077E-2</v>
      </c>
      <c r="K117" s="1"/>
      <c r="L117" s="1">
        <f t="shared" ref="L117:L119" si="73">+D117-H117</f>
        <v>-200.92999999999995</v>
      </c>
      <c r="M117" s="1"/>
      <c r="N117" s="5">
        <f t="shared" ref="N117:N119" si="74">IF(H117=0,0,L117/H117)</f>
        <v>-0.23638823529411759</v>
      </c>
      <c r="O117" s="13"/>
      <c r="P117" s="1">
        <f>SUM(OSRRefP22_17x_0)</f>
        <v>2623.17</v>
      </c>
      <c r="Q117" s="1"/>
      <c r="R117" s="5">
        <f t="shared" ref="R117:R119" si="75">IF(P$12=0,0,P117/P$12)</f>
        <v>6.5106012300739299E-3</v>
      </c>
      <c r="S117" s="1"/>
      <c r="T117" s="1">
        <f>SUM(OSRRefT22_17x_0)</f>
        <v>4725</v>
      </c>
      <c r="U117" s="1"/>
      <c r="V117" s="5">
        <f t="shared" ref="V117:V119" si="76">IF(T$12=0,0,T117/T$12)</f>
        <v>1.277000772098234E-2</v>
      </c>
      <c r="W117" s="1"/>
      <c r="X117" s="1">
        <f t="shared" ref="X117:X119" si="77">+P117-T117</f>
        <v>-2101.83</v>
      </c>
      <c r="Y117" s="1"/>
      <c r="Z117" s="5">
        <f t="shared" ref="Z117:Z119" si="78">IF(T117=0,0,X117/T117)</f>
        <v>-0.44483174603174602</v>
      </c>
    </row>
    <row r="118" spans="1:26" s="24" customFormat="1" hidden="1" outlineLevel="2" x14ac:dyDescent="0.25">
      <c r="A118" s="25"/>
      <c r="B118" s="11" t="str">
        <f>CONCATENATE("          ", "6303", " - ", "DATA PHONE LINES")</f>
        <v xml:space="preserve">          6303 - DATA PHONE LINES</v>
      </c>
      <c r="C118" s="11"/>
      <c r="D118" s="6"/>
      <c r="E118" s="2"/>
      <c r="F118" s="7">
        <f t="shared" si="71"/>
        <v>0</v>
      </c>
      <c r="G118" s="2"/>
      <c r="H118" s="6">
        <v>850</v>
      </c>
      <c r="I118" s="2"/>
      <c r="J118" s="7">
        <f t="shared" si="72"/>
        <v>2.4946634079667077E-2</v>
      </c>
      <c r="K118" s="2"/>
      <c r="L118" s="6">
        <f t="shared" si="73"/>
        <v>-850</v>
      </c>
      <c r="M118" s="2"/>
      <c r="N118" s="7">
        <f t="shared" si="74"/>
        <v>-1</v>
      </c>
      <c r="O118" s="11"/>
      <c r="P118" s="6"/>
      <c r="Q118" s="2"/>
      <c r="R118" s="7">
        <f t="shared" si="75"/>
        <v>0</v>
      </c>
      <c r="S118" s="2"/>
      <c r="T118" s="6">
        <v>4725</v>
      </c>
      <c r="U118" s="2"/>
      <c r="V118" s="7">
        <f t="shared" si="76"/>
        <v>1.277000772098234E-2</v>
      </c>
      <c r="W118" s="2"/>
      <c r="X118" s="6">
        <f t="shared" si="77"/>
        <v>-4725</v>
      </c>
      <c r="Y118" s="2"/>
      <c r="Z118" s="7">
        <f t="shared" si="78"/>
        <v>-1</v>
      </c>
    </row>
    <row r="119" spans="1:26" s="24" customFormat="1" hidden="1" outlineLevel="2" x14ac:dyDescent="0.25">
      <c r="A119" s="25"/>
      <c r="B119" s="11" t="str">
        <f>CONCATENATE("          ", "6309", " - ", "TELEPHONE")</f>
        <v xml:space="preserve">          6309 - TELEPHONE</v>
      </c>
      <c r="C119" s="11"/>
      <c r="D119" s="6">
        <v>649.07000000000005</v>
      </c>
      <c r="E119" s="2"/>
      <c r="F119" s="7">
        <f t="shared" si="71"/>
        <v>1.4913027824616893E-2</v>
      </c>
      <c r="G119" s="2"/>
      <c r="H119" s="6"/>
      <c r="I119" s="2"/>
      <c r="J119" s="7">
        <f t="shared" si="72"/>
        <v>0</v>
      </c>
      <c r="K119" s="2"/>
      <c r="L119" s="6">
        <f t="shared" si="73"/>
        <v>649.07000000000005</v>
      </c>
      <c r="M119" s="2"/>
      <c r="N119" s="7">
        <f t="shared" si="74"/>
        <v>0</v>
      </c>
      <c r="O119" s="11"/>
      <c r="P119" s="6">
        <v>2623.17</v>
      </c>
      <c r="Q119" s="2"/>
      <c r="R119" s="7">
        <f t="shared" si="75"/>
        <v>6.5106012300739299E-3</v>
      </c>
      <c r="S119" s="2"/>
      <c r="T119" s="6"/>
      <c r="U119" s="2"/>
      <c r="V119" s="7">
        <f t="shared" si="76"/>
        <v>0</v>
      </c>
      <c r="W119" s="2"/>
      <c r="X119" s="6">
        <f t="shared" si="77"/>
        <v>2623.17</v>
      </c>
      <c r="Y119" s="2"/>
      <c r="Z119" s="7">
        <f t="shared" si="78"/>
        <v>0</v>
      </c>
    </row>
    <row r="120" spans="1:26" s="27" customFormat="1" outlineLevel="1" collapsed="1" x14ac:dyDescent="0.25">
      <c r="A120" s="26"/>
      <c r="B120" s="13" t="str">
        <f>CONCATENATE("     ","Training                                          ")</f>
        <v xml:space="preserve">     Training                                          </v>
      </c>
      <c r="C120" s="13"/>
      <c r="D120" s="1">
        <f>SUM(OSRRefD22_18x_0)</f>
        <v>811.24</v>
      </c>
      <c r="E120" s="1"/>
      <c r="F120" s="5">
        <f t="shared" ref="F120:F125" si="79">IF(D$12=0,0,D120/D$12)</f>
        <v>1.8639044621446388E-2</v>
      </c>
      <c r="G120" s="1"/>
      <c r="H120" s="1">
        <f>SUM(OSRRefH22_18x_0)</f>
        <v>0</v>
      </c>
      <c r="I120" s="1"/>
      <c r="J120" s="5">
        <f t="shared" ref="J120:J125" si="80">IF(H$12=0,0,H120/H$12)</f>
        <v>0</v>
      </c>
      <c r="K120" s="1"/>
      <c r="L120" s="1">
        <f t="shared" ref="L120:L125" si="81">+D120-H120</f>
        <v>811.24</v>
      </c>
      <c r="M120" s="1"/>
      <c r="N120" s="5">
        <f t="shared" ref="N120:N125" si="82">IF(H120=0,0,L120/H120)</f>
        <v>0</v>
      </c>
      <c r="O120" s="13"/>
      <c r="P120" s="1">
        <f>SUM(OSRRefP22_18x_0)</f>
        <v>811.24</v>
      </c>
      <c r="Q120" s="1"/>
      <c r="R120" s="5">
        <f t="shared" ref="R120:R125" si="83">IF(P$12=0,0,P120/P$12)</f>
        <v>2.0134646789514883E-3</v>
      </c>
      <c r="S120" s="1"/>
      <c r="T120" s="1">
        <f>SUM(OSRRefT22_18x_0)</f>
        <v>100</v>
      </c>
      <c r="U120" s="1"/>
      <c r="V120" s="5">
        <f t="shared" ref="V120:V125" si="84">IF(T$12=0,0,T120/T$12)</f>
        <v>2.7026471367158389E-4</v>
      </c>
      <c r="W120" s="1"/>
      <c r="X120" s="1">
        <f t="shared" ref="X120:X125" si="85">+P120-T120</f>
        <v>711.24</v>
      </c>
      <c r="Y120" s="1"/>
      <c r="Z120" s="5">
        <f t="shared" ref="Z120:Z125" si="86">IF(T120=0,0,X120/T120)</f>
        <v>7.1124000000000001</v>
      </c>
    </row>
    <row r="121" spans="1:26" s="24" customFormat="1" hidden="1" outlineLevel="2" x14ac:dyDescent="0.25">
      <c r="A121" s="25"/>
      <c r="B121" s="11" t="str">
        <f>CONCATENATE("          ", "6376", " - ", "TRAINING")</f>
        <v xml:space="preserve">          6376 - TRAINING</v>
      </c>
      <c r="C121" s="11"/>
      <c r="D121" s="6">
        <v>811.24</v>
      </c>
      <c r="E121" s="2"/>
      <c r="F121" s="7">
        <f t="shared" si="79"/>
        <v>1.8639044621446388E-2</v>
      </c>
      <c r="G121" s="2"/>
      <c r="H121" s="6">
        <v>0</v>
      </c>
      <c r="I121" s="2"/>
      <c r="J121" s="7">
        <f t="shared" si="80"/>
        <v>0</v>
      </c>
      <c r="K121" s="2"/>
      <c r="L121" s="6">
        <f t="shared" si="81"/>
        <v>811.24</v>
      </c>
      <c r="M121" s="2"/>
      <c r="N121" s="7">
        <f t="shared" si="82"/>
        <v>0</v>
      </c>
      <c r="O121" s="11"/>
      <c r="P121" s="6">
        <v>811.24</v>
      </c>
      <c r="Q121" s="2"/>
      <c r="R121" s="7">
        <f t="shared" si="83"/>
        <v>2.0134646789514883E-3</v>
      </c>
      <c r="S121" s="2"/>
      <c r="T121" s="6">
        <v>100</v>
      </c>
      <c r="U121" s="2"/>
      <c r="V121" s="7">
        <f t="shared" si="84"/>
        <v>2.7026471367158389E-4</v>
      </c>
      <c r="W121" s="2"/>
      <c r="X121" s="6">
        <f t="shared" si="85"/>
        <v>711.24</v>
      </c>
      <c r="Y121" s="2"/>
      <c r="Z121" s="7">
        <f t="shared" si="86"/>
        <v>7.1124000000000001</v>
      </c>
    </row>
    <row r="122" spans="1:26" s="27" customFormat="1" outlineLevel="1" collapsed="1" x14ac:dyDescent="0.25">
      <c r="A122" s="26"/>
      <c r="B122" s="13" t="str">
        <f>CONCATENATE("     ","Travel                                            ")</f>
        <v xml:space="preserve">     Travel                                            </v>
      </c>
      <c r="C122" s="13"/>
      <c r="D122" s="1">
        <f>SUM(OSRRefD22_19x_0)</f>
        <v>35.29</v>
      </c>
      <c r="E122" s="1"/>
      <c r="F122" s="5">
        <f t="shared" si="79"/>
        <v>8.1082279558557647E-4</v>
      </c>
      <c r="G122" s="1"/>
      <c r="H122" s="1">
        <f>SUM(OSRRefH22_19x_0)</f>
        <v>25</v>
      </c>
      <c r="I122" s="1"/>
      <c r="J122" s="5">
        <f t="shared" si="80"/>
        <v>7.3372453175491402E-4</v>
      </c>
      <c r="K122" s="1"/>
      <c r="L122" s="1">
        <f t="shared" si="81"/>
        <v>10.29</v>
      </c>
      <c r="M122" s="1"/>
      <c r="N122" s="5">
        <f t="shared" si="82"/>
        <v>0.41159999999999997</v>
      </c>
      <c r="O122" s="13"/>
      <c r="P122" s="1">
        <f>SUM(OSRRefP22_19x_0)</f>
        <v>698.01</v>
      </c>
      <c r="Q122" s="1"/>
      <c r="R122" s="5">
        <f t="shared" si="83"/>
        <v>1.7324324251207141E-3</v>
      </c>
      <c r="S122" s="1"/>
      <c r="T122" s="1">
        <f>SUM(OSRRefT22_19x_0)</f>
        <v>385</v>
      </c>
      <c r="U122" s="1"/>
      <c r="V122" s="5">
        <f t="shared" si="84"/>
        <v>1.0405191476355981E-3</v>
      </c>
      <c r="W122" s="1"/>
      <c r="X122" s="1">
        <f t="shared" si="85"/>
        <v>313.01</v>
      </c>
      <c r="Y122" s="1"/>
      <c r="Z122" s="5">
        <f t="shared" si="86"/>
        <v>0.81301298701298697</v>
      </c>
    </row>
    <row r="123" spans="1:26" s="24" customFormat="1" hidden="1" outlineLevel="2" x14ac:dyDescent="0.25">
      <c r="A123" s="25"/>
      <c r="B123" s="11" t="str">
        <f>CONCATENATE("          ", "6294", " - ", "TRAVEL OPERATIONAL")</f>
        <v xml:space="preserve">          6294 - TRAVEL OPERATIONAL</v>
      </c>
      <c r="C123" s="11"/>
      <c r="D123" s="6">
        <v>35.29</v>
      </c>
      <c r="E123" s="2"/>
      <c r="F123" s="7">
        <f t="shared" si="79"/>
        <v>8.1082279558557647E-4</v>
      </c>
      <c r="G123" s="2"/>
      <c r="H123" s="6">
        <v>25</v>
      </c>
      <c r="I123" s="2"/>
      <c r="J123" s="7">
        <f t="shared" si="80"/>
        <v>7.3372453175491402E-4</v>
      </c>
      <c r="K123" s="2"/>
      <c r="L123" s="6">
        <f t="shared" si="81"/>
        <v>10.29</v>
      </c>
      <c r="M123" s="2"/>
      <c r="N123" s="7">
        <f t="shared" si="82"/>
        <v>0.41159999999999997</v>
      </c>
      <c r="O123" s="11"/>
      <c r="P123" s="6">
        <v>698.01</v>
      </c>
      <c r="Q123" s="2"/>
      <c r="R123" s="7">
        <f t="shared" si="83"/>
        <v>1.7324324251207141E-3</v>
      </c>
      <c r="S123" s="2"/>
      <c r="T123" s="6">
        <v>385</v>
      </c>
      <c r="U123" s="2"/>
      <c r="V123" s="7">
        <f t="shared" si="84"/>
        <v>1.0405191476355981E-3</v>
      </c>
      <c r="W123" s="2"/>
      <c r="X123" s="6">
        <f t="shared" si="85"/>
        <v>313.01</v>
      </c>
      <c r="Y123" s="2"/>
      <c r="Z123" s="7">
        <f t="shared" si="86"/>
        <v>0.81301298701298697</v>
      </c>
    </row>
    <row r="124" spans="1:26" s="27" customFormat="1" outlineLevel="1" collapsed="1" x14ac:dyDescent="0.25">
      <c r="A124" s="26"/>
      <c r="B124" s="13" t="str">
        <f>CONCATENATE("     ","Utilities                                         ")</f>
        <v xml:space="preserve">     Utilities                                         </v>
      </c>
      <c r="C124" s="13"/>
      <c r="D124" s="1">
        <f>SUM(OSRRefD22_20x_0)</f>
        <v>2392.9699999999998</v>
      </c>
      <c r="E124" s="1"/>
      <c r="F124" s="5">
        <f t="shared" si="79"/>
        <v>5.4980862146568908E-2</v>
      </c>
      <c r="G124" s="1"/>
      <c r="H124" s="1">
        <f>SUM(OSRRefH22_20x_0)</f>
        <v>3000</v>
      </c>
      <c r="I124" s="1"/>
      <c r="J124" s="5">
        <f t="shared" si="80"/>
        <v>8.8046943810589695E-2</v>
      </c>
      <c r="K124" s="1"/>
      <c r="L124" s="1">
        <f t="shared" si="81"/>
        <v>-607.0300000000002</v>
      </c>
      <c r="M124" s="1"/>
      <c r="N124" s="5">
        <f t="shared" si="82"/>
        <v>-0.2023433333333334</v>
      </c>
      <c r="O124" s="13"/>
      <c r="P124" s="1">
        <f>SUM(OSRRefP22_20x_0)</f>
        <v>2853.79</v>
      </c>
      <c r="Q124" s="1"/>
      <c r="R124" s="5">
        <f t="shared" si="83"/>
        <v>7.0829906885076762E-3</v>
      </c>
      <c r="S124" s="1"/>
      <c r="T124" s="1">
        <f>SUM(OSRRefT22_20x_0)</f>
        <v>3675</v>
      </c>
      <c r="U124" s="1"/>
      <c r="V124" s="5">
        <f t="shared" si="84"/>
        <v>9.9322282274307092E-3</v>
      </c>
      <c r="W124" s="1"/>
      <c r="X124" s="1">
        <f t="shared" si="85"/>
        <v>-821.21</v>
      </c>
      <c r="Y124" s="1"/>
      <c r="Z124" s="5">
        <f t="shared" si="86"/>
        <v>-0.22345850340136056</v>
      </c>
    </row>
    <row r="125" spans="1:26" s="24" customFormat="1" hidden="1" outlineLevel="2" x14ac:dyDescent="0.25">
      <c r="A125" s="25"/>
      <c r="B125" s="11" t="str">
        <f>CONCATENATE("          ", "6274", " - ", "UTILITIES")</f>
        <v xml:space="preserve">          6274 - UTILITIES</v>
      </c>
      <c r="C125" s="11"/>
      <c r="D125" s="6">
        <v>2392.9699999999998</v>
      </c>
      <c r="E125" s="2"/>
      <c r="F125" s="7">
        <f t="shared" si="79"/>
        <v>5.4980862146568908E-2</v>
      </c>
      <c r="G125" s="2"/>
      <c r="H125" s="6">
        <v>3000</v>
      </c>
      <c r="I125" s="2"/>
      <c r="J125" s="7">
        <f t="shared" si="80"/>
        <v>8.8046943810589695E-2</v>
      </c>
      <c r="K125" s="2"/>
      <c r="L125" s="6">
        <f t="shared" si="81"/>
        <v>-607.0300000000002</v>
      </c>
      <c r="M125" s="2"/>
      <c r="N125" s="7">
        <f t="shared" si="82"/>
        <v>-0.2023433333333334</v>
      </c>
      <c r="O125" s="11"/>
      <c r="P125" s="6">
        <v>2853.79</v>
      </c>
      <c r="Q125" s="2"/>
      <c r="R125" s="7">
        <f t="shared" si="83"/>
        <v>7.0829906885076762E-3</v>
      </c>
      <c r="S125" s="2"/>
      <c r="T125" s="6">
        <v>3675</v>
      </c>
      <c r="U125" s="2"/>
      <c r="V125" s="7">
        <f t="shared" si="84"/>
        <v>9.9322282274307092E-3</v>
      </c>
      <c r="W125" s="2"/>
      <c r="X125" s="6">
        <f t="shared" si="85"/>
        <v>-821.21</v>
      </c>
      <c r="Y125" s="2"/>
      <c r="Z125" s="7">
        <f t="shared" si="86"/>
        <v>-0.22345850340136056</v>
      </c>
    </row>
    <row r="126" spans="1:26" s="53" customFormat="1" x14ac:dyDescent="0.25">
      <c r="A126" s="36"/>
      <c r="B126" s="36"/>
      <c r="C126" s="36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x14ac:dyDescent="0.25">
      <c r="A127" s="10"/>
      <c r="B127" s="29" t="s">
        <v>0</v>
      </c>
      <c r="C127" s="10"/>
      <c r="D127" s="4">
        <f>SUM(0)</f>
        <v>0</v>
      </c>
      <c r="E127" s="4"/>
      <c r="F127" s="12">
        <f>IF(D$12=0,0,D127/D$12)</f>
        <v>0</v>
      </c>
      <c r="G127" s="4"/>
      <c r="H127" s="4">
        <f>SUM(0)</f>
        <v>0</v>
      </c>
      <c r="I127" s="4"/>
      <c r="J127" s="12">
        <f>IF(H$12=0,0,H127/H$12)</f>
        <v>0</v>
      </c>
      <c r="K127" s="4"/>
      <c r="L127" s="4">
        <f>+D127-H127</f>
        <v>0</v>
      </c>
      <c r="M127" s="4"/>
      <c r="N127" s="12">
        <f>IF(H127=0,0,L127/H127)</f>
        <v>0</v>
      </c>
      <c r="O127" s="10"/>
      <c r="P127" s="4">
        <f>SUM(0)</f>
        <v>0</v>
      </c>
      <c r="Q127" s="4"/>
      <c r="R127" s="12">
        <f>IF(P$12=0,0,P127/P$12)</f>
        <v>0</v>
      </c>
      <c r="S127" s="4"/>
      <c r="T127" s="4">
        <f>SUM(0)</f>
        <v>0</v>
      </c>
      <c r="U127" s="4"/>
      <c r="V127" s="12">
        <f>IF(T$12=0,0,T127/T$12)</f>
        <v>0</v>
      </c>
      <c r="W127" s="4"/>
      <c r="X127" s="4">
        <f>+P127-T127</f>
        <v>0</v>
      </c>
      <c r="Y127" s="4"/>
      <c r="Z127" s="12">
        <f>IF(T127=0,0,X127/T127)</f>
        <v>0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8" t="s">
        <v>3</v>
      </c>
      <c r="C129" s="28"/>
      <c r="D129" s="21">
        <f>+D53-D55+D127</f>
        <v>-16492.309999999998</v>
      </c>
      <c r="E129" s="14"/>
      <c r="F129" s="22">
        <f>IF(D$12=0,0,D129/D$12)</f>
        <v>-0.37892720033618466</v>
      </c>
      <c r="G129" s="14"/>
      <c r="H129" s="21">
        <f>+H53-H55+H127</f>
        <v>-5914.7863953307715</v>
      </c>
      <c r="I129" s="14"/>
      <c r="J129" s="22">
        <f>IF(H$12=0,0,H129/H$12)</f>
        <v>-0.17359295513377626</v>
      </c>
      <c r="K129" s="15"/>
      <c r="L129" s="21">
        <f>+D129-H129</f>
        <v>-10577.523604669226</v>
      </c>
      <c r="M129" s="15"/>
      <c r="N129" s="22">
        <f>IF(H129=0,0,L129/H129)</f>
        <v>1.7883187824025726</v>
      </c>
      <c r="O129" s="29"/>
      <c r="P129" s="21">
        <f>+P53-P55+P127</f>
        <v>-24728.829999999929</v>
      </c>
      <c r="Q129" s="14"/>
      <c r="R129" s="22">
        <f>IF(P$12=0,0,P129/P$12)</f>
        <v>-6.1375950097130053E-2</v>
      </c>
      <c r="S129" s="14"/>
      <c r="T129" s="21">
        <f>+T53-T55+T127</f>
        <v>-6012.9799456442706</v>
      </c>
      <c r="U129" s="14"/>
      <c r="V129" s="22">
        <f>IF(T$12=0,0,T129/T$12)</f>
        <v>-1.6250963033225249E-2</v>
      </c>
      <c r="W129" s="15"/>
      <c r="X129" s="21">
        <f>+P129-T129</f>
        <v>-18715.850054355658</v>
      </c>
      <c r="Y129" s="15"/>
      <c r="Z129" s="22">
        <f>IF(T129=0,0,X129/T129)</f>
        <v>3.1125748337000845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3585.6</v>
      </c>
      <c r="E131" s="4"/>
      <c r="F131" s="12">
        <f>IF(D$12=0,0,D131/D$12)</f>
        <v>8.2382720766552647E-2</v>
      </c>
      <c r="G131" s="4"/>
      <c r="H131" s="4">
        <v>3132</v>
      </c>
      <c r="I131" s="4"/>
      <c r="J131" s="12">
        <f>IF(H$12=0,0,H131/H$12)</f>
        <v>9.192100933825563E-2</v>
      </c>
      <c r="K131" s="4"/>
      <c r="L131" s="4">
        <f>+D131-H131</f>
        <v>453.59999999999991</v>
      </c>
      <c r="M131" s="4"/>
      <c r="N131" s="12">
        <f>IF(H131=0,0,L131/H131)</f>
        <v>0.14482758620689654</v>
      </c>
      <c r="O131" s="10"/>
      <c r="P131" s="4">
        <v>41064.239999999998</v>
      </c>
      <c r="Q131" s="4"/>
      <c r="R131" s="12">
        <f>IF(P$12=0,0,P131/P$12)</f>
        <v>0.10191977319657174</v>
      </c>
      <c r="S131" s="4"/>
      <c r="T131" s="4">
        <v>44495</v>
      </c>
      <c r="U131" s="4"/>
      <c r="V131" s="12">
        <f>IF(T$12=0,0,T131/T$12)</f>
        <v>0.12025428434817126</v>
      </c>
      <c r="W131" s="4"/>
      <c r="X131" s="4">
        <f>+P131-T131</f>
        <v>-3430.760000000002</v>
      </c>
      <c r="Y131" s="4"/>
      <c r="Z131" s="12">
        <f>IF(T131=0,0,X131/T131)</f>
        <v>-7.7104393752107023E-2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8" t="s">
        <v>4</v>
      </c>
      <c r="C133" s="28"/>
      <c r="D133" s="31">
        <f>+D129-D131</f>
        <v>-20077.909999999996</v>
      </c>
      <c r="E133" s="14"/>
      <c r="F133" s="32">
        <f>IF(D$12=0,0,D133/D$12)</f>
        <v>-0.46130992110273727</v>
      </c>
      <c r="G133" s="14"/>
      <c r="H133" s="31">
        <f>+H129-H131</f>
        <v>-9046.7863953307715</v>
      </c>
      <c r="I133" s="14"/>
      <c r="J133" s="32">
        <f>IF(H$12=0,0,H133/H$12)</f>
        <v>-0.2655139644720319</v>
      </c>
      <c r="K133" s="15"/>
      <c r="L133" s="31">
        <f>D133-H133</f>
        <v>-11031.123604669225</v>
      </c>
      <c r="M133" s="15"/>
      <c r="N133" s="32">
        <f>IF(H133=0,0,L133/H133)</f>
        <v>1.219341667043516</v>
      </c>
      <c r="O133" s="29"/>
      <c r="P133" s="31">
        <f>+P129-P131</f>
        <v>-65793.06999999992</v>
      </c>
      <c r="Q133" s="14"/>
      <c r="R133" s="32">
        <f>IF(P$12=0,0,P133/P$12)</f>
        <v>-0.16329572329370176</v>
      </c>
      <c r="S133" s="14"/>
      <c r="T133" s="31">
        <f>+T129-T131</f>
        <v>-50507.979945644271</v>
      </c>
      <c r="U133" s="14"/>
      <c r="V133" s="32">
        <f>IF(T$12=0,0,T133/T$12)</f>
        <v>-0.13650524738139652</v>
      </c>
      <c r="W133" s="15"/>
      <c r="X133" s="31">
        <f>P133-T133</f>
        <v>-15285.090054355649</v>
      </c>
      <c r="Y133" s="15"/>
      <c r="Z133" s="32">
        <f>IF(T133=0,0,X133/T133)</f>
        <v>0.30262722981210438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5</v>
      </c>
      <c r="C136" s="28"/>
      <c r="D136" s="33">
        <f>SUM(D133:D135)</f>
        <v>-20077.909999999996</v>
      </c>
      <c r="E136" s="14"/>
      <c r="F136" s="30">
        <f>IF(D$12=0,0,D136/D$12)</f>
        <v>-0.46130992110273727</v>
      </c>
      <c r="G136" s="14"/>
      <c r="H136" s="33">
        <f>SUM(H133:H135)</f>
        <v>-9046.7863953307715</v>
      </c>
      <c r="I136" s="14"/>
      <c r="J136" s="30">
        <f>IF(H$12=0,0,H136/H$12)</f>
        <v>-0.2655139644720319</v>
      </c>
      <c r="K136" s="15"/>
      <c r="L136" s="33">
        <f>+D136-H136</f>
        <v>-11031.123604669225</v>
      </c>
      <c r="M136" s="15"/>
      <c r="N136" s="30">
        <f>IF(H136=0,0,L136/H136)</f>
        <v>1.219341667043516</v>
      </c>
      <c r="O136" s="29"/>
      <c r="P136" s="33">
        <f>SUM(P133:P135)</f>
        <v>-65793.06999999992</v>
      </c>
      <c r="Q136" s="14"/>
      <c r="R136" s="30">
        <f>IF(P$12=0,0,P136/P$12)</f>
        <v>-0.16329572329370176</v>
      </c>
      <c r="S136" s="14"/>
      <c r="T136" s="33">
        <f>SUM(T133:T135)</f>
        <v>-50507.979945644271</v>
      </c>
      <c r="U136" s="14"/>
      <c r="V136" s="30">
        <f>IF(T$12=0,0,T136/T$12)</f>
        <v>-0.13650524738139652</v>
      </c>
      <c r="W136" s="15"/>
      <c r="X136" s="33">
        <f>+P136-T136</f>
        <v>-15285.090054355649</v>
      </c>
      <c r="Y136" s="15"/>
      <c r="Z136" s="30">
        <f>IF(T136=0,0,X136/T136)</f>
        <v>0.30262722981210438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9">
        <v>43908.494976539354</v>
      </c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63" t="s">
        <v>314</v>
      </c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A140" s="9"/>
      <c r="B140" s="57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49550.77</v>
      </c>
      <c r="E12" s="4"/>
      <c r="F12" s="12"/>
      <c r="G12" s="4"/>
      <c r="H12" s="4">
        <f>SUM(OSRRefH13x_0)</f>
        <v>71725</v>
      </c>
      <c r="I12" s="4"/>
      <c r="J12" s="12"/>
      <c r="K12" s="4"/>
      <c r="L12" s="4">
        <f t="shared" ref="L12:L30" si="0">+D12-H12</f>
        <v>-22174.230000000003</v>
      </c>
      <c r="M12" s="4"/>
      <c r="N12" s="12">
        <f t="shared" ref="N12:N30" si="1">IF(H12=0,0,L12/H12)</f>
        <v>-0.30915622168002793</v>
      </c>
      <c r="O12" s="10"/>
      <c r="P12" s="4">
        <f>SUM(OSRRefP13x_0)</f>
        <v>449700.64</v>
      </c>
      <c r="Q12" s="4"/>
      <c r="R12" s="12"/>
      <c r="S12" s="4"/>
      <c r="T12" s="4">
        <f>SUM(OSRRefT13x_0)</f>
        <v>518752.5</v>
      </c>
      <c r="U12" s="4"/>
      <c r="V12" s="12"/>
      <c r="W12" s="4"/>
      <c r="X12" s="4">
        <f t="shared" ref="X12:X30" si="2">+P12-T12</f>
        <v>-69051.859999999986</v>
      </c>
      <c r="Y12" s="4"/>
      <c r="Z12" s="12">
        <f t="shared" ref="Z12:Z30" si="3">IF(T12=0,0,X12/T12)</f>
        <v>-0.13311137777649262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67925</v>
      </c>
      <c r="I13" s="2"/>
      <c r="J13" s="19"/>
      <c r="K13" s="2"/>
      <c r="L13" s="2">
        <f t="shared" si="0"/>
        <v>-67925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447887.5</v>
      </c>
      <c r="U13" s="2"/>
      <c r="V13" s="19"/>
      <c r="W13" s="2"/>
      <c r="X13" s="2">
        <f t="shared" si="2"/>
        <v>-447887.5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--9101.46</f>
        <v>9101.4599999999991</v>
      </c>
      <c r="E14" s="2"/>
      <c r="F14" s="19"/>
      <c r="G14" s="2"/>
      <c r="H14" s="2"/>
      <c r="I14" s="2"/>
      <c r="J14" s="19"/>
      <c r="K14" s="2"/>
      <c r="L14" s="2">
        <f t="shared" si="0"/>
        <v>9101.4599999999991</v>
      </c>
      <c r="M14" s="2"/>
      <c r="N14" s="19">
        <f t="shared" si="1"/>
        <v>0</v>
      </c>
      <c r="O14" s="11"/>
      <c r="P14" s="2">
        <f>--173823.99</f>
        <v>173823.99</v>
      </c>
      <c r="Q14" s="2"/>
      <c r="R14" s="19"/>
      <c r="S14" s="2"/>
      <c r="T14" s="2"/>
      <c r="U14" s="2"/>
      <c r="V14" s="19"/>
      <c r="W14" s="2"/>
      <c r="X14" s="2">
        <f t="shared" si="2"/>
        <v>173823.99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--8240.96</f>
        <v>8240.9599999999991</v>
      </c>
      <c r="E15" s="2"/>
      <c r="F15" s="19"/>
      <c r="G15" s="2"/>
      <c r="H15" s="2"/>
      <c r="I15" s="2"/>
      <c r="J15" s="19"/>
      <c r="K15" s="2"/>
      <c r="L15" s="2">
        <f t="shared" si="0"/>
        <v>8240.9599999999991</v>
      </c>
      <c r="M15" s="2"/>
      <c r="N15" s="19">
        <f t="shared" si="1"/>
        <v>0</v>
      </c>
      <c r="O15" s="11"/>
      <c r="P15" s="2">
        <f>--62134.47</f>
        <v>62134.47</v>
      </c>
      <c r="Q15" s="2"/>
      <c r="R15" s="19"/>
      <c r="S15" s="2"/>
      <c r="T15" s="2"/>
      <c r="U15" s="2"/>
      <c r="V15" s="19"/>
      <c r="W15" s="2"/>
      <c r="X15" s="2">
        <f t="shared" si="2"/>
        <v>62134.47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--60.73</f>
        <v>60.73</v>
      </c>
      <c r="E16" s="2"/>
      <c r="F16" s="19"/>
      <c r="G16" s="2"/>
      <c r="H16" s="2"/>
      <c r="I16" s="2"/>
      <c r="J16" s="19"/>
      <c r="K16" s="2"/>
      <c r="L16" s="2">
        <f t="shared" si="0"/>
        <v>60.73</v>
      </c>
      <c r="M16" s="2"/>
      <c r="N16" s="19">
        <f t="shared" si="1"/>
        <v>0</v>
      </c>
      <c r="O16" s="11"/>
      <c r="P16" s="2">
        <f>--249.79</f>
        <v>249.79</v>
      </c>
      <c r="Q16" s="2"/>
      <c r="R16" s="19"/>
      <c r="S16" s="2"/>
      <c r="T16" s="2"/>
      <c r="U16" s="2"/>
      <c r="V16" s="19"/>
      <c r="W16" s="2"/>
      <c r="X16" s="2">
        <f t="shared" si="2"/>
        <v>249.79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--235.18</f>
        <v>235.18</v>
      </c>
      <c r="E17" s="2"/>
      <c r="F17" s="19"/>
      <c r="G17" s="2"/>
      <c r="H17" s="2"/>
      <c r="I17" s="2"/>
      <c r="J17" s="19"/>
      <c r="K17" s="2"/>
      <c r="L17" s="2">
        <f t="shared" si="0"/>
        <v>235.18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>--208.95</f>
        <v>208.95</v>
      </c>
      <c r="E18" s="2"/>
      <c r="F18" s="19"/>
      <c r="G18" s="2"/>
      <c r="H18" s="2"/>
      <c r="I18" s="2"/>
      <c r="J18" s="19"/>
      <c r="K18" s="2"/>
      <c r="L18" s="2">
        <f t="shared" si="0"/>
        <v>208.95</v>
      </c>
      <c r="M18" s="2"/>
      <c r="N18" s="19">
        <f t="shared" si="1"/>
        <v>0</v>
      </c>
      <c r="O18" s="11"/>
      <c r="P18" s="2">
        <f>--2185.99</f>
        <v>2185.9899999999998</v>
      </c>
      <c r="Q18" s="2"/>
      <c r="R18" s="19"/>
      <c r="S18" s="2"/>
      <c r="T18" s="2"/>
      <c r="U18" s="2"/>
      <c r="V18" s="19"/>
      <c r="W18" s="2"/>
      <c r="X18" s="2">
        <f t="shared" si="2"/>
        <v>2185.9899999999998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 t="shared" ref="D19:D21" si="4"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--7699.32</f>
        <v>7699.32</v>
      </c>
      <c r="Q19" s="2"/>
      <c r="R19" s="19"/>
      <c r="S19" s="2"/>
      <c r="T19" s="2"/>
      <c r="U19" s="2"/>
      <c r="V19" s="19"/>
      <c r="W19" s="2"/>
      <c r="X19" s="2">
        <f t="shared" si="2"/>
        <v>7699.32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--279.56</f>
        <v>279.56</v>
      </c>
      <c r="Q20" s="2"/>
      <c r="R20" s="19"/>
      <c r="S20" s="2"/>
      <c r="T20" s="2"/>
      <c r="U20" s="2"/>
      <c r="V20" s="19"/>
      <c r="W20" s="2"/>
      <c r="X20" s="2">
        <f t="shared" si="2"/>
        <v>279.56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4"/>
        <v>0</v>
      </c>
      <c r="E21" s="2"/>
      <c r="F21" s="19"/>
      <c r="G21" s="2"/>
      <c r="H21" s="2">
        <v>3800</v>
      </c>
      <c r="I21" s="2"/>
      <c r="J21" s="19"/>
      <c r="K21" s="2"/>
      <c r="L21" s="2">
        <f t="shared" si="0"/>
        <v>-3800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70865</v>
      </c>
      <c r="U21" s="2"/>
      <c r="V21" s="19"/>
      <c r="W21" s="2"/>
      <c r="X21" s="2">
        <f t="shared" si="2"/>
        <v>-70865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"4141", " - ", "NON-TAXABLE SALES-LOGO GIFTS")</f>
        <v xml:space="preserve">          4141 - NON-TAXABLE SALES-LOGO GIFTS</v>
      </c>
      <c r="C22" s="11"/>
      <c r="D22" s="2">
        <f>--6.8</f>
        <v>6.8</v>
      </c>
      <c r="E22" s="2"/>
      <c r="F22" s="19"/>
      <c r="G22" s="2"/>
      <c r="H22" s="2"/>
      <c r="I22" s="2"/>
      <c r="J22" s="19"/>
      <c r="K22" s="2"/>
      <c r="L22" s="2">
        <f t="shared" si="0"/>
        <v>6.8</v>
      </c>
      <c r="M22" s="2"/>
      <c r="N22" s="19">
        <f t="shared" si="1"/>
        <v>0</v>
      </c>
      <c r="O22" s="11"/>
      <c r="P22" s="2">
        <f>--857.95</f>
        <v>857.95</v>
      </c>
      <c r="Q22" s="2"/>
      <c r="R22" s="19"/>
      <c r="S22" s="2"/>
      <c r="T22" s="2"/>
      <c r="U22" s="2"/>
      <c r="V22" s="19"/>
      <c r="W22" s="2"/>
      <c r="X22" s="2">
        <f t="shared" si="2"/>
        <v>857.95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"4142", " - ", "NON-TAXABLE SALES-EVERYDAY GIF")</f>
        <v xml:space="preserve">          4142 - NON-TAXABLE SALES-EVERYDAY GIF</v>
      </c>
      <c r="C23" s="11"/>
      <c r="D23" s="2">
        <f>--764.8</f>
        <v>764.8</v>
      </c>
      <c r="E23" s="2"/>
      <c r="F23" s="19"/>
      <c r="G23" s="2"/>
      <c r="H23" s="2"/>
      <c r="I23" s="2"/>
      <c r="J23" s="19"/>
      <c r="K23" s="2"/>
      <c r="L23" s="2">
        <f t="shared" si="0"/>
        <v>764.8</v>
      </c>
      <c r="M23" s="2"/>
      <c r="N23" s="19">
        <f t="shared" si="1"/>
        <v>0</v>
      </c>
      <c r="O23" s="11"/>
      <c r="P23" s="2">
        <f>--8924.02</f>
        <v>8924.02</v>
      </c>
      <c r="Q23" s="2"/>
      <c r="R23" s="19"/>
      <c r="S23" s="2"/>
      <c r="T23" s="2"/>
      <c r="U23" s="2"/>
      <c r="V23" s="19"/>
      <c r="W23" s="2"/>
      <c r="X23" s="2">
        <f t="shared" si="2"/>
        <v>8924.02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"4146", " - ", "NON-TAXABLE SALES-COIN OP MACH")</f>
        <v xml:space="preserve">          4146 - NON-TAXABLE SALES-COIN OP MACH</v>
      </c>
      <c r="C24" s="11"/>
      <c r="D24" s="2">
        <f>--28849.25</f>
        <v>28849.25</v>
      </c>
      <c r="E24" s="2"/>
      <c r="F24" s="19"/>
      <c r="G24" s="2"/>
      <c r="H24" s="2"/>
      <c r="I24" s="2"/>
      <c r="J24" s="19"/>
      <c r="K24" s="2"/>
      <c r="L24" s="2">
        <f t="shared" si="0"/>
        <v>28849.25</v>
      </c>
      <c r="M24" s="2"/>
      <c r="N24" s="19">
        <f t="shared" si="1"/>
        <v>0</v>
      </c>
      <c r="O24" s="11"/>
      <c r="P24" s="2">
        <f>--192403.75</f>
        <v>192403.75</v>
      </c>
      <c r="Q24" s="2"/>
      <c r="R24" s="19"/>
      <c r="S24" s="2"/>
      <c r="T24" s="2"/>
      <c r="U24" s="2"/>
      <c r="V24" s="19"/>
      <c r="W24" s="2"/>
      <c r="X24" s="2">
        <f t="shared" si="2"/>
        <v>192403.75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"4147", " - ", "NON-TAXABLE SALES-MISC")</f>
        <v xml:space="preserve">          4147 - NON-TAXABLE SALES-MISC</v>
      </c>
      <c r="C25" s="11"/>
      <c r="D25" s="2">
        <f>--2183.94</f>
        <v>2183.94</v>
      </c>
      <c r="E25" s="2"/>
      <c r="F25" s="19"/>
      <c r="G25" s="2"/>
      <c r="H25" s="2"/>
      <c r="I25" s="2"/>
      <c r="J25" s="19"/>
      <c r="K25" s="2"/>
      <c r="L25" s="2">
        <f t="shared" si="0"/>
        <v>2183.94</v>
      </c>
      <c r="M25" s="2"/>
      <c r="N25" s="19">
        <f t="shared" si="1"/>
        <v>0</v>
      </c>
      <c r="O25" s="11"/>
      <c r="P25" s="2">
        <f>--2502.84</f>
        <v>2502.84</v>
      </c>
      <c r="Q25" s="2"/>
      <c r="R25" s="19"/>
      <c r="S25" s="2"/>
      <c r="T25" s="2"/>
      <c r="U25" s="2"/>
      <c r="V25" s="19"/>
      <c r="W25" s="2"/>
      <c r="X25" s="2">
        <f t="shared" si="2"/>
        <v>2502.84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-101.3</f>
        <v>-101.3</v>
      </c>
      <c r="E26" s="2"/>
      <c r="F26" s="19"/>
      <c r="G26" s="2"/>
      <c r="H26" s="2"/>
      <c r="I26" s="2"/>
      <c r="J26" s="19"/>
      <c r="K26" s="2"/>
      <c r="L26" s="2">
        <f t="shared" si="0"/>
        <v>-101.3</v>
      </c>
      <c r="M26" s="2"/>
      <c r="N26" s="19">
        <f t="shared" si="1"/>
        <v>0</v>
      </c>
      <c r="O26" s="11"/>
      <c r="P26" s="2">
        <f>-1059.4</f>
        <v>-1059.4000000000001</v>
      </c>
      <c r="Q26" s="2"/>
      <c r="R26" s="19"/>
      <c r="S26" s="2"/>
      <c r="T26" s="2"/>
      <c r="U26" s="2"/>
      <c r="V26" s="19"/>
      <c r="W26" s="2"/>
      <c r="X26" s="2">
        <f t="shared" si="2"/>
        <v>-1059.4000000000001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 t="shared" ref="D27:D30" si="5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-70.2</f>
        <v>-70.2</v>
      </c>
      <c r="Q27" s="2"/>
      <c r="R27" s="19"/>
      <c r="S27" s="2"/>
      <c r="T27" s="2"/>
      <c r="U27" s="2"/>
      <c r="V27" s="19"/>
      <c r="W27" s="2"/>
      <c r="X27" s="2">
        <f t="shared" si="2"/>
        <v>-70.2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"4292", " - ", "SALES RETURN TAXABLE-GRAD MERC")</f>
        <v xml:space="preserve">          4292 - SALES RETURN TAXABLE-GRAD MERC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-419.05</f>
        <v>-419.05</v>
      </c>
      <c r="Q28" s="2"/>
      <c r="R28" s="19"/>
      <c r="S28" s="2"/>
      <c r="T28" s="2"/>
      <c r="U28" s="2"/>
      <c r="V28" s="19"/>
      <c r="W28" s="2"/>
      <c r="X28" s="2">
        <f t="shared" si="2"/>
        <v>-419.05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"4342", " - ", "SALES RETURN NON TAXABLE-EVERY")</f>
        <v xml:space="preserve">          4342 - SALES RETURN NON TAXABLE-EVERY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-39.42</f>
        <v>-39.42</v>
      </c>
      <c r="Q29" s="2"/>
      <c r="R29" s="19"/>
      <c r="S29" s="2"/>
      <c r="T29" s="2"/>
      <c r="U29" s="2"/>
      <c r="V29" s="19"/>
      <c r="W29" s="2"/>
      <c r="X29" s="2">
        <f t="shared" si="2"/>
        <v>-39.42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"4346", " - ", "SALES RETURN NON TAXABLE-COIN-")</f>
        <v xml:space="preserve">          4346 - SALES RETURN NON TAXABLE-COIN-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-8.15</f>
        <v>-8.15</v>
      </c>
      <c r="Q30" s="2"/>
      <c r="R30" s="19"/>
      <c r="S30" s="2"/>
      <c r="T30" s="2"/>
      <c r="U30" s="2"/>
      <c r="V30" s="19"/>
      <c r="W30" s="2"/>
      <c r="X30" s="2">
        <f t="shared" si="2"/>
        <v>-8.15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9" t="s">
        <v>8</v>
      </c>
      <c r="C32" s="10"/>
      <c r="D32" s="4">
        <f>SUM(OSRRefD16x_0)</f>
        <v>-6.0000000000002274E-2</v>
      </c>
      <c r="E32" s="4"/>
      <c r="F32" s="12">
        <f t="shared" ref="F32:F38" si="6">IF(D$12=0,0,D32/D$12)</f>
        <v>-1.2108792658520196E-6</v>
      </c>
      <c r="G32" s="4"/>
      <c r="H32" s="4">
        <f>SUM(OSRRefH16x_0)</f>
        <v>0</v>
      </c>
      <c r="I32" s="4"/>
      <c r="J32" s="12">
        <f t="shared" ref="J32:J38" si="7">IF(H$12=0,0,H32/H$12)</f>
        <v>0</v>
      </c>
      <c r="K32" s="4"/>
      <c r="L32" s="4">
        <f t="shared" ref="L32:L38" si="8">+D32-H32</f>
        <v>-6.0000000000002274E-2</v>
      </c>
      <c r="M32" s="4"/>
      <c r="N32" s="12">
        <f t="shared" ref="N32:N38" si="9">IF(H32=0,0,L32/H32)</f>
        <v>0</v>
      </c>
      <c r="O32" s="10"/>
      <c r="P32" s="4">
        <f>SUM(OSRRefP16x_0)</f>
        <v>3803.78</v>
      </c>
      <c r="Q32" s="4"/>
      <c r="R32" s="12">
        <f t="shared" ref="R32:R38" si="10">IF(P$12=0,0,P32/P$12)</f>
        <v>8.458471395548825E-3</v>
      </c>
      <c r="S32" s="4"/>
      <c r="T32" s="4">
        <f>SUM(OSRRefT16x_0)</f>
        <v>4611.5</v>
      </c>
      <c r="U32" s="4"/>
      <c r="V32" s="12">
        <f t="shared" ref="V32:V38" si="11">IF(T$12=0,0,T32/T$12)</f>
        <v>8.8895957127917459E-3</v>
      </c>
      <c r="W32" s="4"/>
      <c r="X32" s="4">
        <f t="shared" ref="X32:X38" si="12">+P32-T32</f>
        <v>-807.7199999999998</v>
      </c>
      <c r="Y32" s="4"/>
      <c r="Z32" s="12">
        <f t="shared" ref="Z32:Z38" si="13">IF(T32=0,0,X32/T32)</f>
        <v>-0.17515342079583646</v>
      </c>
    </row>
    <row r="33" spans="1:26" s="24" customFormat="1" hidden="1" outlineLevel="1" x14ac:dyDescent="0.25">
      <c r="A33" s="44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/>
      <c r="Q33" s="2"/>
      <c r="R33" s="19">
        <f t="shared" si="10"/>
        <v>0</v>
      </c>
      <c r="S33" s="2"/>
      <c r="T33" s="2">
        <v>4611.5</v>
      </c>
      <c r="U33" s="2"/>
      <c r="V33" s="19">
        <f t="shared" si="11"/>
        <v>8.8895957127917459E-3</v>
      </c>
      <c r="W33" s="2"/>
      <c r="X33" s="2">
        <f t="shared" si="12"/>
        <v>-4611.5</v>
      </c>
      <c r="Y33" s="2"/>
      <c r="Z33" s="19">
        <f t="shared" si="13"/>
        <v>-1</v>
      </c>
    </row>
    <row r="34" spans="1:26" s="24" customFormat="1" hidden="1" outlineLevel="1" x14ac:dyDescent="0.25">
      <c r="A34" s="44"/>
      <c r="B34" s="11" t="str">
        <f>CONCATENATE("          ", "5092", " - ", "PURCHASES @ COST-GRAD MERCH")</f>
        <v xml:space="preserve">          5092 - PURCHASES @ COST-GRAD MERCH</v>
      </c>
      <c r="C34" s="11"/>
      <c r="D34" s="2">
        <v>-137.06</v>
      </c>
      <c r="E34" s="2"/>
      <c r="F34" s="19">
        <f t="shared" si="6"/>
        <v>-2.7660518696278587E-3</v>
      </c>
      <c r="G34" s="2"/>
      <c r="H34" s="2"/>
      <c r="I34" s="2"/>
      <c r="J34" s="19">
        <f t="shared" si="7"/>
        <v>0</v>
      </c>
      <c r="K34" s="2"/>
      <c r="L34" s="2">
        <f t="shared" si="8"/>
        <v>-137.06</v>
      </c>
      <c r="M34" s="2"/>
      <c r="N34" s="19">
        <f t="shared" si="9"/>
        <v>0</v>
      </c>
      <c r="O34" s="11"/>
      <c r="P34" s="2">
        <v>1970.15</v>
      </c>
      <c r="Q34" s="2"/>
      <c r="R34" s="19">
        <f t="shared" si="10"/>
        <v>4.3810255640285506E-3</v>
      </c>
      <c r="S34" s="2"/>
      <c r="T34" s="2"/>
      <c r="U34" s="2"/>
      <c r="V34" s="19">
        <f t="shared" si="11"/>
        <v>0</v>
      </c>
      <c r="W34" s="2"/>
      <c r="X34" s="2">
        <f t="shared" si="12"/>
        <v>1970.15</v>
      </c>
      <c r="Y34" s="2"/>
      <c r="Z34" s="19">
        <f t="shared" si="13"/>
        <v>0</v>
      </c>
    </row>
    <row r="35" spans="1:26" s="24" customFormat="1" hidden="1" outlineLevel="1" x14ac:dyDescent="0.25">
      <c r="A35" s="44"/>
      <c r="B35" s="11" t="str">
        <f>CONCATENATE("          ", "5095", " - ", "PURCHASES @ COST-CUSTOMER SERV")</f>
        <v xml:space="preserve">          5095 - PURCHASES @ COST-CUSTOMER SERV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11.85</v>
      </c>
      <c r="Q35" s="2"/>
      <c r="R35" s="19">
        <f t="shared" si="10"/>
        <v>2.6350863098616001E-5</v>
      </c>
      <c r="S35" s="2"/>
      <c r="T35" s="2"/>
      <c r="U35" s="2"/>
      <c r="V35" s="19">
        <f t="shared" si="11"/>
        <v>0</v>
      </c>
      <c r="W35" s="2"/>
      <c r="X35" s="2">
        <f t="shared" si="12"/>
        <v>11.85</v>
      </c>
      <c r="Y35" s="2"/>
      <c r="Z35" s="19">
        <f t="shared" si="13"/>
        <v>0</v>
      </c>
    </row>
    <row r="36" spans="1:26" s="24" customFormat="1" hidden="1" outlineLevel="1" x14ac:dyDescent="0.25">
      <c r="A36" s="44"/>
      <c r="B36" s="11" t="str">
        <f>CONCATENATE("          ", "5200", " - ", "PURCHASES OFFSET")</f>
        <v xml:space="preserve">          5200 - PURCHASES OFFSET</v>
      </c>
      <c r="C36" s="11"/>
      <c r="D36" s="2">
        <v>137</v>
      </c>
      <c r="E36" s="2"/>
      <c r="F36" s="19">
        <f t="shared" si="6"/>
        <v>2.7648409903620066E-3</v>
      </c>
      <c r="G36" s="2"/>
      <c r="H36" s="2"/>
      <c r="I36" s="2"/>
      <c r="J36" s="19">
        <f t="shared" si="7"/>
        <v>0</v>
      </c>
      <c r="K36" s="2"/>
      <c r="L36" s="2">
        <f t="shared" si="8"/>
        <v>137</v>
      </c>
      <c r="M36" s="2"/>
      <c r="N36" s="19">
        <f t="shared" si="9"/>
        <v>0</v>
      </c>
      <c r="O36" s="11"/>
      <c r="P36" s="2">
        <v>-2089</v>
      </c>
      <c r="Q36" s="2"/>
      <c r="R36" s="19">
        <f t="shared" si="10"/>
        <v>-4.6453124905492683E-3</v>
      </c>
      <c r="S36" s="2"/>
      <c r="T36" s="2"/>
      <c r="U36" s="2"/>
      <c r="V36" s="19">
        <f t="shared" si="11"/>
        <v>0</v>
      </c>
      <c r="W36" s="2"/>
      <c r="X36" s="2">
        <f t="shared" si="12"/>
        <v>-2089</v>
      </c>
      <c r="Y36" s="2"/>
      <c r="Z36" s="19">
        <f t="shared" si="13"/>
        <v>0</v>
      </c>
    </row>
    <row r="37" spans="1:26" s="24" customFormat="1" hidden="1" outlineLevel="1" x14ac:dyDescent="0.25">
      <c r="A37" s="44"/>
      <c r="B37" s="11" t="str">
        <f>CONCATENATE("          ", "5300", " - ", "COG$ OFFSET")</f>
        <v xml:space="preserve">          5300 - COG$ OFFSET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3805</v>
      </c>
      <c r="Q37" s="2"/>
      <c r="R37" s="19">
        <f t="shared" si="10"/>
        <v>8.4611843114121427E-3</v>
      </c>
      <c r="S37" s="2"/>
      <c r="T37" s="2"/>
      <c r="U37" s="2"/>
      <c r="V37" s="19">
        <f t="shared" si="11"/>
        <v>0</v>
      </c>
      <c r="W37" s="2"/>
      <c r="X37" s="2">
        <f t="shared" si="12"/>
        <v>3805</v>
      </c>
      <c r="Y37" s="2"/>
      <c r="Z37" s="19">
        <f t="shared" si="13"/>
        <v>0</v>
      </c>
    </row>
    <row r="38" spans="1:26" s="24" customFormat="1" hidden="1" outlineLevel="1" x14ac:dyDescent="0.25">
      <c r="A38" s="44"/>
      <c r="B38" s="11" t="str">
        <f>CONCATENATE("          ", "5592", " - ", "FREIGHT-IN-GRAD MERCH")</f>
        <v xml:space="preserve">          5592 - FREIGHT-IN-GRAD MERCH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105.78</v>
      </c>
      <c r="Q38" s="2"/>
      <c r="R38" s="19">
        <f t="shared" si="10"/>
        <v>2.3522314755878489E-4</v>
      </c>
      <c r="S38" s="2"/>
      <c r="T38" s="2"/>
      <c r="U38" s="2"/>
      <c r="V38" s="19">
        <f t="shared" si="11"/>
        <v>0</v>
      </c>
      <c r="W38" s="2"/>
      <c r="X38" s="2">
        <f t="shared" si="12"/>
        <v>105.78</v>
      </c>
      <c r="Y38" s="2"/>
      <c r="Z38" s="19">
        <f t="shared" si="13"/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8" t="s">
        <v>6</v>
      </c>
      <c r="C40" s="28"/>
      <c r="D40" s="21">
        <f>D12-D32</f>
        <v>49550.829999999994</v>
      </c>
      <c r="E40" s="14"/>
      <c r="F40" s="22">
        <f>IF(D$12=0,0,D40/D$12)</f>
        <v>1.0000012108792657</v>
      </c>
      <c r="G40" s="14"/>
      <c r="H40" s="21">
        <f>H12-H32</f>
        <v>71725</v>
      </c>
      <c r="I40" s="14"/>
      <c r="J40" s="22">
        <f>IF(H$12=0,0,H40/H$12)</f>
        <v>1</v>
      </c>
      <c r="K40" s="15"/>
      <c r="L40" s="21">
        <f>+D40-H40</f>
        <v>-22174.170000000006</v>
      </c>
      <c r="M40" s="15"/>
      <c r="N40" s="22">
        <f>IF(H40=0,0,L40/H40)</f>
        <v>-0.30915538515162083</v>
      </c>
      <c r="O40" s="29"/>
      <c r="P40" s="21">
        <f>P12-P32</f>
        <v>445896.86</v>
      </c>
      <c r="Q40" s="14"/>
      <c r="R40" s="22">
        <f>IF(P$12=0,0,P40/P$12)</f>
        <v>0.99154152860445111</v>
      </c>
      <c r="S40" s="14"/>
      <c r="T40" s="21">
        <f>T12-T32</f>
        <v>514141</v>
      </c>
      <c r="U40" s="14"/>
      <c r="V40" s="22">
        <f>IF(T$12=0,0,T40/T$12)</f>
        <v>0.9911104042872082</v>
      </c>
      <c r="W40" s="15"/>
      <c r="X40" s="21">
        <f>+P40-T40</f>
        <v>-68244.140000000014</v>
      </c>
      <c r="Y40" s="15"/>
      <c r="Z40" s="22">
        <f>IF(T40=0,0,X40/T40)</f>
        <v>-0.13273428884294389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9" t="s">
        <v>9</v>
      </c>
      <c r="C42" s="10"/>
      <c r="D42" s="20">
        <f>SUM(OSRRefD22x_0)</f>
        <v>50616.650000000016</v>
      </c>
      <c r="E42" s="20"/>
      <c r="F42" s="34">
        <f t="shared" ref="F42:F52" si="14">IF(D$12=0,0,D42/D$12)</f>
        <v>1.0215108665314387</v>
      </c>
      <c r="G42" s="20"/>
      <c r="H42" s="20">
        <f>SUM(OSRRefH22x_0)</f>
        <v>50492.509271655639</v>
      </c>
      <c r="I42" s="20"/>
      <c r="J42" s="34">
        <f t="shared" ref="J42:J52" si="15">IF(H$12=0,0,H42/H$12)</f>
        <v>0.70397363920049694</v>
      </c>
      <c r="K42" s="4"/>
      <c r="L42" s="20">
        <f t="shared" ref="L42:L52" si="16">+D42-H42</f>
        <v>124.14072834437684</v>
      </c>
      <c r="M42" s="4"/>
      <c r="N42" s="34">
        <f t="shared" ref="N42:N52" si="17">IF(H42=0,0,L42/H42)</f>
        <v>2.4585969312098379E-3</v>
      </c>
      <c r="O42" s="10"/>
      <c r="P42" s="20">
        <f>SUM(OSRRefP22x_0)</f>
        <v>368028.91000000009</v>
      </c>
      <c r="Q42" s="20"/>
      <c r="R42" s="34">
        <f t="shared" ref="R42:R52" si="18">IF(P$12=0,0,P42/P$12)</f>
        <v>0.8183864492610019</v>
      </c>
      <c r="S42" s="20"/>
      <c r="T42" s="20">
        <f>SUM(OSRRefT22x_0)</f>
        <v>385918.49703038507</v>
      </c>
      <c r="U42" s="20"/>
      <c r="V42" s="34">
        <f t="shared" ref="V42:V52" si="19">IF(T$12=0,0,T42/T$12)</f>
        <v>0.7439356861516524</v>
      </c>
      <c r="W42" s="4"/>
      <c r="X42" s="20">
        <f t="shared" ref="X42:X52" si="20">+P42-T42</f>
        <v>-17889.587030384981</v>
      </c>
      <c r="Y42" s="4"/>
      <c r="Z42" s="34">
        <f t="shared" ref="Z42:Z52" si="21">IF(T42=0,0,X42/T42)</f>
        <v>-4.6355868319461389E-2</v>
      </c>
    </row>
    <row r="43" spans="1:26" s="27" customFormat="1" outlineLevel="1" collapsed="1" x14ac:dyDescent="0.25">
      <c r="A43" s="26"/>
      <c r="B43" s="13" t="str">
        <f>CONCATENATE("     ","*Benefits                                         ")</f>
        <v xml:space="preserve">     *Benefits                                         </v>
      </c>
      <c r="C43" s="13"/>
      <c r="D43" s="1">
        <f>SUM(OSRRefD22_0x_0)</f>
        <v>7695.3</v>
      </c>
      <c r="E43" s="1"/>
      <c r="F43" s="5">
        <f t="shared" si="14"/>
        <v>0.1553013202418449</v>
      </c>
      <c r="G43" s="1"/>
      <c r="H43" s="1">
        <f>SUM(OSRRefH22_0x_0)</f>
        <v>6660.2834721537283</v>
      </c>
      <c r="I43" s="1"/>
      <c r="J43" s="5">
        <f t="shared" si="15"/>
        <v>9.2858605397751523E-2</v>
      </c>
      <c r="K43" s="1"/>
      <c r="L43" s="1">
        <f t="shared" si="16"/>
        <v>1035.0165278462719</v>
      </c>
      <c r="M43" s="1"/>
      <c r="N43" s="5">
        <f t="shared" si="17"/>
        <v>0.15540127265958242</v>
      </c>
      <c r="O43" s="13"/>
      <c r="P43" s="1">
        <f>SUM(OSRRefP22_0x_0)</f>
        <v>64073.42</v>
      </c>
      <c r="Q43" s="1"/>
      <c r="R43" s="5">
        <f t="shared" si="18"/>
        <v>0.14248016191393456</v>
      </c>
      <c r="S43" s="1"/>
      <c r="T43" s="1">
        <f>SUM(OSRRefT22_0x_0)</f>
        <v>55932.365219048559</v>
      </c>
      <c r="U43" s="1"/>
      <c r="V43" s="5">
        <f t="shared" si="19"/>
        <v>0.10782090730945597</v>
      </c>
      <c r="W43" s="1"/>
      <c r="X43" s="1">
        <f t="shared" si="20"/>
        <v>8141.0547809514392</v>
      </c>
      <c r="Y43" s="1"/>
      <c r="Z43" s="5">
        <f t="shared" si="21"/>
        <v>0.14555177041179171</v>
      </c>
    </row>
    <row r="44" spans="1:26" s="24" customFormat="1" hidden="1" outlineLevel="2" x14ac:dyDescent="0.25">
      <c r="A44" s="25"/>
      <c r="B44" s="11" t="str">
        <f>CONCATENATE("          ", "6111", " - ", "F.I.C.A.")</f>
        <v xml:space="preserve">          6111 - F.I.C.A.</v>
      </c>
      <c r="C44" s="11"/>
      <c r="D44" s="6">
        <v>1185.19</v>
      </c>
      <c r="E44" s="2"/>
      <c r="F44" s="7">
        <f t="shared" si="14"/>
        <v>2.3918699951585014E-2</v>
      </c>
      <c r="G44" s="2"/>
      <c r="H44" s="6">
        <v>1196.4616605692349</v>
      </c>
      <c r="I44" s="2"/>
      <c r="J44" s="7">
        <f t="shared" si="15"/>
        <v>1.668123611807926E-2</v>
      </c>
      <c r="K44" s="2"/>
      <c r="L44" s="6">
        <f t="shared" si="16"/>
        <v>-11.271660569234882</v>
      </c>
      <c r="M44" s="2"/>
      <c r="N44" s="7">
        <f t="shared" si="17"/>
        <v>-9.4208288829515999E-3</v>
      </c>
      <c r="O44" s="11"/>
      <c r="P44" s="6">
        <v>10391.93</v>
      </c>
      <c r="Q44" s="2"/>
      <c r="R44" s="7">
        <f t="shared" si="18"/>
        <v>2.3108550612692035E-2</v>
      </c>
      <c r="S44" s="2"/>
      <c r="T44" s="6">
        <v>10561.597694856489</v>
      </c>
      <c r="U44" s="2"/>
      <c r="V44" s="7">
        <f t="shared" si="19"/>
        <v>2.0359608281129229E-2</v>
      </c>
      <c r="W44" s="2"/>
      <c r="X44" s="6">
        <f t="shared" si="20"/>
        <v>-169.66769485648911</v>
      </c>
      <c r="Y44" s="2"/>
      <c r="Z44" s="7">
        <f t="shared" si="21"/>
        <v>-1.6064586036932411E-2</v>
      </c>
    </row>
    <row r="45" spans="1:26" s="24" customFormat="1" hidden="1" outlineLevel="2" x14ac:dyDescent="0.25">
      <c r="A45" s="25"/>
      <c r="B45" s="11" t="str">
        <f>CONCATENATE("          ", "6112", " - ", "COMPENSATION INSURANCE")</f>
        <v xml:space="preserve">          6112 - COMPENSATION INSURANCE</v>
      </c>
      <c r="C45" s="11"/>
      <c r="D45" s="6">
        <v>238.87</v>
      </c>
      <c r="E45" s="2"/>
      <c r="F45" s="7">
        <f t="shared" si="14"/>
        <v>4.8207121705676828E-3</v>
      </c>
      <c r="G45" s="2"/>
      <c r="H45" s="6">
        <v>239.85392461538467</v>
      </c>
      <c r="I45" s="2"/>
      <c r="J45" s="7">
        <f t="shared" si="15"/>
        <v>3.3440770249617939E-3</v>
      </c>
      <c r="K45" s="2"/>
      <c r="L45" s="6">
        <f t="shared" si="16"/>
        <v>-0.98392461538466591</v>
      </c>
      <c r="M45" s="2"/>
      <c r="N45" s="7">
        <f t="shared" si="17"/>
        <v>-4.1021826804061188E-3</v>
      </c>
      <c r="O45" s="11"/>
      <c r="P45" s="6">
        <v>1691.44</v>
      </c>
      <c r="Q45" s="2"/>
      <c r="R45" s="7">
        <f t="shared" si="18"/>
        <v>3.7612577113521565E-3</v>
      </c>
      <c r="S45" s="2"/>
      <c r="T45" s="6">
        <v>2089.2370403846153</v>
      </c>
      <c r="U45" s="2"/>
      <c r="V45" s="7">
        <f t="shared" si="19"/>
        <v>4.0274254878475101E-3</v>
      </c>
      <c r="W45" s="2"/>
      <c r="X45" s="6">
        <f t="shared" si="20"/>
        <v>-397.79704038461523</v>
      </c>
      <c r="Y45" s="2"/>
      <c r="Z45" s="7">
        <f t="shared" si="21"/>
        <v>-0.19040301923394165</v>
      </c>
    </row>
    <row r="46" spans="1:26" s="24" customFormat="1" hidden="1" outlineLevel="2" x14ac:dyDescent="0.25">
      <c r="A46" s="25"/>
      <c r="B46" s="11" t="str">
        <f>CONCATENATE("          ", "6113", " - ", "GROUP INSURANCE")</f>
        <v xml:space="preserve">          6113 - GROUP INSURANCE</v>
      </c>
      <c r="C46" s="11"/>
      <c r="D46" s="6">
        <v>3218.03</v>
      </c>
      <c r="E46" s="2"/>
      <c r="F46" s="7">
        <f t="shared" si="14"/>
        <v>6.4944096731493789E-2</v>
      </c>
      <c r="G46" s="2"/>
      <c r="H46" s="6">
        <v>2704</v>
      </c>
      <c r="I46" s="2"/>
      <c r="J46" s="7">
        <f t="shared" si="15"/>
        <v>3.7699546880446147E-2</v>
      </c>
      <c r="K46" s="2"/>
      <c r="L46" s="6">
        <f t="shared" si="16"/>
        <v>514.0300000000002</v>
      </c>
      <c r="M46" s="2"/>
      <c r="N46" s="7">
        <f t="shared" si="17"/>
        <v>0.19009985207100599</v>
      </c>
      <c r="O46" s="11"/>
      <c r="P46" s="6">
        <v>24124.76</v>
      </c>
      <c r="Q46" s="2"/>
      <c r="R46" s="7">
        <f t="shared" si="18"/>
        <v>5.3646265657971932E-2</v>
      </c>
      <c r="S46" s="2"/>
      <c r="T46" s="6">
        <v>21632</v>
      </c>
      <c r="U46" s="2"/>
      <c r="V46" s="7">
        <f t="shared" si="19"/>
        <v>4.1700039999807231E-2</v>
      </c>
      <c r="W46" s="2"/>
      <c r="X46" s="6">
        <f t="shared" si="20"/>
        <v>2492.7599999999984</v>
      </c>
      <c r="Y46" s="2"/>
      <c r="Z46" s="7">
        <f t="shared" si="21"/>
        <v>0.11523483727810643</v>
      </c>
    </row>
    <row r="47" spans="1:26" s="24" customFormat="1" hidden="1" outlineLevel="2" x14ac:dyDescent="0.25">
      <c r="A47" s="25"/>
      <c r="B47" s="11" t="str">
        <f>CONCATENATE("          ", "6114", " - ", "STATE UNEMPLOYMENT INSURANCE")</f>
        <v xml:space="preserve">          6114 - STATE UNEMPLOYMENT INSURANCE</v>
      </c>
      <c r="C47" s="11"/>
      <c r="D47" s="6">
        <v>47</v>
      </c>
      <c r="E47" s="2"/>
      <c r="F47" s="7">
        <f t="shared" si="14"/>
        <v>9.4852209158404605E-4</v>
      </c>
      <c r="G47" s="2"/>
      <c r="H47" s="6">
        <v>51.719556358704999</v>
      </c>
      <c r="I47" s="2"/>
      <c r="J47" s="7">
        <f t="shared" si="15"/>
        <v>7.2108130162014633E-4</v>
      </c>
      <c r="K47" s="2"/>
      <c r="L47" s="6">
        <f t="shared" si="16"/>
        <v>-4.7195563587049989</v>
      </c>
      <c r="M47" s="2"/>
      <c r="N47" s="7">
        <f t="shared" si="17"/>
        <v>-9.1252839176967207E-2</v>
      </c>
      <c r="O47" s="11"/>
      <c r="P47" s="6">
        <v>410.79</v>
      </c>
      <c r="Q47" s="2"/>
      <c r="R47" s="7">
        <f t="shared" si="18"/>
        <v>9.13474350403415E-4</v>
      </c>
      <c r="S47" s="2"/>
      <c r="T47" s="6">
        <v>432.46559030947492</v>
      </c>
      <c r="U47" s="2"/>
      <c r="V47" s="7">
        <f t="shared" si="19"/>
        <v>8.3366459016481829E-4</v>
      </c>
      <c r="W47" s="2"/>
      <c r="X47" s="6">
        <f t="shared" si="20"/>
        <v>-21.675590309474899</v>
      </c>
      <c r="Y47" s="2"/>
      <c r="Z47" s="7">
        <f t="shared" si="21"/>
        <v>-5.0120959436249529E-2</v>
      </c>
    </row>
    <row r="48" spans="1:26" s="24" customFormat="1" hidden="1" outlineLevel="2" x14ac:dyDescent="0.25">
      <c r="A48" s="25"/>
      <c r="B48" s="11" t="str">
        <f>CONCATENATE("          ", "6115", " - ", "P.E.R.S.")</f>
        <v xml:space="preserve">          6115 - P.E.R.S.</v>
      </c>
      <c r="C48" s="11"/>
      <c r="D48" s="6">
        <v>1187.75</v>
      </c>
      <c r="E48" s="2"/>
      <c r="F48" s="7">
        <f t="shared" si="14"/>
        <v>2.3970364133594695E-2</v>
      </c>
      <c r="G48" s="2"/>
      <c r="H48" s="6">
        <v>1085.6546061538459</v>
      </c>
      <c r="I48" s="2"/>
      <c r="J48" s="7">
        <f t="shared" si="15"/>
        <v>1.5136348639300743E-2</v>
      </c>
      <c r="K48" s="2"/>
      <c r="L48" s="6">
        <f t="shared" si="16"/>
        <v>102.09539384615414</v>
      </c>
      <c r="M48" s="2"/>
      <c r="N48" s="7">
        <f t="shared" si="17"/>
        <v>9.4040400388340828E-2</v>
      </c>
      <c r="O48" s="11"/>
      <c r="P48" s="6">
        <v>10924.91</v>
      </c>
      <c r="Q48" s="2"/>
      <c r="R48" s="7">
        <f t="shared" si="18"/>
        <v>2.4293739052717381E-2</v>
      </c>
      <c r="S48" s="2"/>
      <c r="T48" s="6">
        <v>9456.5466038461473</v>
      </c>
      <c r="U48" s="2"/>
      <c r="V48" s="7">
        <f t="shared" si="19"/>
        <v>1.8229399576572929E-2</v>
      </c>
      <c r="W48" s="2"/>
      <c r="X48" s="6">
        <f t="shared" si="20"/>
        <v>1468.3633961538526</v>
      </c>
      <c r="Y48" s="2"/>
      <c r="Z48" s="7">
        <f t="shared" si="21"/>
        <v>0.15527480143297162</v>
      </c>
    </row>
    <row r="49" spans="1:26" s="24" customFormat="1" hidden="1" outlineLevel="2" x14ac:dyDescent="0.25">
      <c r="A49" s="25"/>
      <c r="B49" s="11" t="str">
        <f>CONCATENATE("          ", "6116", " - ", "EDUCATIONAL BENEFITS")</f>
        <v xml:space="preserve">          6116 - EDUCATIONAL BENEFITS</v>
      </c>
      <c r="C49" s="11"/>
      <c r="D49" s="6"/>
      <c r="E49" s="2"/>
      <c r="F49" s="7">
        <f t="shared" si="14"/>
        <v>0</v>
      </c>
      <c r="G49" s="2"/>
      <c r="H49" s="6">
        <v>0</v>
      </c>
      <c r="I49" s="2"/>
      <c r="J49" s="7">
        <f t="shared" si="15"/>
        <v>0</v>
      </c>
      <c r="K49" s="2"/>
      <c r="L49" s="6">
        <f t="shared" si="16"/>
        <v>0</v>
      </c>
      <c r="M49" s="2"/>
      <c r="N49" s="7">
        <f t="shared" si="17"/>
        <v>0</v>
      </c>
      <c r="O49" s="11"/>
      <c r="P49" s="6"/>
      <c r="Q49" s="2"/>
      <c r="R49" s="7">
        <f t="shared" si="18"/>
        <v>0</v>
      </c>
      <c r="S49" s="2"/>
      <c r="T49" s="6">
        <v>0</v>
      </c>
      <c r="U49" s="2"/>
      <c r="V49" s="7">
        <f t="shared" si="19"/>
        <v>0</v>
      </c>
      <c r="W49" s="2"/>
      <c r="X49" s="6">
        <f t="shared" si="20"/>
        <v>0</v>
      </c>
      <c r="Y49" s="2"/>
      <c r="Z49" s="7">
        <f t="shared" si="21"/>
        <v>0</v>
      </c>
    </row>
    <row r="50" spans="1:26" s="24" customFormat="1" hidden="1" outlineLevel="2" x14ac:dyDescent="0.25">
      <c r="A50" s="25"/>
      <c r="B50" s="11" t="str">
        <f>CONCATENATE("          ", "6118", " - ", "VACATION")</f>
        <v xml:space="preserve">          6118 - VACATION</v>
      </c>
      <c r="C50" s="11"/>
      <c r="D50" s="6">
        <v>969.46</v>
      </c>
      <c r="E50" s="2"/>
      <c r="F50" s="7">
        <f t="shared" si="14"/>
        <v>1.9564983551214242E-2</v>
      </c>
      <c r="G50" s="2"/>
      <c r="H50" s="6">
        <v>631.19453846153897</v>
      </c>
      <c r="I50" s="2"/>
      <c r="J50" s="7">
        <f t="shared" si="15"/>
        <v>8.8002026972678841E-3</v>
      </c>
      <c r="K50" s="2"/>
      <c r="L50" s="6">
        <f t="shared" si="16"/>
        <v>338.26546153846107</v>
      </c>
      <c r="M50" s="2"/>
      <c r="N50" s="7">
        <f t="shared" si="17"/>
        <v>0.53591316294171776</v>
      </c>
      <c r="O50" s="11"/>
      <c r="P50" s="6">
        <v>8959.9699999999993</v>
      </c>
      <c r="Q50" s="2"/>
      <c r="R50" s="7">
        <f t="shared" si="18"/>
        <v>1.9924298973646112E-2</v>
      </c>
      <c r="S50" s="2"/>
      <c r="T50" s="6">
        <v>5497.9922115384634</v>
      </c>
      <c r="U50" s="2"/>
      <c r="V50" s="7">
        <f t="shared" si="19"/>
        <v>1.0598488125914504E-2</v>
      </c>
      <c r="W50" s="2"/>
      <c r="X50" s="6">
        <f t="shared" si="20"/>
        <v>3461.977788461536</v>
      </c>
      <c r="Y50" s="2"/>
      <c r="Z50" s="7">
        <f t="shared" si="21"/>
        <v>0.62968037335447513</v>
      </c>
    </row>
    <row r="51" spans="1:26" s="24" customFormat="1" hidden="1" outlineLevel="2" x14ac:dyDescent="0.25">
      <c r="A51" s="25"/>
      <c r="B51" s="11" t="str">
        <f>CONCATENATE("          ", "6119", " - ", "SICK LEAVE")</f>
        <v xml:space="preserve">          6119 - SICK LEAVE</v>
      </c>
      <c r="C51" s="11"/>
      <c r="D51" s="6">
        <v>556.53</v>
      </c>
      <c r="E51" s="2"/>
      <c r="F51" s="7">
        <f t="shared" si="14"/>
        <v>1.1231510630409981E-2</v>
      </c>
      <c r="G51" s="2"/>
      <c r="H51" s="6">
        <v>451.39918599501954</v>
      </c>
      <c r="I51" s="2"/>
      <c r="J51" s="7">
        <f t="shared" si="15"/>
        <v>6.2934707005231029E-3</v>
      </c>
      <c r="K51" s="2"/>
      <c r="L51" s="6">
        <f t="shared" si="16"/>
        <v>105.13081400498044</v>
      </c>
      <c r="M51" s="2"/>
      <c r="N51" s="7">
        <f t="shared" si="17"/>
        <v>0.23289987502578346</v>
      </c>
      <c r="O51" s="11"/>
      <c r="P51" s="6">
        <v>5297.92</v>
      </c>
      <c r="Q51" s="2"/>
      <c r="R51" s="7">
        <f t="shared" si="18"/>
        <v>1.1780992795562844E-2</v>
      </c>
      <c r="S51" s="2"/>
      <c r="T51" s="6">
        <v>3862.5260781133675</v>
      </c>
      <c r="U51" s="2"/>
      <c r="V51" s="7">
        <f t="shared" si="19"/>
        <v>7.4457975202304903E-3</v>
      </c>
      <c r="W51" s="2"/>
      <c r="X51" s="6">
        <f t="shared" si="20"/>
        <v>1435.3939218866326</v>
      </c>
      <c r="Y51" s="2"/>
      <c r="Z51" s="7">
        <f t="shared" si="21"/>
        <v>0.37162051280900193</v>
      </c>
    </row>
    <row r="52" spans="1:26" s="24" customFormat="1" hidden="1" outlineLevel="2" x14ac:dyDescent="0.25">
      <c r="A52" s="25"/>
      <c r="B52" s="11" t="str">
        <f>CONCATENATE("          ", "6156", " - ", "EMPLOYEE MEALS")</f>
        <v xml:space="preserve">          6156 - EMPLOYEE MEALS</v>
      </c>
      <c r="C52" s="11"/>
      <c r="D52" s="6">
        <v>292.47000000000003</v>
      </c>
      <c r="E52" s="2"/>
      <c r="F52" s="7">
        <f t="shared" si="14"/>
        <v>5.9024309813954469E-3</v>
      </c>
      <c r="G52" s="2"/>
      <c r="H52" s="6">
        <v>300</v>
      </c>
      <c r="I52" s="2"/>
      <c r="J52" s="7">
        <f t="shared" si="15"/>
        <v>4.1826420355524571E-3</v>
      </c>
      <c r="K52" s="2"/>
      <c r="L52" s="6">
        <f t="shared" si="16"/>
        <v>-7.5299999999999727</v>
      </c>
      <c r="M52" s="2"/>
      <c r="N52" s="7">
        <f t="shared" si="17"/>
        <v>-2.5099999999999911E-2</v>
      </c>
      <c r="O52" s="11"/>
      <c r="P52" s="6">
        <v>2271.6999999999998</v>
      </c>
      <c r="Q52" s="2"/>
      <c r="R52" s="7">
        <f t="shared" si="18"/>
        <v>5.0515827595886895E-3</v>
      </c>
      <c r="S52" s="2"/>
      <c r="T52" s="6">
        <v>2400</v>
      </c>
      <c r="U52" s="2"/>
      <c r="V52" s="7">
        <f t="shared" si="19"/>
        <v>4.6264837277892636E-3</v>
      </c>
      <c r="W52" s="2"/>
      <c r="X52" s="6">
        <f t="shared" si="20"/>
        <v>-128.30000000000018</v>
      </c>
      <c r="Y52" s="2"/>
      <c r="Z52" s="7">
        <f t="shared" si="21"/>
        <v>-5.3458333333333406E-2</v>
      </c>
    </row>
    <row r="53" spans="1:26" s="27" customFormat="1" outlineLevel="1" collapsed="1" x14ac:dyDescent="0.25">
      <c r="A53" s="26"/>
      <c r="B53" s="13" t="str">
        <f>CONCATENATE("     ","*Payroll                                          ")</f>
        <v xml:space="preserve">     *Payroll                                          </v>
      </c>
      <c r="C53" s="13"/>
      <c r="D53" s="1">
        <f>SUM(OSRRefD22_1x_0)</f>
        <v>16161.07</v>
      </c>
      <c r="E53" s="1"/>
      <c r="F53" s="5">
        <f t="shared" ref="F53:F63" si="22">IF(D$12=0,0,D53/D$12)</f>
        <v>0.32615174294970595</v>
      </c>
      <c r="G53" s="1"/>
      <c r="H53" s="1">
        <f>SUM(OSRRefH22_1x_0)</f>
        <v>18882.22579950191</v>
      </c>
      <c r="I53" s="1"/>
      <c r="J53" s="5">
        <f t="shared" ref="J53:J63" si="23">IF(H$12=0,0,H53/H$12)</f>
        <v>0.26325863784596598</v>
      </c>
      <c r="K53" s="1"/>
      <c r="L53" s="1">
        <f t="shared" ref="L53:L63" si="24">+D53-H53</f>
        <v>-2721.1557995019102</v>
      </c>
      <c r="M53" s="1"/>
      <c r="N53" s="5">
        <f t="shared" ref="N53:N63" si="25">IF(H53=0,0,L53/H53)</f>
        <v>-0.14411202516038607</v>
      </c>
      <c r="O53" s="13"/>
      <c r="P53" s="1">
        <f>SUM(OSRRefP22_1x_0)</f>
        <v>142558.39000000001</v>
      </c>
      <c r="Q53" s="1"/>
      <c r="R53" s="5">
        <f t="shared" ref="R53:R63" si="26">IF(P$12=0,0,P53/P$12)</f>
        <v>0.3170073095737645</v>
      </c>
      <c r="S53" s="1"/>
      <c r="T53" s="1">
        <f>SUM(OSRRefT22_1x_0)</f>
        <v>157536.13181133653</v>
      </c>
      <c r="U53" s="1"/>
      <c r="V53" s="5">
        <f t="shared" ref="V53:V63" si="27">IF(T$12=0,0,T53/T$12)</f>
        <v>0.30368264598500544</v>
      </c>
      <c r="W53" s="1"/>
      <c r="X53" s="1">
        <f t="shared" ref="X53:X63" si="28">+P53-T53</f>
        <v>-14977.741811336513</v>
      </c>
      <c r="Y53" s="1"/>
      <c r="Z53" s="5">
        <f t="shared" ref="Z53:Z63" si="29">IF(T53=0,0,X53/T53)</f>
        <v>-9.5074962417343631E-2</v>
      </c>
    </row>
    <row r="54" spans="1:26" s="24" customFormat="1" hidden="1" outlineLevel="2" x14ac:dyDescent="0.25">
      <c r="A54" s="25"/>
      <c r="B54" s="11" t="str">
        <f>CONCATENATE("          ", "6001", " - ", "ADMINISTRATIVE SALARIES")</f>
        <v xml:space="preserve">          6001 - ADMINISTRATIVE SALARIES</v>
      </c>
      <c r="C54" s="11"/>
      <c r="D54" s="6"/>
      <c r="E54" s="2"/>
      <c r="F54" s="7">
        <f t="shared" si="22"/>
        <v>0</v>
      </c>
      <c r="G54" s="2"/>
      <c r="H54" s="6">
        <v>5990.5432000000001</v>
      </c>
      <c r="I54" s="2"/>
      <c r="J54" s="7">
        <f t="shared" si="23"/>
        <v>8.3520992680376438E-2</v>
      </c>
      <c r="K54" s="2"/>
      <c r="L54" s="6">
        <f t="shared" si="24"/>
        <v>-5990.5432000000001</v>
      </c>
      <c r="M54" s="2"/>
      <c r="N54" s="7">
        <f t="shared" si="25"/>
        <v>-1</v>
      </c>
      <c r="O54" s="11"/>
      <c r="P54" s="6"/>
      <c r="Q54" s="2"/>
      <c r="R54" s="7">
        <f t="shared" si="26"/>
        <v>0</v>
      </c>
      <c r="S54" s="2"/>
      <c r="T54" s="6">
        <v>52417.252999999997</v>
      </c>
      <c r="U54" s="2"/>
      <c r="V54" s="7">
        <f t="shared" si="27"/>
        <v>0.10104482002496373</v>
      </c>
      <c r="W54" s="2"/>
      <c r="X54" s="6">
        <f t="shared" si="28"/>
        <v>-52417.252999999997</v>
      </c>
      <c r="Y54" s="2"/>
      <c r="Z54" s="7">
        <f t="shared" si="29"/>
        <v>-1</v>
      </c>
    </row>
    <row r="55" spans="1:26" s="24" customFormat="1" hidden="1" outlineLevel="2" x14ac:dyDescent="0.25">
      <c r="A55" s="25"/>
      <c r="B55" s="11" t="str">
        <f>CONCATENATE("          ", "6002", " - ", "STAFF SALARIES")</f>
        <v xml:space="preserve">          6002 - STAFF SALARIES</v>
      </c>
      <c r="C55" s="11"/>
      <c r="D55" s="6">
        <v>10285.75</v>
      </c>
      <c r="E55" s="2"/>
      <c r="F55" s="7">
        <f t="shared" si="22"/>
        <v>0.20758002347894897</v>
      </c>
      <c r="G55" s="2"/>
      <c r="H55" s="6">
        <v>5623.43630769231</v>
      </c>
      <c r="I55" s="2"/>
      <c r="J55" s="7">
        <f t="shared" si="23"/>
        <v>7.8402736949352528E-2</v>
      </c>
      <c r="K55" s="2"/>
      <c r="L55" s="6">
        <f t="shared" si="24"/>
        <v>4662.31369230769</v>
      </c>
      <c r="M55" s="2"/>
      <c r="N55" s="7">
        <f t="shared" si="25"/>
        <v>0.82908624499402639</v>
      </c>
      <c r="O55" s="11"/>
      <c r="P55" s="6">
        <v>94652.36</v>
      </c>
      <c r="Q55" s="2"/>
      <c r="R55" s="7">
        <f t="shared" si="26"/>
        <v>0.21047859749543607</v>
      </c>
      <c r="S55" s="2"/>
      <c r="T55" s="6">
        <v>48745.803692307723</v>
      </c>
      <c r="U55" s="2"/>
      <c r="V55" s="7">
        <f t="shared" si="27"/>
        <v>9.3967361491863119E-2</v>
      </c>
      <c r="W55" s="2"/>
      <c r="X55" s="6">
        <f t="shared" si="28"/>
        <v>45906.556307692277</v>
      </c>
      <c r="Y55" s="2"/>
      <c r="Z55" s="7">
        <f t="shared" si="29"/>
        <v>0.94175401430372785</v>
      </c>
    </row>
    <row r="56" spans="1:26" s="24" customFormat="1" hidden="1" outlineLevel="2" x14ac:dyDescent="0.25">
      <c r="A56" s="25"/>
      <c r="B56" s="11" t="str">
        <f>CONCATENATE("          ", "6003", " - ", "STAFF HOURLY-9 MONTH")</f>
        <v xml:space="preserve">          6003 - STAFF HOURLY-9 MONTH</v>
      </c>
      <c r="C56" s="11"/>
      <c r="D56" s="6"/>
      <c r="E56" s="2"/>
      <c r="F56" s="7">
        <f t="shared" si="22"/>
        <v>0</v>
      </c>
      <c r="G56" s="2"/>
      <c r="H56" s="6">
        <v>0</v>
      </c>
      <c r="I56" s="2"/>
      <c r="J56" s="7">
        <f t="shared" si="23"/>
        <v>0</v>
      </c>
      <c r="K56" s="2"/>
      <c r="L56" s="6">
        <f t="shared" si="24"/>
        <v>0</v>
      </c>
      <c r="M56" s="2"/>
      <c r="N56" s="7">
        <f t="shared" si="25"/>
        <v>0</v>
      </c>
      <c r="O56" s="11"/>
      <c r="P56" s="6"/>
      <c r="Q56" s="2"/>
      <c r="R56" s="7">
        <f t="shared" si="26"/>
        <v>0</v>
      </c>
      <c r="S56" s="2"/>
      <c r="T56" s="6">
        <v>0</v>
      </c>
      <c r="U56" s="2"/>
      <c r="V56" s="7">
        <f t="shared" si="27"/>
        <v>0</v>
      </c>
      <c r="W56" s="2"/>
      <c r="X56" s="6">
        <f t="shared" si="28"/>
        <v>0</v>
      </c>
      <c r="Y56" s="2"/>
      <c r="Z56" s="7">
        <f t="shared" si="29"/>
        <v>0</v>
      </c>
    </row>
    <row r="57" spans="1:26" s="24" customFormat="1" hidden="1" outlineLevel="2" x14ac:dyDescent="0.25">
      <c r="A57" s="25"/>
      <c r="B57" s="11" t="str">
        <f>CONCATENATE("          ", "6004", " - ", "STAFF HOURLY")</f>
        <v xml:space="preserve">          6004 - STAFF HOURLY</v>
      </c>
      <c r="C57" s="11"/>
      <c r="D57" s="6"/>
      <c r="E57" s="2"/>
      <c r="F57" s="7">
        <f t="shared" si="22"/>
        <v>0</v>
      </c>
      <c r="G57" s="2"/>
      <c r="H57" s="6">
        <v>3010</v>
      </c>
      <c r="I57" s="2"/>
      <c r="J57" s="7">
        <f t="shared" si="23"/>
        <v>4.1965841756709657E-2</v>
      </c>
      <c r="K57" s="2"/>
      <c r="L57" s="6">
        <f t="shared" si="24"/>
        <v>-3010</v>
      </c>
      <c r="M57" s="2"/>
      <c r="N57" s="7">
        <f t="shared" si="25"/>
        <v>-1</v>
      </c>
      <c r="O57" s="11"/>
      <c r="P57" s="6"/>
      <c r="Q57" s="2"/>
      <c r="R57" s="7">
        <f t="shared" si="26"/>
        <v>0</v>
      </c>
      <c r="S57" s="2"/>
      <c r="T57" s="6">
        <v>24290</v>
      </c>
      <c r="U57" s="2"/>
      <c r="V57" s="7">
        <f t="shared" si="27"/>
        <v>4.6823870728333841E-2</v>
      </c>
      <c r="W57" s="2"/>
      <c r="X57" s="6">
        <f t="shared" si="28"/>
        <v>-24290</v>
      </c>
      <c r="Y57" s="2"/>
      <c r="Z57" s="7">
        <f t="shared" si="29"/>
        <v>-1</v>
      </c>
    </row>
    <row r="58" spans="1:26" s="24" customFormat="1" hidden="1" outlineLevel="2" x14ac:dyDescent="0.25">
      <c r="A58" s="25"/>
      <c r="B58" s="11" t="str">
        <f>CONCATENATE("          ", "6005", " - ", "TEMPORARY WAGES-HOURLY")</f>
        <v xml:space="preserve">          6005 - TEMPORARY WAGES-HOURLY</v>
      </c>
      <c r="C58" s="11"/>
      <c r="D58" s="6">
        <v>2179.77</v>
      </c>
      <c r="E58" s="2"/>
      <c r="F58" s="7">
        <f t="shared" si="22"/>
        <v>4.3990638288769278E-2</v>
      </c>
      <c r="G58" s="2"/>
      <c r="H58" s="6">
        <v>0</v>
      </c>
      <c r="I58" s="2"/>
      <c r="J58" s="7">
        <f t="shared" si="23"/>
        <v>0</v>
      </c>
      <c r="K58" s="2"/>
      <c r="L58" s="6">
        <f t="shared" si="24"/>
        <v>2179.77</v>
      </c>
      <c r="M58" s="2"/>
      <c r="N58" s="7">
        <f t="shared" si="25"/>
        <v>0</v>
      </c>
      <c r="O58" s="11"/>
      <c r="P58" s="6">
        <v>16323.689999999999</v>
      </c>
      <c r="Q58" s="2"/>
      <c r="R58" s="7">
        <f t="shared" si="26"/>
        <v>3.6299014384324646E-2</v>
      </c>
      <c r="S58" s="2"/>
      <c r="T58" s="6">
        <v>0</v>
      </c>
      <c r="U58" s="2"/>
      <c r="V58" s="7">
        <f t="shared" si="27"/>
        <v>0</v>
      </c>
      <c r="W58" s="2"/>
      <c r="X58" s="6">
        <f t="shared" si="28"/>
        <v>16323.689999999999</v>
      </c>
      <c r="Y58" s="2"/>
      <c r="Z58" s="7">
        <f t="shared" si="29"/>
        <v>0</v>
      </c>
    </row>
    <row r="59" spans="1:26" s="24" customFormat="1" hidden="1" outlineLevel="2" x14ac:dyDescent="0.25">
      <c r="A59" s="25"/>
      <c r="B59" s="11" t="str">
        <f>CONCATENATE("          ", "6006", " - ", "TEMPORARY PART TIME")</f>
        <v xml:space="preserve">          6006 - TEMPORARY PART TIME</v>
      </c>
      <c r="C59" s="11"/>
      <c r="D59" s="6">
        <v>1264.31</v>
      </c>
      <c r="E59" s="2"/>
      <c r="F59" s="7">
        <f t="shared" si="22"/>
        <v>2.5515446076821813E-2</v>
      </c>
      <c r="G59" s="2"/>
      <c r="H59" s="6">
        <v>0</v>
      </c>
      <c r="I59" s="2"/>
      <c r="J59" s="7">
        <f t="shared" si="23"/>
        <v>0</v>
      </c>
      <c r="K59" s="2"/>
      <c r="L59" s="6">
        <f t="shared" si="24"/>
        <v>1264.31</v>
      </c>
      <c r="M59" s="2"/>
      <c r="N59" s="7">
        <f t="shared" si="25"/>
        <v>0</v>
      </c>
      <c r="O59" s="11"/>
      <c r="P59" s="6">
        <v>1441.99</v>
      </c>
      <c r="Q59" s="2"/>
      <c r="R59" s="7">
        <f t="shared" si="26"/>
        <v>3.2065553653648346E-3</v>
      </c>
      <c r="S59" s="2"/>
      <c r="T59" s="6">
        <v>0</v>
      </c>
      <c r="U59" s="2"/>
      <c r="V59" s="7">
        <f t="shared" si="27"/>
        <v>0</v>
      </c>
      <c r="W59" s="2"/>
      <c r="X59" s="6">
        <f t="shared" si="28"/>
        <v>1441.99</v>
      </c>
      <c r="Y59" s="2"/>
      <c r="Z59" s="7">
        <f t="shared" si="29"/>
        <v>0</v>
      </c>
    </row>
    <row r="60" spans="1:26" s="24" customFormat="1" hidden="1" outlineLevel="2" x14ac:dyDescent="0.25">
      <c r="A60" s="25"/>
      <c r="B60" s="11" t="str">
        <f>CONCATENATE("          ", "6007", " - ", "STUDENT HOURLY")</f>
        <v xml:space="preserve">          6007 - STUDENT HOURLY</v>
      </c>
      <c r="C60" s="11"/>
      <c r="D60" s="6">
        <v>2431.2399999999998</v>
      </c>
      <c r="E60" s="2"/>
      <c r="F60" s="7">
        <f t="shared" si="22"/>
        <v>4.9065635105165872E-2</v>
      </c>
      <c r="G60" s="2"/>
      <c r="H60" s="6">
        <v>0</v>
      </c>
      <c r="I60" s="2"/>
      <c r="J60" s="7">
        <f t="shared" si="23"/>
        <v>0</v>
      </c>
      <c r="K60" s="2"/>
      <c r="L60" s="6">
        <f t="shared" si="24"/>
        <v>2431.2399999999998</v>
      </c>
      <c r="M60" s="2"/>
      <c r="N60" s="7">
        <f t="shared" si="25"/>
        <v>0</v>
      </c>
      <c r="O60" s="11"/>
      <c r="P60" s="6">
        <v>30140.350000000002</v>
      </c>
      <c r="Q60" s="2"/>
      <c r="R60" s="7">
        <f t="shared" si="26"/>
        <v>6.7023142328638888E-2</v>
      </c>
      <c r="S60" s="2"/>
      <c r="T60" s="6">
        <v>3756.1363631999998</v>
      </c>
      <c r="U60" s="2"/>
      <c r="V60" s="7">
        <f t="shared" si="27"/>
        <v>7.2407099015426423E-3</v>
      </c>
      <c r="W60" s="2"/>
      <c r="X60" s="6">
        <f t="shared" si="28"/>
        <v>26384.213636800003</v>
      </c>
      <c r="Y60" s="2"/>
      <c r="Z60" s="7">
        <f t="shared" si="29"/>
        <v>7.0242960014162685</v>
      </c>
    </row>
    <row r="61" spans="1:26" s="24" customFormat="1" hidden="1" outlineLevel="2" x14ac:dyDescent="0.25">
      <c r="A61" s="25"/>
      <c r="B61" s="11" t="str">
        <f>CONCATENATE("          ", "6008", " - ", "STUDENT HOURLY-FICA EXEMPT")</f>
        <v xml:space="preserve">          6008 - STUDENT HOURLY-FICA EXEMPT</v>
      </c>
      <c r="C61" s="11"/>
      <c r="D61" s="6"/>
      <c r="E61" s="2"/>
      <c r="F61" s="7">
        <f t="shared" si="22"/>
        <v>0</v>
      </c>
      <c r="G61" s="2"/>
      <c r="H61" s="6">
        <v>4258.2462918096007</v>
      </c>
      <c r="I61" s="2"/>
      <c r="J61" s="7">
        <f t="shared" si="23"/>
        <v>5.9369066459527373E-2</v>
      </c>
      <c r="K61" s="2"/>
      <c r="L61" s="6">
        <f t="shared" si="24"/>
        <v>-4258.2462918096007</v>
      </c>
      <c r="M61" s="2"/>
      <c r="N61" s="7">
        <f t="shared" si="25"/>
        <v>-1</v>
      </c>
      <c r="O61" s="11"/>
      <c r="P61" s="6"/>
      <c r="Q61" s="2"/>
      <c r="R61" s="7">
        <f t="shared" si="26"/>
        <v>0</v>
      </c>
      <c r="S61" s="2"/>
      <c r="T61" s="6">
        <v>28326.9387558288</v>
      </c>
      <c r="U61" s="2"/>
      <c r="V61" s="7">
        <f t="shared" si="27"/>
        <v>5.4605883838302081E-2</v>
      </c>
      <c r="W61" s="2"/>
      <c r="X61" s="6">
        <f t="shared" si="28"/>
        <v>-28326.9387558288</v>
      </c>
      <c r="Y61" s="2"/>
      <c r="Z61" s="7">
        <f t="shared" si="29"/>
        <v>-1</v>
      </c>
    </row>
    <row r="62" spans="1:26" s="24" customFormat="1" hidden="1" outlineLevel="2" x14ac:dyDescent="0.25">
      <c r="A62" s="25"/>
      <c r="B62" s="11" t="str">
        <f>CONCATENATE("          ", "6009", " - ", "TEMPORARY-SEASONAL")</f>
        <v xml:space="preserve">          6009 - TEMPORARY-SEASONAL</v>
      </c>
      <c r="C62" s="11"/>
      <c r="D62" s="6"/>
      <c r="E62" s="2"/>
      <c r="F62" s="7">
        <f t="shared" si="22"/>
        <v>0</v>
      </c>
      <c r="G62" s="2"/>
      <c r="H62" s="6">
        <v>0</v>
      </c>
      <c r="I62" s="2"/>
      <c r="J62" s="7">
        <f t="shared" si="23"/>
        <v>0</v>
      </c>
      <c r="K62" s="2"/>
      <c r="L62" s="6">
        <f t="shared" si="24"/>
        <v>0</v>
      </c>
      <c r="M62" s="2"/>
      <c r="N62" s="7">
        <f t="shared" si="25"/>
        <v>0</v>
      </c>
      <c r="O62" s="11"/>
      <c r="P62" s="6"/>
      <c r="Q62" s="2"/>
      <c r="R62" s="7">
        <f t="shared" si="26"/>
        <v>0</v>
      </c>
      <c r="S62" s="2"/>
      <c r="T62" s="6">
        <v>0</v>
      </c>
      <c r="U62" s="2"/>
      <c r="V62" s="7">
        <f t="shared" si="27"/>
        <v>0</v>
      </c>
      <c r="W62" s="2"/>
      <c r="X62" s="6">
        <f t="shared" si="28"/>
        <v>0</v>
      </c>
      <c r="Y62" s="2"/>
      <c r="Z62" s="7">
        <f t="shared" si="29"/>
        <v>0</v>
      </c>
    </row>
    <row r="63" spans="1:26" s="24" customFormat="1" hidden="1" outlineLevel="2" x14ac:dyDescent="0.25">
      <c r="A63" s="25"/>
      <c r="B63" s="11" t="str">
        <f>CONCATENATE("          ", "6010", " - ", "GRATUITY")</f>
        <v xml:space="preserve">          6010 - GRATUITY</v>
      </c>
      <c r="C63" s="11"/>
      <c r="D63" s="6"/>
      <c r="E63" s="2"/>
      <c r="F63" s="7">
        <f t="shared" si="22"/>
        <v>0</v>
      </c>
      <c r="G63" s="2"/>
      <c r="H63" s="6">
        <v>0</v>
      </c>
      <c r="I63" s="2"/>
      <c r="J63" s="7">
        <f t="shared" si="23"/>
        <v>0</v>
      </c>
      <c r="K63" s="2"/>
      <c r="L63" s="6">
        <f t="shared" si="24"/>
        <v>0</v>
      </c>
      <c r="M63" s="2"/>
      <c r="N63" s="7">
        <f t="shared" si="25"/>
        <v>0</v>
      </c>
      <c r="O63" s="11"/>
      <c r="P63" s="6"/>
      <c r="Q63" s="2"/>
      <c r="R63" s="7">
        <f t="shared" si="26"/>
        <v>0</v>
      </c>
      <c r="S63" s="2"/>
      <c r="T63" s="6">
        <v>0</v>
      </c>
      <c r="U63" s="2"/>
      <c r="V63" s="7">
        <f t="shared" si="27"/>
        <v>0</v>
      </c>
      <c r="W63" s="2"/>
      <c r="X63" s="6">
        <f t="shared" si="28"/>
        <v>0</v>
      </c>
      <c r="Y63" s="2"/>
      <c r="Z63" s="7">
        <f t="shared" si="29"/>
        <v>0</v>
      </c>
    </row>
    <row r="64" spans="1:26" s="27" customFormat="1" outlineLevel="1" collapsed="1" x14ac:dyDescent="0.25">
      <c r="A64" s="26"/>
      <c r="B64" s="13" t="str">
        <f>CONCATENATE("     ","Advertising/Promo                                 ")</f>
        <v xml:space="preserve">     Advertising/Promo                                 </v>
      </c>
      <c r="C64" s="13"/>
      <c r="D64" s="1">
        <f>SUM(OSRRefD22_2x_0)</f>
        <v>1596.88</v>
      </c>
      <c r="E64" s="1"/>
      <c r="F64" s="5">
        <f t="shared" ref="F64:F76" si="30">IF(D$12=0,0,D64/D$12)</f>
        <v>3.2227148034228333E-2</v>
      </c>
      <c r="G64" s="1"/>
      <c r="H64" s="1">
        <f>SUM(OSRRefH22_2x_0)</f>
        <v>3100</v>
      </c>
      <c r="I64" s="1"/>
      <c r="J64" s="5">
        <f t="shared" ref="J64:J76" si="31">IF(H$12=0,0,H64/H$12)</f>
        <v>4.3220634367375395E-2</v>
      </c>
      <c r="K64" s="1"/>
      <c r="L64" s="1">
        <f t="shared" ref="L64:L76" si="32">+D64-H64</f>
        <v>-1503.12</v>
      </c>
      <c r="M64" s="1"/>
      <c r="N64" s="5">
        <f t="shared" ref="N64:N76" si="33">IF(H64=0,0,L64/H64)</f>
        <v>-0.48487741935483869</v>
      </c>
      <c r="O64" s="13"/>
      <c r="P64" s="1">
        <f>SUM(OSRRefP22_2x_0)</f>
        <v>1490.42</v>
      </c>
      <c r="Q64" s="1"/>
      <c r="R64" s="5">
        <f t="shared" ref="R64:R76" si="34">IF(P$12=0,0,P64/P$12)</f>
        <v>3.3142492303324276E-3</v>
      </c>
      <c r="S64" s="1"/>
      <c r="T64" s="1">
        <f>SUM(OSRRefT22_2x_0)</f>
        <v>4800</v>
      </c>
      <c r="U64" s="1"/>
      <c r="V64" s="5">
        <f t="shared" ref="V64:V76" si="35">IF(T$12=0,0,T64/T$12)</f>
        <v>9.2529674555785271E-3</v>
      </c>
      <c r="W64" s="1"/>
      <c r="X64" s="1">
        <f t="shared" ref="X64:X76" si="36">+P64-T64</f>
        <v>-3309.58</v>
      </c>
      <c r="Y64" s="1"/>
      <c r="Z64" s="5">
        <f t="shared" ref="Z64:Z76" si="37">IF(T64=0,0,X64/T64)</f>
        <v>-0.68949583333333331</v>
      </c>
    </row>
    <row r="65" spans="1:26" s="24" customFormat="1" hidden="1" outlineLevel="2" x14ac:dyDescent="0.25">
      <c r="A65" s="25"/>
      <c r="B65" s="11" t="str">
        <f>CONCATENATE("          ", "6362", " - ", "ADVERTISING EXPENSE")</f>
        <v xml:space="preserve">          6362 - ADVERTISING EXPENSE</v>
      </c>
      <c r="C65" s="11"/>
      <c r="D65" s="6">
        <v>1596.88</v>
      </c>
      <c r="E65" s="2"/>
      <c r="F65" s="7">
        <f t="shared" si="30"/>
        <v>3.2227148034228333E-2</v>
      </c>
      <c r="G65" s="2"/>
      <c r="H65" s="6">
        <v>3100</v>
      </c>
      <c r="I65" s="2"/>
      <c r="J65" s="7">
        <f t="shared" si="31"/>
        <v>4.3220634367375395E-2</v>
      </c>
      <c r="K65" s="2"/>
      <c r="L65" s="6">
        <f t="shared" si="32"/>
        <v>-1503.12</v>
      </c>
      <c r="M65" s="2"/>
      <c r="N65" s="7">
        <f t="shared" si="33"/>
        <v>-0.48487741935483869</v>
      </c>
      <c r="O65" s="11"/>
      <c r="P65" s="6">
        <v>1490.42</v>
      </c>
      <c r="Q65" s="2"/>
      <c r="R65" s="7">
        <f t="shared" si="34"/>
        <v>3.3142492303324276E-3</v>
      </c>
      <c r="S65" s="2"/>
      <c r="T65" s="6">
        <v>4800</v>
      </c>
      <c r="U65" s="2"/>
      <c r="V65" s="7">
        <f t="shared" si="35"/>
        <v>9.2529674555785271E-3</v>
      </c>
      <c r="W65" s="2"/>
      <c r="X65" s="6">
        <f t="shared" si="36"/>
        <v>-3309.58</v>
      </c>
      <c r="Y65" s="2"/>
      <c r="Z65" s="7">
        <f t="shared" si="37"/>
        <v>-0.68949583333333331</v>
      </c>
    </row>
    <row r="66" spans="1:26" s="27" customFormat="1" outlineLevel="1" collapsed="1" x14ac:dyDescent="0.25">
      <c r="A66" s="26"/>
      <c r="B66" s="13" t="str">
        <f>CONCATENATE("     ","Depreciation                                      ")</f>
        <v xml:space="preserve">     Depreciation                                      </v>
      </c>
      <c r="C66" s="13"/>
      <c r="D66" s="1">
        <f>SUM(OSRRefD22_3x_0)</f>
        <v>169.88</v>
      </c>
      <c r="E66" s="1"/>
      <c r="F66" s="5">
        <f t="shared" si="30"/>
        <v>3.4284028280488882E-3</v>
      </c>
      <c r="G66" s="1"/>
      <c r="H66" s="1">
        <f>SUM(OSRRefH22_3x_0)</f>
        <v>0</v>
      </c>
      <c r="I66" s="1"/>
      <c r="J66" s="5">
        <f t="shared" si="31"/>
        <v>0</v>
      </c>
      <c r="K66" s="1"/>
      <c r="L66" s="1">
        <f t="shared" si="32"/>
        <v>169.88</v>
      </c>
      <c r="M66" s="1"/>
      <c r="N66" s="5">
        <f t="shared" si="33"/>
        <v>0</v>
      </c>
      <c r="O66" s="13"/>
      <c r="P66" s="1">
        <f>SUM(OSRRefP22_3x_0)</f>
        <v>509.64</v>
      </c>
      <c r="Q66" s="1"/>
      <c r="R66" s="5">
        <f t="shared" si="34"/>
        <v>1.133287246377946E-3</v>
      </c>
      <c r="S66" s="1"/>
      <c r="T66" s="1">
        <f>SUM(OSRRefT22_3x_0)</f>
        <v>0</v>
      </c>
      <c r="U66" s="1"/>
      <c r="V66" s="5">
        <f t="shared" si="35"/>
        <v>0</v>
      </c>
      <c r="W66" s="1"/>
      <c r="X66" s="1">
        <f t="shared" si="36"/>
        <v>509.64</v>
      </c>
      <c r="Y66" s="1"/>
      <c r="Z66" s="5">
        <f t="shared" si="37"/>
        <v>0</v>
      </c>
    </row>
    <row r="67" spans="1:26" s="24" customFormat="1" hidden="1" outlineLevel="2" x14ac:dyDescent="0.25">
      <c r="A67" s="25"/>
      <c r="B67" s="11" t="str">
        <f>CONCATENATE("          ", "6322", " - ", "EQUIPMENT DEPRECIATION EXPENSE")</f>
        <v xml:space="preserve">          6322 - EQUIPMENT DEPRECIATION EXPENSE</v>
      </c>
      <c r="C67" s="11"/>
      <c r="D67" s="6">
        <v>169.88</v>
      </c>
      <c r="E67" s="2"/>
      <c r="F67" s="7">
        <f t="shared" si="30"/>
        <v>3.4284028280488882E-3</v>
      </c>
      <c r="G67" s="2"/>
      <c r="H67" s="6">
        <v>0</v>
      </c>
      <c r="I67" s="2"/>
      <c r="J67" s="7">
        <f t="shared" si="31"/>
        <v>0</v>
      </c>
      <c r="K67" s="2"/>
      <c r="L67" s="6">
        <f t="shared" si="32"/>
        <v>169.88</v>
      </c>
      <c r="M67" s="2"/>
      <c r="N67" s="7">
        <f t="shared" si="33"/>
        <v>0</v>
      </c>
      <c r="O67" s="11"/>
      <c r="P67" s="6">
        <v>509.64</v>
      </c>
      <c r="Q67" s="2"/>
      <c r="R67" s="7">
        <f t="shared" si="34"/>
        <v>1.133287246377946E-3</v>
      </c>
      <c r="S67" s="2"/>
      <c r="T67" s="6">
        <v>0</v>
      </c>
      <c r="U67" s="2"/>
      <c r="V67" s="7">
        <f t="shared" si="35"/>
        <v>0</v>
      </c>
      <c r="W67" s="2"/>
      <c r="X67" s="6">
        <f t="shared" si="36"/>
        <v>509.64</v>
      </c>
      <c r="Y67" s="2"/>
      <c r="Z67" s="7">
        <f t="shared" si="37"/>
        <v>0</v>
      </c>
    </row>
    <row r="68" spans="1:26" s="27" customFormat="1" outlineLevel="1" collapsed="1" x14ac:dyDescent="0.25">
      <c r="A68" s="26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SUM(OSRRefD22_4x_0)</f>
        <v>60.33</v>
      </c>
      <c r="E68" s="1"/>
      <c r="F68" s="5">
        <f t="shared" si="30"/>
        <v>1.2175391018141594E-3</v>
      </c>
      <c r="G68" s="1"/>
      <c r="H68" s="1">
        <f>SUM(OSRRefH22_4x_0)</f>
        <v>700</v>
      </c>
      <c r="I68" s="1"/>
      <c r="J68" s="5">
        <f t="shared" si="31"/>
        <v>9.7594980829557344E-3</v>
      </c>
      <c r="K68" s="1"/>
      <c r="L68" s="1">
        <f t="shared" si="32"/>
        <v>-639.66999999999996</v>
      </c>
      <c r="M68" s="1"/>
      <c r="N68" s="5">
        <f t="shared" si="33"/>
        <v>-0.91381428571428569</v>
      </c>
      <c r="O68" s="13"/>
      <c r="P68" s="1">
        <f>SUM(OSRRefP22_4x_0)</f>
        <v>982.51</v>
      </c>
      <c r="Q68" s="1"/>
      <c r="R68" s="5">
        <f t="shared" si="34"/>
        <v>2.1848089875967265E-3</v>
      </c>
      <c r="S68" s="1"/>
      <c r="T68" s="1">
        <f>SUM(OSRRefT22_4x_0)</f>
        <v>6200</v>
      </c>
      <c r="U68" s="1"/>
      <c r="V68" s="5">
        <f t="shared" si="35"/>
        <v>1.1951749630122264E-2</v>
      </c>
      <c r="W68" s="1"/>
      <c r="X68" s="1">
        <f t="shared" si="36"/>
        <v>-5217.49</v>
      </c>
      <c r="Y68" s="1"/>
      <c r="Z68" s="5">
        <f t="shared" si="37"/>
        <v>-0.84153064516129028</v>
      </c>
    </row>
    <row r="69" spans="1:26" s="24" customFormat="1" hidden="1" outlineLevel="2" x14ac:dyDescent="0.25">
      <c r="A69" s="25"/>
      <c r="B69" s="11" t="str">
        <f>CONCATENATE("          ", "6382", " - ", "DISCOUNTS/MARK DOWNS")</f>
        <v xml:space="preserve">          6382 - DISCOUNTS/MARK DOWNS</v>
      </c>
      <c r="C69" s="11"/>
      <c r="D69" s="6">
        <v>60.33</v>
      </c>
      <c r="E69" s="2"/>
      <c r="F69" s="7">
        <f t="shared" si="30"/>
        <v>1.2175391018141594E-3</v>
      </c>
      <c r="G69" s="2"/>
      <c r="H69" s="6">
        <v>700</v>
      </c>
      <c r="I69" s="2"/>
      <c r="J69" s="7">
        <f t="shared" si="31"/>
        <v>9.7594980829557344E-3</v>
      </c>
      <c r="K69" s="2"/>
      <c r="L69" s="6">
        <f t="shared" si="32"/>
        <v>-639.66999999999996</v>
      </c>
      <c r="M69" s="2"/>
      <c r="N69" s="7">
        <f t="shared" si="33"/>
        <v>-0.91381428571428569</v>
      </c>
      <c r="O69" s="11"/>
      <c r="P69" s="6">
        <v>982.51</v>
      </c>
      <c r="Q69" s="2"/>
      <c r="R69" s="7">
        <f t="shared" si="34"/>
        <v>2.1848089875967265E-3</v>
      </c>
      <c r="S69" s="2"/>
      <c r="T69" s="6">
        <v>6200</v>
      </c>
      <c r="U69" s="2"/>
      <c r="V69" s="7">
        <f t="shared" si="35"/>
        <v>1.1951749630122264E-2</v>
      </c>
      <c r="W69" s="2"/>
      <c r="X69" s="6">
        <f t="shared" si="36"/>
        <v>-5217.49</v>
      </c>
      <c r="Y69" s="2"/>
      <c r="Z69" s="7">
        <f t="shared" si="37"/>
        <v>-0.84153064516129028</v>
      </c>
    </row>
    <row r="70" spans="1:26" s="27" customFormat="1" outlineLevel="1" collapsed="1" x14ac:dyDescent="0.25">
      <c r="A70" s="26"/>
      <c r="B70" s="13" t="str">
        <f>CONCATENATE("     ","Employees' Appreciation                           ")</f>
        <v xml:space="preserve">     Employees' Appreciation                           </v>
      </c>
      <c r="C70" s="13"/>
      <c r="D70" s="1">
        <f>SUM(OSRRefD22_5x_0)</f>
        <v>0</v>
      </c>
      <c r="E70" s="1"/>
      <c r="F70" s="5">
        <f t="shared" si="30"/>
        <v>0</v>
      </c>
      <c r="G70" s="1"/>
      <c r="H70" s="1">
        <f>SUM(OSRRefH22_5x_0)</f>
        <v>100</v>
      </c>
      <c r="I70" s="1"/>
      <c r="J70" s="5">
        <f t="shared" si="31"/>
        <v>1.3942140118508191E-3</v>
      </c>
      <c r="K70" s="1"/>
      <c r="L70" s="1">
        <f t="shared" si="32"/>
        <v>-100</v>
      </c>
      <c r="M70" s="1"/>
      <c r="N70" s="5">
        <f t="shared" si="33"/>
        <v>-1</v>
      </c>
      <c r="O70" s="13"/>
      <c r="P70" s="1">
        <f>SUM(OSRRefP22_5x_0)</f>
        <v>0</v>
      </c>
      <c r="Q70" s="1"/>
      <c r="R70" s="5">
        <f t="shared" si="34"/>
        <v>0</v>
      </c>
      <c r="S70" s="1"/>
      <c r="T70" s="1">
        <f>SUM(OSRRefT22_5x_0)</f>
        <v>800</v>
      </c>
      <c r="U70" s="1"/>
      <c r="V70" s="5">
        <f t="shared" si="35"/>
        <v>1.5421612425964213E-3</v>
      </c>
      <c r="W70" s="1"/>
      <c r="X70" s="1">
        <f t="shared" si="36"/>
        <v>-800</v>
      </c>
      <c r="Y70" s="1"/>
      <c r="Z70" s="5">
        <f t="shared" si="37"/>
        <v>-1</v>
      </c>
    </row>
    <row r="71" spans="1:26" s="24" customFormat="1" hidden="1" outlineLevel="2" x14ac:dyDescent="0.25">
      <c r="A71" s="25"/>
      <c r="B71" s="11" t="str">
        <f>CONCATENATE("          ", "6277", " - ", "EMPLOYEE APPRECIATION")</f>
        <v xml:space="preserve">          6277 - EMPLOYEE APPRECIATION</v>
      </c>
      <c r="C71" s="11"/>
      <c r="D71" s="6"/>
      <c r="E71" s="2"/>
      <c r="F71" s="7">
        <f t="shared" si="30"/>
        <v>0</v>
      </c>
      <c r="G71" s="2"/>
      <c r="H71" s="6">
        <v>100</v>
      </c>
      <c r="I71" s="2"/>
      <c r="J71" s="7">
        <f t="shared" si="31"/>
        <v>1.3942140118508191E-3</v>
      </c>
      <c r="K71" s="2"/>
      <c r="L71" s="6">
        <f t="shared" si="32"/>
        <v>-100</v>
      </c>
      <c r="M71" s="2"/>
      <c r="N71" s="7">
        <f t="shared" si="33"/>
        <v>-1</v>
      </c>
      <c r="O71" s="11"/>
      <c r="P71" s="6"/>
      <c r="Q71" s="2"/>
      <c r="R71" s="7">
        <f t="shared" si="34"/>
        <v>0</v>
      </c>
      <c r="S71" s="2"/>
      <c r="T71" s="6">
        <v>800</v>
      </c>
      <c r="U71" s="2"/>
      <c r="V71" s="7">
        <f t="shared" si="35"/>
        <v>1.5421612425964213E-3</v>
      </c>
      <c r="W71" s="2"/>
      <c r="X71" s="6">
        <f t="shared" si="36"/>
        <v>-800</v>
      </c>
      <c r="Y71" s="2"/>
      <c r="Z71" s="7">
        <f t="shared" si="37"/>
        <v>-1</v>
      </c>
    </row>
    <row r="72" spans="1:26" s="27" customFormat="1" outlineLevel="1" collapsed="1" x14ac:dyDescent="0.25">
      <c r="A72" s="26"/>
      <c r="B72" s="13" t="str">
        <f>CONCATENATE("     ","Equipment Rental                                  ")</f>
        <v xml:space="preserve">     Equipment Rental                                  </v>
      </c>
      <c r="C72" s="13"/>
      <c r="D72" s="1">
        <f>SUM(OSRRefD22_6x_0)</f>
        <v>1205.6400000000001</v>
      </c>
      <c r="E72" s="1"/>
      <c r="F72" s="5">
        <f t="shared" si="30"/>
        <v>2.4331407968029562E-2</v>
      </c>
      <c r="G72" s="1"/>
      <c r="H72" s="1">
        <f>SUM(OSRRefH22_6x_0)</f>
        <v>3000</v>
      </c>
      <c r="I72" s="1"/>
      <c r="J72" s="5">
        <f t="shared" si="31"/>
        <v>4.1826420355524571E-2</v>
      </c>
      <c r="K72" s="1"/>
      <c r="L72" s="1">
        <f t="shared" si="32"/>
        <v>-1794.36</v>
      </c>
      <c r="M72" s="1"/>
      <c r="N72" s="5">
        <f t="shared" si="33"/>
        <v>-0.59811999999999999</v>
      </c>
      <c r="O72" s="13"/>
      <c r="P72" s="1">
        <f>SUM(OSRRefP22_6x_0)</f>
        <v>12343.44</v>
      </c>
      <c r="Q72" s="1"/>
      <c r="R72" s="5">
        <f t="shared" si="34"/>
        <v>2.7448126380251538E-2</v>
      </c>
      <c r="S72" s="1"/>
      <c r="T72" s="1">
        <f>SUM(OSRRefT22_6x_0)</f>
        <v>24000</v>
      </c>
      <c r="U72" s="1"/>
      <c r="V72" s="5">
        <f t="shared" si="35"/>
        <v>4.6264837277892636E-2</v>
      </c>
      <c r="W72" s="1"/>
      <c r="X72" s="1">
        <f t="shared" si="36"/>
        <v>-11656.56</v>
      </c>
      <c r="Y72" s="1"/>
      <c r="Z72" s="5">
        <f t="shared" si="37"/>
        <v>-0.48568999999999996</v>
      </c>
    </row>
    <row r="73" spans="1:26" s="24" customFormat="1" hidden="1" outlineLevel="2" x14ac:dyDescent="0.25">
      <c r="A73" s="25"/>
      <c r="B73" s="11" t="str">
        <f>CONCATENATE("          ", "6351", " - ", "EQUIPMENT RENTAL")</f>
        <v xml:space="preserve">          6351 - EQUIPMENT RENTAL</v>
      </c>
      <c r="C73" s="11"/>
      <c r="D73" s="6">
        <v>1205.6400000000001</v>
      </c>
      <c r="E73" s="2"/>
      <c r="F73" s="7">
        <f t="shared" si="30"/>
        <v>2.4331407968029562E-2</v>
      </c>
      <c r="G73" s="2"/>
      <c r="H73" s="6">
        <v>3000</v>
      </c>
      <c r="I73" s="2"/>
      <c r="J73" s="7">
        <f t="shared" si="31"/>
        <v>4.1826420355524571E-2</v>
      </c>
      <c r="K73" s="2"/>
      <c r="L73" s="6">
        <f t="shared" si="32"/>
        <v>-1794.36</v>
      </c>
      <c r="M73" s="2"/>
      <c r="N73" s="7">
        <f t="shared" si="33"/>
        <v>-0.59811999999999999</v>
      </c>
      <c r="O73" s="11"/>
      <c r="P73" s="6">
        <v>12343.44</v>
      </c>
      <c r="Q73" s="2"/>
      <c r="R73" s="7">
        <f t="shared" si="34"/>
        <v>2.7448126380251538E-2</v>
      </c>
      <c r="S73" s="2"/>
      <c r="T73" s="6">
        <v>24000</v>
      </c>
      <c r="U73" s="2"/>
      <c r="V73" s="7">
        <f t="shared" si="35"/>
        <v>4.6264837277892636E-2</v>
      </c>
      <c r="W73" s="2"/>
      <c r="X73" s="6">
        <f t="shared" si="36"/>
        <v>-11656.56</v>
      </c>
      <c r="Y73" s="2"/>
      <c r="Z73" s="7">
        <f t="shared" si="37"/>
        <v>-0.48568999999999996</v>
      </c>
    </row>
    <row r="74" spans="1:26" s="27" customFormat="1" outlineLevel="1" collapsed="1" x14ac:dyDescent="0.25">
      <c r="A74" s="26"/>
      <c r="B74" s="13" t="str">
        <f>CONCATENATE("     ","Freight out/Postage                               ")</f>
        <v xml:space="preserve">     Freight out/Postage                               </v>
      </c>
      <c r="C74" s="13"/>
      <c r="D74" s="1">
        <f>SUM(OSRRefD22_7x_0)</f>
        <v>2968.41</v>
      </c>
      <c r="E74" s="1"/>
      <c r="F74" s="5">
        <f t="shared" si="30"/>
        <v>5.9906435359127617E-2</v>
      </c>
      <c r="G74" s="1"/>
      <c r="H74" s="1">
        <f>SUM(OSRRefH22_7x_0)</f>
        <v>-8300</v>
      </c>
      <c r="I74" s="1"/>
      <c r="J74" s="5">
        <f t="shared" si="31"/>
        <v>-0.11571976298361798</v>
      </c>
      <c r="K74" s="1"/>
      <c r="L74" s="1">
        <f t="shared" si="32"/>
        <v>11268.41</v>
      </c>
      <c r="M74" s="1"/>
      <c r="N74" s="5">
        <f t="shared" si="33"/>
        <v>-1.3576397590361446</v>
      </c>
      <c r="O74" s="13"/>
      <c r="P74" s="1">
        <f>SUM(OSRRefP22_7x_0)</f>
        <v>-16720.010000000002</v>
      </c>
      <c r="Q74" s="1"/>
      <c r="R74" s="5">
        <f t="shared" si="34"/>
        <v>-3.7180311773627898E-2</v>
      </c>
      <c r="S74" s="1"/>
      <c r="T74" s="1">
        <f>SUM(OSRRefT22_7x_0)</f>
        <v>-77900</v>
      </c>
      <c r="U74" s="1"/>
      <c r="V74" s="5">
        <f t="shared" si="35"/>
        <v>-0.15016795099782651</v>
      </c>
      <c r="W74" s="1"/>
      <c r="X74" s="1">
        <f t="shared" si="36"/>
        <v>61179.99</v>
      </c>
      <c r="Y74" s="1"/>
      <c r="Z74" s="5">
        <f t="shared" si="37"/>
        <v>-0.78536572528883186</v>
      </c>
    </row>
    <row r="75" spans="1:26" s="24" customFormat="1" hidden="1" outlineLevel="2" x14ac:dyDescent="0.25">
      <c r="A75" s="25"/>
      <c r="B75" s="11" t="str">
        <f>CONCATENATE("          ", "6305", " - ", "FREIGHT OUT")</f>
        <v xml:space="preserve">          6305 - FREIGHT OUT</v>
      </c>
      <c r="C75" s="11"/>
      <c r="D75" s="6">
        <v>8629.18</v>
      </c>
      <c r="E75" s="2"/>
      <c r="F75" s="7">
        <f t="shared" si="30"/>
        <v>0.17414825238840892</v>
      </c>
      <c r="G75" s="2"/>
      <c r="H75" s="6">
        <v>-8300</v>
      </c>
      <c r="I75" s="2"/>
      <c r="J75" s="7">
        <f t="shared" si="31"/>
        <v>-0.11571976298361798</v>
      </c>
      <c r="K75" s="2"/>
      <c r="L75" s="6">
        <f t="shared" si="32"/>
        <v>16929.18</v>
      </c>
      <c r="M75" s="2"/>
      <c r="N75" s="7">
        <f t="shared" si="33"/>
        <v>-2.0396602409638556</v>
      </c>
      <c r="O75" s="11"/>
      <c r="P75" s="6">
        <v>33600.86</v>
      </c>
      <c r="Q75" s="2"/>
      <c r="R75" s="7">
        <f t="shared" si="34"/>
        <v>7.4718283700908231E-2</v>
      </c>
      <c r="S75" s="2"/>
      <c r="T75" s="6">
        <v>-77900</v>
      </c>
      <c r="U75" s="2"/>
      <c r="V75" s="7">
        <f t="shared" si="35"/>
        <v>-0.15016795099782651</v>
      </c>
      <c r="W75" s="2"/>
      <c r="X75" s="6">
        <f t="shared" si="36"/>
        <v>111500.86</v>
      </c>
      <c r="Y75" s="2"/>
      <c r="Z75" s="7">
        <f t="shared" si="37"/>
        <v>-1.4313332477535301</v>
      </c>
    </row>
    <row r="76" spans="1:26" s="24" customFormat="1" hidden="1" outlineLevel="2" x14ac:dyDescent="0.25">
      <c r="A76" s="25"/>
      <c r="B76" s="11" t="str">
        <f>CONCATENATE("          ", "6307", " - ", "POSTAGE")</f>
        <v xml:space="preserve">          6307 - POSTAGE</v>
      </c>
      <c r="C76" s="11"/>
      <c r="D76" s="6">
        <v>-5660.77</v>
      </c>
      <c r="E76" s="2"/>
      <c r="F76" s="7">
        <f t="shared" si="30"/>
        <v>-0.1142418170292813</v>
      </c>
      <c r="G76" s="2"/>
      <c r="H76" s="6"/>
      <c r="I76" s="2"/>
      <c r="J76" s="7">
        <f t="shared" si="31"/>
        <v>0</v>
      </c>
      <c r="K76" s="2"/>
      <c r="L76" s="6">
        <f t="shared" si="32"/>
        <v>-5660.77</v>
      </c>
      <c r="M76" s="2"/>
      <c r="N76" s="7">
        <f t="shared" si="33"/>
        <v>0</v>
      </c>
      <c r="O76" s="11"/>
      <c r="P76" s="6">
        <v>-50320.87</v>
      </c>
      <c r="Q76" s="2"/>
      <c r="R76" s="7">
        <f t="shared" si="34"/>
        <v>-0.11189859547453614</v>
      </c>
      <c r="S76" s="2"/>
      <c r="T76" s="6"/>
      <c r="U76" s="2"/>
      <c r="V76" s="7">
        <f t="shared" si="35"/>
        <v>0</v>
      </c>
      <c r="W76" s="2"/>
      <c r="X76" s="6">
        <f t="shared" si="36"/>
        <v>-50320.87</v>
      </c>
      <c r="Y76" s="2"/>
      <c r="Z76" s="7">
        <f t="shared" si="37"/>
        <v>0</v>
      </c>
    </row>
    <row r="77" spans="1:26" s="27" customFormat="1" outlineLevel="1" collapsed="1" x14ac:dyDescent="0.25">
      <c r="A77" s="26"/>
      <c r="B77" s="13" t="str">
        <f>CONCATENATE("     ","General                                           ")</f>
        <v xml:space="preserve">     General                                           </v>
      </c>
      <c r="C77" s="13"/>
      <c r="D77" s="1">
        <f>SUM(OSRRefD22_8x_0)</f>
        <v>0</v>
      </c>
      <c r="E77" s="1"/>
      <c r="F77" s="5">
        <f t="shared" ref="F77:F83" si="38">IF(D$12=0,0,D77/D$12)</f>
        <v>0</v>
      </c>
      <c r="G77" s="1"/>
      <c r="H77" s="1">
        <f>SUM(OSRRefH22_8x_0)</f>
        <v>300</v>
      </c>
      <c r="I77" s="1"/>
      <c r="J77" s="5">
        <f t="shared" ref="J77:J83" si="39">IF(H$12=0,0,H77/H$12)</f>
        <v>4.1826420355524571E-3</v>
      </c>
      <c r="K77" s="1"/>
      <c r="L77" s="1">
        <f t="shared" ref="L77:L83" si="40">+D77-H77</f>
        <v>-300</v>
      </c>
      <c r="M77" s="1"/>
      <c r="N77" s="5">
        <f t="shared" ref="N77:N83" si="41">IF(H77=0,0,L77/H77)</f>
        <v>-1</v>
      </c>
      <c r="O77" s="13"/>
      <c r="P77" s="1">
        <f>SUM(OSRRefP22_8x_0)</f>
        <v>155.16999999999999</v>
      </c>
      <c r="Q77" s="1"/>
      <c r="R77" s="5">
        <f t="shared" ref="R77:R83" si="42">IF(P$12=0,0,P77/P$12)</f>
        <v>3.4505176599259452E-4</v>
      </c>
      <c r="S77" s="1"/>
      <c r="T77" s="1">
        <f>SUM(OSRRefT22_8x_0)</f>
        <v>2300</v>
      </c>
      <c r="U77" s="1"/>
      <c r="V77" s="5">
        <f t="shared" ref="V77:V83" si="43">IF(T$12=0,0,T77/T$12)</f>
        <v>4.4337135724647108E-3</v>
      </c>
      <c r="W77" s="1"/>
      <c r="X77" s="1">
        <f t="shared" ref="X77:X83" si="44">+P77-T77</f>
        <v>-2144.83</v>
      </c>
      <c r="Y77" s="1"/>
      <c r="Z77" s="5">
        <f t="shared" ref="Z77:Z83" si="45">IF(T77=0,0,X77/T77)</f>
        <v>-0.9325347826086956</v>
      </c>
    </row>
    <row r="78" spans="1:26" s="24" customFormat="1" hidden="1" outlineLevel="2" x14ac:dyDescent="0.25">
      <c r="A78" s="25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38"/>
        <v>0</v>
      </c>
      <c r="G78" s="2"/>
      <c r="H78" s="6">
        <v>300</v>
      </c>
      <c r="I78" s="2"/>
      <c r="J78" s="7">
        <f t="shared" si="39"/>
        <v>4.1826420355524571E-3</v>
      </c>
      <c r="K78" s="2"/>
      <c r="L78" s="6">
        <f t="shared" si="40"/>
        <v>-300</v>
      </c>
      <c r="M78" s="2"/>
      <c r="N78" s="7">
        <f t="shared" si="41"/>
        <v>-1</v>
      </c>
      <c r="O78" s="11"/>
      <c r="P78" s="6">
        <v>155.16999999999999</v>
      </c>
      <c r="Q78" s="2"/>
      <c r="R78" s="7">
        <f t="shared" si="42"/>
        <v>3.4505176599259452E-4</v>
      </c>
      <c r="S78" s="2"/>
      <c r="T78" s="6">
        <v>2300</v>
      </c>
      <c r="U78" s="2"/>
      <c r="V78" s="7">
        <f t="shared" si="43"/>
        <v>4.4337135724647108E-3</v>
      </c>
      <c r="W78" s="2"/>
      <c r="X78" s="6">
        <f t="shared" si="44"/>
        <v>-2144.83</v>
      </c>
      <c r="Y78" s="2"/>
      <c r="Z78" s="7">
        <f t="shared" si="45"/>
        <v>-0.9325347826086956</v>
      </c>
    </row>
    <row r="79" spans="1:26" s="27" customFormat="1" outlineLevel="1" collapsed="1" x14ac:dyDescent="0.25">
      <c r="A79" s="26"/>
      <c r="B79" s="13" t="str">
        <f>CONCATENATE("     ","Inventory Adjustment                              ")</f>
        <v xml:space="preserve">     Inventory Adjustment                              </v>
      </c>
      <c r="C79" s="13"/>
      <c r="D79" s="1">
        <f>SUM(OSRRefD22_9x_0)</f>
        <v>100</v>
      </c>
      <c r="E79" s="1"/>
      <c r="F79" s="5">
        <f t="shared" si="38"/>
        <v>2.0181321097532895E-3</v>
      </c>
      <c r="G79" s="1"/>
      <c r="H79" s="1">
        <f>SUM(OSRRefH22_9x_0)</f>
        <v>100</v>
      </c>
      <c r="I79" s="1"/>
      <c r="J79" s="5">
        <f t="shared" si="39"/>
        <v>1.3942140118508191E-3</v>
      </c>
      <c r="K79" s="1"/>
      <c r="L79" s="1">
        <f t="shared" si="40"/>
        <v>0</v>
      </c>
      <c r="M79" s="1"/>
      <c r="N79" s="5">
        <f t="shared" si="41"/>
        <v>0</v>
      </c>
      <c r="O79" s="13"/>
      <c r="P79" s="1">
        <f>SUM(OSRRefP22_9x_0)</f>
        <v>700</v>
      </c>
      <c r="Q79" s="1"/>
      <c r="R79" s="5">
        <f t="shared" si="42"/>
        <v>1.5565910691165571E-3</v>
      </c>
      <c r="S79" s="1"/>
      <c r="T79" s="1">
        <f>SUM(OSRRefT22_9x_0)</f>
        <v>700</v>
      </c>
      <c r="U79" s="1"/>
      <c r="V79" s="5">
        <f t="shared" si="43"/>
        <v>1.3493910872718685E-3</v>
      </c>
      <c r="W79" s="1"/>
      <c r="X79" s="1">
        <f t="shared" si="44"/>
        <v>0</v>
      </c>
      <c r="Y79" s="1"/>
      <c r="Z79" s="5">
        <f t="shared" si="45"/>
        <v>0</v>
      </c>
    </row>
    <row r="80" spans="1:26" s="24" customFormat="1" hidden="1" outlineLevel="2" x14ac:dyDescent="0.25">
      <c r="A80" s="25"/>
      <c r="B80" s="11" t="str">
        <f>CONCATENATE("          ", "6408", " - ", "INVENTORY ADJUSTMENT")</f>
        <v xml:space="preserve">          6408 - INVENTORY ADJUSTMENT</v>
      </c>
      <c r="C80" s="11"/>
      <c r="D80" s="6">
        <v>100</v>
      </c>
      <c r="E80" s="2"/>
      <c r="F80" s="7">
        <f t="shared" si="38"/>
        <v>2.0181321097532895E-3</v>
      </c>
      <c r="G80" s="2"/>
      <c r="H80" s="6">
        <v>100</v>
      </c>
      <c r="I80" s="2"/>
      <c r="J80" s="7">
        <f t="shared" si="39"/>
        <v>1.3942140118508191E-3</v>
      </c>
      <c r="K80" s="2"/>
      <c r="L80" s="6">
        <f t="shared" si="40"/>
        <v>0</v>
      </c>
      <c r="M80" s="2"/>
      <c r="N80" s="7">
        <f t="shared" si="41"/>
        <v>0</v>
      </c>
      <c r="O80" s="11"/>
      <c r="P80" s="6">
        <v>700</v>
      </c>
      <c r="Q80" s="2"/>
      <c r="R80" s="7">
        <f t="shared" si="42"/>
        <v>1.5565910691165571E-3</v>
      </c>
      <c r="S80" s="2"/>
      <c r="T80" s="6">
        <v>700</v>
      </c>
      <c r="U80" s="2"/>
      <c r="V80" s="7">
        <f t="shared" si="43"/>
        <v>1.3493910872718685E-3</v>
      </c>
      <c r="W80" s="2"/>
      <c r="X80" s="6">
        <f t="shared" si="44"/>
        <v>0</v>
      </c>
      <c r="Y80" s="2"/>
      <c r="Z80" s="7">
        <f t="shared" si="45"/>
        <v>0</v>
      </c>
    </row>
    <row r="81" spans="1:26" s="27" customFormat="1" outlineLevel="1" collapsed="1" x14ac:dyDescent="0.25">
      <c r="A81" s="26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SUM(OSRRefD22_10x_0)</f>
        <v>4780.78</v>
      </c>
      <c r="E81" s="1"/>
      <c r="F81" s="5">
        <f t="shared" si="38"/>
        <v>9.6482456276663311E-2</v>
      </c>
      <c r="G81" s="1"/>
      <c r="H81" s="1">
        <f>SUM(OSRRefH22_10x_0)</f>
        <v>7000</v>
      </c>
      <c r="I81" s="1"/>
      <c r="J81" s="5">
        <f t="shared" si="39"/>
        <v>9.7594980829557337E-2</v>
      </c>
      <c r="K81" s="1"/>
      <c r="L81" s="1">
        <f t="shared" si="40"/>
        <v>-2219.2200000000003</v>
      </c>
      <c r="M81" s="1"/>
      <c r="N81" s="5">
        <f t="shared" si="41"/>
        <v>-0.31703142857142863</v>
      </c>
      <c r="O81" s="13"/>
      <c r="P81" s="1">
        <f>SUM(OSRRefP22_10x_0)</f>
        <v>50546.039999999994</v>
      </c>
      <c r="Q81" s="1"/>
      <c r="R81" s="5">
        <f t="shared" si="42"/>
        <v>0.11239930634744036</v>
      </c>
      <c r="S81" s="1"/>
      <c r="T81" s="1">
        <f>SUM(OSRRefT22_10x_0)</f>
        <v>56000</v>
      </c>
      <c r="U81" s="1"/>
      <c r="V81" s="5">
        <f t="shared" si="43"/>
        <v>0.10795128698174948</v>
      </c>
      <c r="W81" s="1"/>
      <c r="X81" s="1">
        <f t="shared" si="44"/>
        <v>-5453.9600000000064</v>
      </c>
      <c r="Y81" s="1"/>
      <c r="Z81" s="5">
        <f t="shared" si="45"/>
        <v>-9.7392142857142969E-2</v>
      </c>
    </row>
    <row r="82" spans="1:26" s="24" customFormat="1" hidden="1" outlineLevel="2" x14ac:dyDescent="0.25">
      <c r="A82" s="25"/>
      <c r="B82" s="11" t="str">
        <f>CONCATENATE("          ", "6373", " - ", "MAINTENANCE CONTRACTS")</f>
        <v xml:space="preserve">          6373 - MAINTENANCE CONTRACTS</v>
      </c>
      <c r="C82" s="11"/>
      <c r="D82" s="6">
        <v>4780.78</v>
      </c>
      <c r="E82" s="2"/>
      <c r="F82" s="7">
        <f t="shared" si="38"/>
        <v>9.6482456276663311E-2</v>
      </c>
      <c r="G82" s="2"/>
      <c r="H82" s="6">
        <v>7000</v>
      </c>
      <c r="I82" s="2"/>
      <c r="J82" s="7">
        <f t="shared" si="39"/>
        <v>9.7594980829557337E-2</v>
      </c>
      <c r="K82" s="2"/>
      <c r="L82" s="6">
        <f t="shared" si="40"/>
        <v>-2219.2200000000003</v>
      </c>
      <c r="M82" s="2"/>
      <c r="N82" s="7">
        <f t="shared" si="41"/>
        <v>-0.31703142857142863</v>
      </c>
      <c r="O82" s="11"/>
      <c r="P82" s="6">
        <v>49660.579999999994</v>
      </c>
      <c r="Q82" s="2"/>
      <c r="R82" s="7">
        <f t="shared" si="42"/>
        <v>0.11043030759306902</v>
      </c>
      <c r="S82" s="2"/>
      <c r="T82" s="6">
        <v>56000</v>
      </c>
      <c r="U82" s="2"/>
      <c r="V82" s="7">
        <f t="shared" si="43"/>
        <v>0.10795128698174948</v>
      </c>
      <c r="W82" s="2"/>
      <c r="X82" s="6">
        <f t="shared" si="44"/>
        <v>-6339.4200000000055</v>
      </c>
      <c r="Y82" s="2"/>
      <c r="Z82" s="7">
        <f t="shared" si="45"/>
        <v>-0.11320392857142866</v>
      </c>
    </row>
    <row r="83" spans="1:26" s="24" customFormat="1" hidden="1" outlineLevel="2" x14ac:dyDescent="0.25">
      <c r="A83" s="25"/>
      <c r="B83" s="11" t="str">
        <f>CONCATENATE("          ", "6375", " - ", "OUTSIDE REPAIRS &amp; MAINTENANCE")</f>
        <v xml:space="preserve">          6375 - OUTSIDE REPAIRS &amp; MAINTENANCE</v>
      </c>
      <c r="C83" s="11"/>
      <c r="D83" s="6"/>
      <c r="E83" s="2"/>
      <c r="F83" s="7">
        <f t="shared" si="38"/>
        <v>0</v>
      </c>
      <c r="G83" s="2"/>
      <c r="H83" s="6"/>
      <c r="I83" s="2"/>
      <c r="J83" s="7">
        <f t="shared" si="39"/>
        <v>0</v>
      </c>
      <c r="K83" s="2"/>
      <c r="L83" s="6">
        <f t="shared" si="40"/>
        <v>0</v>
      </c>
      <c r="M83" s="2"/>
      <c r="N83" s="7">
        <f t="shared" si="41"/>
        <v>0</v>
      </c>
      <c r="O83" s="11"/>
      <c r="P83" s="6">
        <v>885.46</v>
      </c>
      <c r="Q83" s="2"/>
      <c r="R83" s="7">
        <f t="shared" si="42"/>
        <v>1.9689987543713523E-3</v>
      </c>
      <c r="S83" s="2"/>
      <c r="T83" s="6"/>
      <c r="U83" s="2"/>
      <c r="V83" s="7">
        <f t="shared" si="43"/>
        <v>0</v>
      </c>
      <c r="W83" s="2"/>
      <c r="X83" s="6">
        <f t="shared" si="44"/>
        <v>885.46</v>
      </c>
      <c r="Y83" s="2"/>
      <c r="Z83" s="7">
        <f t="shared" si="45"/>
        <v>0</v>
      </c>
    </row>
    <row r="84" spans="1:26" s="27" customFormat="1" outlineLevel="1" collapsed="1" x14ac:dyDescent="0.25">
      <c r="A84" s="26"/>
      <c r="B84" s="13" t="str">
        <f>CONCATENATE("     ","Royalty &amp; Commissions                             ")</f>
        <v xml:space="preserve">     Royalty &amp; Commissions                             </v>
      </c>
      <c r="C84" s="13"/>
      <c r="D84" s="1">
        <f>SUM(OSRRefD22_11x_0)</f>
        <v>8561.32</v>
      </c>
      <c r="E84" s="1"/>
      <c r="F84" s="5">
        <f t="shared" ref="F84:F86" si="46">IF(D$12=0,0,D84/D$12)</f>
        <v>0.17277874793873033</v>
      </c>
      <c r="G84" s="1"/>
      <c r="H84" s="1">
        <f>SUM(OSRRefH22_11x_0)</f>
        <v>11000</v>
      </c>
      <c r="I84" s="1"/>
      <c r="J84" s="5">
        <f t="shared" ref="J84:J86" si="47">IF(H$12=0,0,H84/H$12)</f>
        <v>0.15336354130359009</v>
      </c>
      <c r="K84" s="1"/>
      <c r="L84" s="1">
        <f t="shared" ref="L84:L86" si="48">+D84-H84</f>
        <v>-2438.6800000000003</v>
      </c>
      <c r="M84" s="1"/>
      <c r="N84" s="5">
        <f t="shared" ref="N84:N86" si="49">IF(H84=0,0,L84/H84)</f>
        <v>-0.22169818181818185</v>
      </c>
      <c r="O84" s="13"/>
      <c r="P84" s="1">
        <f>SUM(OSRRefP22_11x_0)</f>
        <v>72961.88</v>
      </c>
      <c r="Q84" s="1"/>
      <c r="R84" s="5">
        <f t="shared" ref="R84:R86" si="50">IF(P$12=0,0,P84/P$12)</f>
        <v>0.16224544399136279</v>
      </c>
      <c r="S84" s="1"/>
      <c r="T84" s="1">
        <f>SUM(OSRRefT22_11x_0)</f>
        <v>88000</v>
      </c>
      <c r="U84" s="1"/>
      <c r="V84" s="5">
        <f t="shared" ref="V84:V86" si="51">IF(T$12=0,0,T84/T$12)</f>
        <v>0.16963773668560633</v>
      </c>
      <c r="W84" s="1"/>
      <c r="X84" s="1">
        <f t="shared" ref="X84:X86" si="52">+P84-T84</f>
        <v>-15038.119999999995</v>
      </c>
      <c r="Y84" s="1"/>
      <c r="Z84" s="5">
        <f t="shared" ref="Z84:Z86" si="53">IF(T84=0,0,X84/T84)</f>
        <v>-0.17088772727272722</v>
      </c>
    </row>
    <row r="85" spans="1:26" s="24" customFormat="1" hidden="1" outlineLevel="2" x14ac:dyDescent="0.25">
      <c r="A85" s="25"/>
      <c r="B85" s="11" t="str">
        <f>CONCATENATE("          ", "6254", " - ", "ROYALTY &amp; COMMISSIONS")</f>
        <v xml:space="preserve">          6254 - ROYALTY &amp; COMMISSIONS</v>
      </c>
      <c r="C85" s="11"/>
      <c r="D85" s="6"/>
      <c r="E85" s="2"/>
      <c r="F85" s="7">
        <f t="shared" si="46"/>
        <v>0</v>
      </c>
      <c r="G85" s="2"/>
      <c r="H85" s="6">
        <v>11000</v>
      </c>
      <c r="I85" s="2"/>
      <c r="J85" s="7">
        <f t="shared" si="47"/>
        <v>0.15336354130359009</v>
      </c>
      <c r="K85" s="2"/>
      <c r="L85" s="6">
        <f t="shared" si="48"/>
        <v>-11000</v>
      </c>
      <c r="M85" s="2"/>
      <c r="N85" s="7">
        <f t="shared" si="49"/>
        <v>-1</v>
      </c>
      <c r="O85" s="11"/>
      <c r="P85" s="6"/>
      <c r="Q85" s="2"/>
      <c r="R85" s="7">
        <f t="shared" si="50"/>
        <v>0</v>
      </c>
      <c r="S85" s="2"/>
      <c r="T85" s="6">
        <v>88000</v>
      </c>
      <c r="U85" s="2"/>
      <c r="V85" s="7">
        <f t="shared" si="51"/>
        <v>0.16963773668560633</v>
      </c>
      <c r="W85" s="2"/>
      <c r="X85" s="6">
        <f t="shared" si="52"/>
        <v>-88000</v>
      </c>
      <c r="Y85" s="2"/>
      <c r="Z85" s="7">
        <f t="shared" si="53"/>
        <v>-1</v>
      </c>
    </row>
    <row r="86" spans="1:26" s="24" customFormat="1" hidden="1" outlineLevel="2" x14ac:dyDescent="0.25">
      <c r="A86" s="25"/>
      <c r="B86" s="11" t="str">
        <f>CONCATENATE("          ", "6259", " - ", "ROYALTY &amp; COMMISSIONS")</f>
        <v xml:space="preserve">          6259 - ROYALTY &amp; COMMISSIONS</v>
      </c>
      <c r="C86" s="11"/>
      <c r="D86" s="6">
        <v>8561.32</v>
      </c>
      <c r="E86" s="2"/>
      <c r="F86" s="7">
        <f t="shared" si="46"/>
        <v>0.17277874793873033</v>
      </c>
      <c r="G86" s="2"/>
      <c r="H86" s="6"/>
      <c r="I86" s="2"/>
      <c r="J86" s="7">
        <f t="shared" si="47"/>
        <v>0</v>
      </c>
      <c r="K86" s="2"/>
      <c r="L86" s="6">
        <f t="shared" si="48"/>
        <v>8561.32</v>
      </c>
      <c r="M86" s="2"/>
      <c r="N86" s="7">
        <f t="shared" si="49"/>
        <v>0</v>
      </c>
      <c r="O86" s="11"/>
      <c r="P86" s="6">
        <v>72961.88</v>
      </c>
      <c r="Q86" s="2"/>
      <c r="R86" s="7">
        <f t="shared" si="50"/>
        <v>0.16224544399136279</v>
      </c>
      <c r="S86" s="2"/>
      <c r="T86" s="6"/>
      <c r="U86" s="2"/>
      <c r="V86" s="7">
        <f t="shared" si="51"/>
        <v>0</v>
      </c>
      <c r="W86" s="2"/>
      <c r="X86" s="6">
        <f t="shared" si="52"/>
        <v>72961.88</v>
      </c>
      <c r="Y86" s="2"/>
      <c r="Z86" s="7">
        <f t="shared" si="53"/>
        <v>0</v>
      </c>
    </row>
    <row r="87" spans="1:26" s="27" customFormat="1" outlineLevel="1" collapsed="1" x14ac:dyDescent="0.25">
      <c r="A87" s="26"/>
      <c r="B87" s="13" t="str">
        <f>CONCATENATE("     ","Supplies                                          ")</f>
        <v xml:space="preserve">     Supplies                                          </v>
      </c>
      <c r="C87" s="13"/>
      <c r="D87" s="1">
        <f>SUM(OSRRefD22_12x_0)</f>
        <v>7110.1399999999994</v>
      </c>
      <c r="E87" s="1"/>
      <c r="F87" s="5">
        <f t="shared" ref="F87:F92" si="54">IF(D$12=0,0,D87/D$12)</f>
        <v>0.14349201838841252</v>
      </c>
      <c r="G87" s="1"/>
      <c r="H87" s="1">
        <f>SUM(OSRRefH22_12x_0)</f>
        <v>7750</v>
      </c>
      <c r="I87" s="1"/>
      <c r="J87" s="5">
        <f t="shared" ref="J87:J92" si="55">IF(H$12=0,0,H87/H$12)</f>
        <v>0.10805158591843848</v>
      </c>
      <c r="K87" s="1"/>
      <c r="L87" s="1">
        <f t="shared" ref="L87:L92" si="56">+D87-H87</f>
        <v>-639.86000000000058</v>
      </c>
      <c r="M87" s="1"/>
      <c r="N87" s="5">
        <f t="shared" ref="N87:N92" si="57">IF(H87=0,0,L87/H87)</f>
        <v>-8.2562580645161365E-2</v>
      </c>
      <c r="O87" s="13"/>
      <c r="P87" s="1">
        <f>SUM(OSRRefP22_12x_0)</f>
        <v>36706.9</v>
      </c>
      <c r="Q87" s="1"/>
      <c r="R87" s="5">
        <f t="shared" ref="R87:R92" si="58">IF(P$12=0,0,P87/P$12)</f>
        <v>8.1625189592792219E-2</v>
      </c>
      <c r="S87" s="1"/>
      <c r="T87" s="1">
        <f>SUM(OSRRefT22_12x_0)</f>
        <v>65950</v>
      </c>
      <c r="U87" s="1"/>
      <c r="V87" s="5">
        <f t="shared" ref="V87:V92" si="59">IF(T$12=0,0,T87/T$12)</f>
        <v>0.12713191743654248</v>
      </c>
      <c r="W87" s="1"/>
      <c r="X87" s="1">
        <f t="shared" ref="X87:X92" si="60">+P87-T87</f>
        <v>-29243.1</v>
      </c>
      <c r="Y87" s="1"/>
      <c r="Z87" s="5">
        <f t="shared" ref="Z87:Z92" si="61">IF(T87=0,0,X87/T87)</f>
        <v>-0.44341319181197875</v>
      </c>
    </row>
    <row r="88" spans="1:26" s="24" customFormat="1" hidden="1" outlineLevel="2" x14ac:dyDescent="0.25">
      <c r="A88" s="25"/>
      <c r="B88" s="11" t="str">
        <f>CONCATENATE("          ", "6234", " - ", "EXPENDABLE SUPPLIES &amp; EQUIPMEN")</f>
        <v xml:space="preserve">          6234 - EXPENDABLE SUPPLIES &amp; EQUIPMEN</v>
      </c>
      <c r="C88" s="11"/>
      <c r="D88" s="6"/>
      <c r="E88" s="2"/>
      <c r="F88" s="7">
        <f t="shared" si="54"/>
        <v>0</v>
      </c>
      <c r="G88" s="2"/>
      <c r="H88" s="6"/>
      <c r="I88" s="2"/>
      <c r="J88" s="7">
        <f t="shared" si="55"/>
        <v>0</v>
      </c>
      <c r="K88" s="2"/>
      <c r="L88" s="6">
        <f t="shared" si="56"/>
        <v>0</v>
      </c>
      <c r="M88" s="2"/>
      <c r="N88" s="7">
        <f t="shared" si="57"/>
        <v>0</v>
      </c>
      <c r="O88" s="11"/>
      <c r="P88" s="6">
        <v>1017.27</v>
      </c>
      <c r="Q88" s="2"/>
      <c r="R88" s="7">
        <f t="shared" si="58"/>
        <v>2.262104852686E-3</v>
      </c>
      <c r="S88" s="2"/>
      <c r="T88" s="6"/>
      <c r="U88" s="2"/>
      <c r="V88" s="7">
        <f t="shared" si="59"/>
        <v>0</v>
      </c>
      <c r="W88" s="2"/>
      <c r="X88" s="6">
        <f t="shared" si="60"/>
        <v>1017.27</v>
      </c>
      <c r="Y88" s="2"/>
      <c r="Z88" s="7">
        <f t="shared" si="61"/>
        <v>0</v>
      </c>
    </row>
    <row r="89" spans="1:26" s="24" customFormat="1" hidden="1" outlineLevel="2" x14ac:dyDescent="0.25">
      <c r="A89" s="25"/>
      <c r="B89" s="11" t="str">
        <f>CONCATENATE("          ", "6241", " - ", "OFFICE EXPENSE")</f>
        <v xml:space="preserve">          6241 - OFFICE EXPENSE</v>
      </c>
      <c r="C89" s="11"/>
      <c r="D89" s="6">
        <v>10.039999999999999</v>
      </c>
      <c r="E89" s="2"/>
      <c r="F89" s="7">
        <f t="shared" si="54"/>
        <v>2.0262046381923026E-4</v>
      </c>
      <c r="G89" s="2"/>
      <c r="H89" s="6"/>
      <c r="I89" s="2"/>
      <c r="J89" s="7">
        <f t="shared" si="55"/>
        <v>0</v>
      </c>
      <c r="K89" s="2"/>
      <c r="L89" s="6">
        <f t="shared" si="56"/>
        <v>10.039999999999999</v>
      </c>
      <c r="M89" s="2"/>
      <c r="N89" s="7">
        <f t="shared" si="57"/>
        <v>0</v>
      </c>
      <c r="O89" s="11"/>
      <c r="P89" s="6">
        <v>1704.33</v>
      </c>
      <c r="Q89" s="2"/>
      <c r="R89" s="7">
        <f t="shared" si="58"/>
        <v>3.7899212240391738E-3</v>
      </c>
      <c r="S89" s="2"/>
      <c r="T89" s="6"/>
      <c r="U89" s="2"/>
      <c r="V89" s="7">
        <f t="shared" si="59"/>
        <v>0</v>
      </c>
      <c r="W89" s="2"/>
      <c r="X89" s="6">
        <f t="shared" si="60"/>
        <v>1704.33</v>
      </c>
      <c r="Y89" s="2"/>
      <c r="Z89" s="7">
        <f t="shared" si="61"/>
        <v>0</v>
      </c>
    </row>
    <row r="90" spans="1:26" s="24" customFormat="1" hidden="1" outlineLevel="2" x14ac:dyDescent="0.25">
      <c r="A90" s="25"/>
      <c r="B90" s="11" t="str">
        <f>CONCATENATE("          ", "6243", " - ", "PAPER SUPPLIES")</f>
        <v xml:space="preserve">          6243 - PAPER SUPPLIES</v>
      </c>
      <c r="C90" s="11"/>
      <c r="D90" s="6">
        <v>-285.27999999999997</v>
      </c>
      <c r="E90" s="2"/>
      <c r="F90" s="7">
        <f t="shared" si="54"/>
        <v>-5.7573272827041834E-3</v>
      </c>
      <c r="G90" s="2"/>
      <c r="H90" s="6">
        <v>250</v>
      </c>
      <c r="I90" s="2"/>
      <c r="J90" s="7">
        <f t="shared" si="55"/>
        <v>3.4855350296270479E-3</v>
      </c>
      <c r="K90" s="2"/>
      <c r="L90" s="6">
        <f t="shared" si="56"/>
        <v>-535.28</v>
      </c>
      <c r="M90" s="2"/>
      <c r="N90" s="7">
        <f t="shared" si="57"/>
        <v>-2.1411199999999999</v>
      </c>
      <c r="O90" s="11"/>
      <c r="P90" s="6">
        <v>11567.55</v>
      </c>
      <c r="Q90" s="2"/>
      <c r="R90" s="7">
        <f t="shared" si="58"/>
        <v>2.5722778602227471E-2</v>
      </c>
      <c r="S90" s="2"/>
      <c r="T90" s="6">
        <v>2000</v>
      </c>
      <c r="U90" s="2"/>
      <c r="V90" s="7">
        <f t="shared" si="59"/>
        <v>3.8554031064910533E-3</v>
      </c>
      <c r="W90" s="2"/>
      <c r="X90" s="6">
        <f t="shared" si="60"/>
        <v>9567.5499999999993</v>
      </c>
      <c r="Y90" s="2"/>
      <c r="Z90" s="7">
        <f t="shared" si="61"/>
        <v>4.7837749999999994</v>
      </c>
    </row>
    <row r="91" spans="1:26" s="24" customFormat="1" hidden="1" outlineLevel="2" x14ac:dyDescent="0.25">
      <c r="A91" s="25"/>
      <c r="B91" s="11" t="str">
        <f>CONCATENATE("          ", "6245", " - ", "PRINTING")</f>
        <v xml:space="preserve">          6245 - PRINTING</v>
      </c>
      <c r="C91" s="11"/>
      <c r="D91" s="6">
        <v>3266.4</v>
      </c>
      <c r="E91" s="2"/>
      <c r="F91" s="7">
        <f t="shared" si="54"/>
        <v>6.5920267232981444E-2</v>
      </c>
      <c r="G91" s="2"/>
      <c r="H91" s="6"/>
      <c r="I91" s="2"/>
      <c r="J91" s="7">
        <f t="shared" si="55"/>
        <v>0</v>
      </c>
      <c r="K91" s="2"/>
      <c r="L91" s="6">
        <f t="shared" si="56"/>
        <v>3266.4</v>
      </c>
      <c r="M91" s="2"/>
      <c r="N91" s="7">
        <f t="shared" si="57"/>
        <v>0</v>
      </c>
      <c r="O91" s="11"/>
      <c r="P91" s="6">
        <v>5273.67</v>
      </c>
      <c r="Q91" s="2"/>
      <c r="R91" s="7">
        <f t="shared" si="58"/>
        <v>1.1727068033525592E-2</v>
      </c>
      <c r="S91" s="2"/>
      <c r="T91" s="6"/>
      <c r="U91" s="2"/>
      <c r="V91" s="7">
        <f t="shared" si="59"/>
        <v>0</v>
      </c>
      <c r="W91" s="2"/>
      <c r="X91" s="6">
        <f t="shared" si="60"/>
        <v>5273.67</v>
      </c>
      <c r="Y91" s="2"/>
      <c r="Z91" s="7">
        <f t="shared" si="61"/>
        <v>0</v>
      </c>
    </row>
    <row r="92" spans="1:26" s="24" customFormat="1" hidden="1" outlineLevel="2" x14ac:dyDescent="0.25">
      <c r="A92" s="25"/>
      <c r="B92" s="11" t="str">
        <f>CONCATENATE("          ", "6247", " - ", "STORE SUPPLIES")</f>
        <v xml:space="preserve">          6247 - STORE SUPPLIES</v>
      </c>
      <c r="C92" s="11"/>
      <c r="D92" s="6">
        <v>4118.9799999999996</v>
      </c>
      <c r="E92" s="2"/>
      <c r="F92" s="7">
        <f t="shared" si="54"/>
        <v>8.3126457974316031E-2</v>
      </c>
      <c r="G92" s="2"/>
      <c r="H92" s="6">
        <v>7500</v>
      </c>
      <c r="I92" s="2"/>
      <c r="J92" s="7">
        <f t="shared" si="55"/>
        <v>0.10456605088881143</v>
      </c>
      <c r="K92" s="2"/>
      <c r="L92" s="6">
        <f t="shared" si="56"/>
        <v>-3381.0200000000004</v>
      </c>
      <c r="M92" s="2"/>
      <c r="N92" s="7">
        <f t="shared" si="57"/>
        <v>-0.45080266666666674</v>
      </c>
      <c r="O92" s="11"/>
      <c r="P92" s="6">
        <v>17144.080000000002</v>
      </c>
      <c r="Q92" s="2"/>
      <c r="R92" s="7">
        <f t="shared" si="58"/>
        <v>3.8123316880313979E-2</v>
      </c>
      <c r="S92" s="2"/>
      <c r="T92" s="6">
        <v>63950</v>
      </c>
      <c r="U92" s="2"/>
      <c r="V92" s="7">
        <f t="shared" si="59"/>
        <v>0.12327651433005142</v>
      </c>
      <c r="W92" s="2"/>
      <c r="X92" s="6">
        <f t="shared" si="60"/>
        <v>-46805.919999999998</v>
      </c>
      <c r="Y92" s="2"/>
      <c r="Z92" s="7">
        <f t="shared" si="61"/>
        <v>-0.73191430805316648</v>
      </c>
    </row>
    <row r="93" spans="1:26" s="27" customFormat="1" outlineLevel="1" collapsed="1" x14ac:dyDescent="0.25">
      <c r="A93" s="26"/>
      <c r="B93" s="13" t="str">
        <f>CONCATENATE("     ","Telephone/Data Lines                              ")</f>
        <v xml:space="preserve">     Telephone/Data Lines                              </v>
      </c>
      <c r="C93" s="13"/>
      <c r="D93" s="1">
        <f>SUM(OSRRefD22_13x_0)</f>
        <v>206.9</v>
      </c>
      <c r="E93" s="1"/>
      <c r="F93" s="5">
        <f t="shared" ref="F93:F95" si="62">IF(D$12=0,0,D93/D$12)</f>
        <v>4.1755153350795564E-3</v>
      </c>
      <c r="G93" s="1"/>
      <c r="H93" s="1">
        <f>SUM(OSRRefH22_13x_0)</f>
        <v>200</v>
      </c>
      <c r="I93" s="1"/>
      <c r="J93" s="5">
        <f t="shared" ref="J93:J95" si="63">IF(H$12=0,0,H93/H$12)</f>
        <v>2.7884280237016382E-3</v>
      </c>
      <c r="K93" s="1"/>
      <c r="L93" s="1">
        <f t="shared" ref="L93:L95" si="64">+D93-H93</f>
        <v>6.9000000000000057</v>
      </c>
      <c r="M93" s="1"/>
      <c r="N93" s="5">
        <f t="shared" ref="N93:N95" si="65">IF(H93=0,0,L93/H93)</f>
        <v>3.4500000000000031E-2</v>
      </c>
      <c r="O93" s="13"/>
      <c r="P93" s="1">
        <f>SUM(OSRRefP22_13x_0)</f>
        <v>1623.4</v>
      </c>
      <c r="Q93" s="1"/>
      <c r="R93" s="5">
        <f t="shared" ref="R93:R95" si="66">IF(P$12=0,0,P93/P$12)</f>
        <v>3.6099570594340272E-3</v>
      </c>
      <c r="S93" s="1"/>
      <c r="T93" s="1">
        <f>SUM(OSRRefT22_13x_0)</f>
        <v>1600</v>
      </c>
      <c r="U93" s="1"/>
      <c r="V93" s="5">
        <f t="shared" ref="V93:V95" si="67">IF(T$12=0,0,T93/T$12)</f>
        <v>3.0843224851928425E-3</v>
      </c>
      <c r="W93" s="1"/>
      <c r="X93" s="1">
        <f t="shared" ref="X93:X95" si="68">+P93-T93</f>
        <v>23.400000000000091</v>
      </c>
      <c r="Y93" s="1"/>
      <c r="Z93" s="5">
        <f t="shared" ref="Z93:Z95" si="69">IF(T93=0,0,X93/T93)</f>
        <v>1.4625000000000056E-2</v>
      </c>
    </row>
    <row r="94" spans="1:26" s="24" customFormat="1" hidden="1" outlineLevel="2" x14ac:dyDescent="0.25">
      <c r="A94" s="25"/>
      <c r="B94" s="11" t="str">
        <f>CONCATENATE("          ", "6303", " - ", "DATA PHONE LINES")</f>
        <v xml:space="preserve">          6303 - DATA PHONE LINES</v>
      </c>
      <c r="C94" s="11"/>
      <c r="D94" s="6"/>
      <c r="E94" s="2"/>
      <c r="F94" s="7">
        <f t="shared" si="62"/>
        <v>0</v>
      </c>
      <c r="G94" s="2"/>
      <c r="H94" s="6">
        <v>200</v>
      </c>
      <c r="I94" s="2"/>
      <c r="J94" s="7">
        <f t="shared" si="63"/>
        <v>2.7884280237016382E-3</v>
      </c>
      <c r="K94" s="2"/>
      <c r="L94" s="6">
        <f t="shared" si="64"/>
        <v>-200</v>
      </c>
      <c r="M94" s="2"/>
      <c r="N94" s="7">
        <f t="shared" si="65"/>
        <v>-1</v>
      </c>
      <c r="O94" s="11"/>
      <c r="P94" s="6"/>
      <c r="Q94" s="2"/>
      <c r="R94" s="7">
        <f t="shared" si="66"/>
        <v>0</v>
      </c>
      <c r="S94" s="2"/>
      <c r="T94" s="6">
        <v>1600</v>
      </c>
      <c r="U94" s="2"/>
      <c r="V94" s="7">
        <f t="shared" si="67"/>
        <v>3.0843224851928425E-3</v>
      </c>
      <c r="W94" s="2"/>
      <c r="X94" s="6">
        <f t="shared" si="68"/>
        <v>-1600</v>
      </c>
      <c r="Y94" s="2"/>
      <c r="Z94" s="7">
        <f t="shared" si="69"/>
        <v>-1</v>
      </c>
    </row>
    <row r="95" spans="1:26" s="24" customFormat="1" hidden="1" outlineLevel="2" x14ac:dyDescent="0.25">
      <c r="A95" s="25"/>
      <c r="B95" s="11" t="str">
        <f>CONCATENATE("          ", "6309", " - ", "TELEPHONE")</f>
        <v xml:space="preserve">          6309 - TELEPHONE</v>
      </c>
      <c r="C95" s="11"/>
      <c r="D95" s="6">
        <v>206.9</v>
      </c>
      <c r="E95" s="2"/>
      <c r="F95" s="7">
        <f t="shared" si="62"/>
        <v>4.1755153350795564E-3</v>
      </c>
      <c r="G95" s="2"/>
      <c r="H95" s="6"/>
      <c r="I95" s="2"/>
      <c r="J95" s="7">
        <f t="shared" si="63"/>
        <v>0</v>
      </c>
      <c r="K95" s="2"/>
      <c r="L95" s="6">
        <f t="shared" si="64"/>
        <v>206.9</v>
      </c>
      <c r="M95" s="2"/>
      <c r="N95" s="7">
        <f t="shared" si="65"/>
        <v>0</v>
      </c>
      <c r="O95" s="11"/>
      <c r="P95" s="6">
        <v>1623.4</v>
      </c>
      <c r="Q95" s="2"/>
      <c r="R95" s="7">
        <f t="shared" si="66"/>
        <v>3.6099570594340272E-3</v>
      </c>
      <c r="S95" s="2"/>
      <c r="T95" s="6"/>
      <c r="U95" s="2"/>
      <c r="V95" s="7">
        <f t="shared" si="67"/>
        <v>0</v>
      </c>
      <c r="W95" s="2"/>
      <c r="X95" s="6">
        <f t="shared" si="68"/>
        <v>1623.4</v>
      </c>
      <c r="Y95" s="2"/>
      <c r="Z95" s="7">
        <f t="shared" si="69"/>
        <v>0</v>
      </c>
    </row>
    <row r="96" spans="1:26" s="27" customFormat="1" outlineLevel="1" collapsed="1" x14ac:dyDescent="0.25">
      <c r="A96" s="26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SUM(OSRRefD22_14x_0)</f>
        <v>0</v>
      </c>
      <c r="E96" s="1"/>
      <c r="F96" s="5">
        <f t="shared" ref="F96:F97" si="70">IF(D$12=0,0,D96/D$12)</f>
        <v>0</v>
      </c>
      <c r="G96" s="1"/>
      <c r="H96" s="1">
        <f>SUM(OSRRefH22_14x_0)</f>
        <v>0</v>
      </c>
      <c r="I96" s="1"/>
      <c r="J96" s="5">
        <f t="shared" ref="J96:J97" si="71">IF(H$12=0,0,H96/H$12)</f>
        <v>0</v>
      </c>
      <c r="K96" s="1"/>
      <c r="L96" s="1">
        <f t="shared" ref="L96:L97" si="72">+D96-H96</f>
        <v>0</v>
      </c>
      <c r="M96" s="1"/>
      <c r="N96" s="5">
        <f t="shared" ref="N96:N97" si="73">IF(H96=0,0,L96/H96)</f>
        <v>0</v>
      </c>
      <c r="O96" s="13"/>
      <c r="P96" s="1">
        <f>SUM(OSRRefP22_14x_0)</f>
        <v>97.71</v>
      </c>
      <c r="Q96" s="1"/>
      <c r="R96" s="5">
        <f t="shared" ref="R96:R97" si="74">IF(P$12=0,0,P96/P$12)</f>
        <v>2.1727787623339827E-4</v>
      </c>
      <c r="S96" s="1"/>
      <c r="T96" s="1">
        <f>SUM(OSRRefT22_14x_0)</f>
        <v>0</v>
      </c>
      <c r="U96" s="1"/>
      <c r="V96" s="5">
        <f t="shared" ref="V96:V97" si="75">IF(T$12=0,0,T96/T$12)</f>
        <v>0</v>
      </c>
      <c r="W96" s="1"/>
      <c r="X96" s="1">
        <f t="shared" ref="X96:X97" si="76">+P96-T96</f>
        <v>97.71</v>
      </c>
      <c r="Y96" s="1"/>
      <c r="Z96" s="5">
        <f t="shared" ref="Z96:Z97" si="77">IF(T96=0,0,X96/T96)</f>
        <v>0</v>
      </c>
    </row>
    <row r="97" spans="1:26" s="24" customFormat="1" hidden="1" outlineLevel="2" x14ac:dyDescent="0.25">
      <c r="A97" s="25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70"/>
        <v>0</v>
      </c>
      <c r="G97" s="2"/>
      <c r="H97" s="6"/>
      <c r="I97" s="2"/>
      <c r="J97" s="7">
        <f t="shared" si="71"/>
        <v>0</v>
      </c>
      <c r="K97" s="2"/>
      <c r="L97" s="6">
        <f t="shared" si="72"/>
        <v>0</v>
      </c>
      <c r="M97" s="2"/>
      <c r="N97" s="7">
        <f t="shared" si="73"/>
        <v>0</v>
      </c>
      <c r="O97" s="11"/>
      <c r="P97" s="6">
        <v>97.71</v>
      </c>
      <c r="Q97" s="2"/>
      <c r="R97" s="7">
        <f t="shared" si="74"/>
        <v>2.1727787623339827E-4</v>
      </c>
      <c r="S97" s="2"/>
      <c r="T97" s="6"/>
      <c r="U97" s="2"/>
      <c r="V97" s="7">
        <f t="shared" si="75"/>
        <v>0</v>
      </c>
      <c r="W97" s="2"/>
      <c r="X97" s="6">
        <f t="shared" si="76"/>
        <v>97.71</v>
      </c>
      <c r="Y97" s="2"/>
      <c r="Z97" s="7">
        <f t="shared" si="77"/>
        <v>0</v>
      </c>
    </row>
    <row r="98" spans="1:26" s="53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9" t="s">
        <v>0</v>
      </c>
      <c r="C99" s="10"/>
      <c r="D99" s="4">
        <f>SUM(OSRRefD25x_0)</f>
        <v>36712.33</v>
      </c>
      <c r="E99" s="4"/>
      <c r="F99" s="12">
        <f t="shared" ref="F99:F106" si="78">IF(D$12=0,0,D99/D$12)</f>
        <v>0.74090331996858982</v>
      </c>
      <c r="G99" s="4"/>
      <c r="H99" s="4">
        <f>SUM(OSRRefH25x_0)</f>
        <v>26250</v>
      </c>
      <c r="I99" s="4"/>
      <c r="J99" s="12">
        <f t="shared" ref="J99:J106" si="79">IF(H$12=0,0,H99/H$12)</f>
        <v>0.36598117811084002</v>
      </c>
      <c r="K99" s="4"/>
      <c r="L99" s="4">
        <f t="shared" ref="L99:L106" si="80">+D99-H99</f>
        <v>10462.330000000002</v>
      </c>
      <c r="M99" s="4"/>
      <c r="N99" s="12">
        <f t="shared" ref="N99:N106" si="81">IF(H99=0,0,L99/H99)</f>
        <v>0.39856495238095246</v>
      </c>
      <c r="O99" s="10"/>
      <c r="P99" s="4">
        <f>SUM(OSRRefP25x_0)</f>
        <v>218885.83000000002</v>
      </c>
      <c r="Q99" s="4"/>
      <c r="R99" s="12">
        <f t="shared" ref="R99:R106" si="82">IF(P$12=0,0,P99/P$12)</f>
        <v>0.48673675447737857</v>
      </c>
      <c r="S99" s="4"/>
      <c r="T99" s="4">
        <f>SUM(OSRRefT25x_0)</f>
        <v>208000</v>
      </c>
      <c r="U99" s="4"/>
      <c r="V99" s="12">
        <f t="shared" ref="V99:V106" si="83">IF(T$12=0,0,T99/T$12)</f>
        <v>0.4009619230750695</v>
      </c>
      <c r="W99" s="4"/>
      <c r="X99" s="4">
        <f t="shared" ref="X99:X106" si="84">+P99-T99</f>
        <v>10885.830000000016</v>
      </c>
      <c r="Y99" s="4"/>
      <c r="Z99" s="12">
        <f t="shared" ref="Z99:Z106" si="85">IF(T99=0,0,X99/T99)</f>
        <v>5.2335721153846229E-2</v>
      </c>
    </row>
    <row r="100" spans="1:26" s="24" customFormat="1" hidden="1" outlineLevel="1" x14ac:dyDescent="0.25">
      <c r="A100" s="44"/>
      <c r="B100" s="11" t="str">
        <f>CONCATENATE("          ", "4098", " - ", "TAXABLE SALES-GRAD RENTALS")</f>
        <v xml:space="preserve">          4098 - TAXABLE SALES-GRAD RENTALS</v>
      </c>
      <c r="C100" s="11"/>
      <c r="D100" s="2">
        <f>--110</f>
        <v>110</v>
      </c>
      <c r="E100" s="2"/>
      <c r="F100" s="19">
        <f t="shared" si="78"/>
        <v>2.2199453207286187E-3</v>
      </c>
      <c r="G100" s="2"/>
      <c r="H100" s="2"/>
      <c r="I100" s="2"/>
      <c r="J100" s="19">
        <f t="shared" si="79"/>
        <v>0</v>
      </c>
      <c r="K100" s="2"/>
      <c r="L100" s="2">
        <f t="shared" si="80"/>
        <v>110</v>
      </c>
      <c r="M100" s="2"/>
      <c r="N100" s="19">
        <f t="shared" si="81"/>
        <v>0</v>
      </c>
      <c r="O100" s="11"/>
      <c r="P100" s="2">
        <f>--2056.85</f>
        <v>2056.85</v>
      </c>
      <c r="Q100" s="2"/>
      <c r="R100" s="19">
        <f t="shared" si="82"/>
        <v>4.5738204864462723E-3</v>
      </c>
      <c r="S100" s="2"/>
      <c r="T100" s="2"/>
      <c r="U100" s="2"/>
      <c r="V100" s="19">
        <f t="shared" si="83"/>
        <v>0</v>
      </c>
      <c r="W100" s="2"/>
      <c r="X100" s="2">
        <f t="shared" si="84"/>
        <v>2056.85</v>
      </c>
      <c r="Y100" s="2"/>
      <c r="Z100" s="19">
        <f t="shared" si="85"/>
        <v>0</v>
      </c>
    </row>
    <row r="101" spans="1:26" s="24" customFormat="1" hidden="1" outlineLevel="1" x14ac:dyDescent="0.25">
      <c r="A101" s="44"/>
      <c r="B101" s="11" t="str">
        <f>CONCATENATE("          ", "4197", " - ", "NON-TAXABLE SALES-RETURNED CHE")</f>
        <v xml:space="preserve">          4197 - NON-TAXABLE SALES-RETURNED CHE</v>
      </c>
      <c r="C101" s="11"/>
      <c r="D101" s="2">
        <f t="shared" ref="D101:D102" si="86">0</f>
        <v>0</v>
      </c>
      <c r="E101" s="2"/>
      <c r="F101" s="19">
        <f t="shared" si="78"/>
        <v>0</v>
      </c>
      <c r="G101" s="2"/>
      <c r="H101" s="2"/>
      <c r="I101" s="2"/>
      <c r="J101" s="19">
        <f t="shared" si="79"/>
        <v>0</v>
      </c>
      <c r="K101" s="2"/>
      <c r="L101" s="2">
        <f t="shared" si="80"/>
        <v>0</v>
      </c>
      <c r="M101" s="2"/>
      <c r="N101" s="19">
        <f t="shared" si="81"/>
        <v>0</v>
      </c>
      <c r="O101" s="11"/>
      <c r="P101" s="2">
        <f>--30</f>
        <v>30</v>
      </c>
      <c r="Q101" s="2"/>
      <c r="R101" s="19">
        <f t="shared" si="82"/>
        <v>6.6711045819281019E-5</v>
      </c>
      <c r="S101" s="2"/>
      <c r="T101" s="2"/>
      <c r="U101" s="2"/>
      <c r="V101" s="19">
        <f t="shared" si="83"/>
        <v>0</v>
      </c>
      <c r="W101" s="2"/>
      <c r="X101" s="2">
        <f t="shared" si="84"/>
        <v>30</v>
      </c>
      <c r="Y101" s="2"/>
      <c r="Z101" s="19">
        <f t="shared" si="85"/>
        <v>0</v>
      </c>
    </row>
    <row r="102" spans="1:26" s="24" customFormat="1" hidden="1" outlineLevel="1" x14ac:dyDescent="0.25">
      <c r="A102" s="44"/>
      <c r="B102" s="11" t="str">
        <f>CONCATENATE("          ", "4198", " - ", "NON-TAXABLE SALES-GRAD RENTALS")</f>
        <v xml:space="preserve">          4198 - NON-TAXABLE SALES-GRAD RENTALS</v>
      </c>
      <c r="C102" s="11"/>
      <c r="D102" s="2">
        <f t="shared" si="86"/>
        <v>0</v>
      </c>
      <c r="E102" s="2"/>
      <c r="F102" s="19">
        <f t="shared" si="78"/>
        <v>0</v>
      </c>
      <c r="G102" s="2"/>
      <c r="H102" s="2"/>
      <c r="I102" s="2"/>
      <c r="J102" s="19">
        <f t="shared" si="79"/>
        <v>0</v>
      </c>
      <c r="K102" s="2"/>
      <c r="L102" s="2">
        <f t="shared" si="80"/>
        <v>0</v>
      </c>
      <c r="M102" s="2"/>
      <c r="N102" s="19">
        <f t="shared" si="81"/>
        <v>0</v>
      </c>
      <c r="O102" s="11"/>
      <c r="P102" s="2">
        <f>--3732.1</f>
        <v>3732.1</v>
      </c>
      <c r="Q102" s="2"/>
      <c r="R102" s="19">
        <f t="shared" si="82"/>
        <v>8.2990764700712899E-3</v>
      </c>
      <c r="S102" s="2"/>
      <c r="T102" s="2"/>
      <c r="U102" s="2"/>
      <c r="V102" s="19">
        <f t="shared" si="83"/>
        <v>0</v>
      </c>
      <c r="W102" s="2"/>
      <c r="X102" s="2">
        <f t="shared" si="84"/>
        <v>3732.1</v>
      </c>
      <c r="Y102" s="2"/>
      <c r="Z102" s="19">
        <f t="shared" si="85"/>
        <v>0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--13269</f>
        <v>13269</v>
      </c>
      <c r="E103" s="2"/>
      <c r="F103" s="19">
        <f t="shared" si="78"/>
        <v>0.26778594964316399</v>
      </c>
      <c r="G103" s="2"/>
      <c r="H103" s="2"/>
      <c r="I103" s="2"/>
      <c r="J103" s="19">
        <f t="shared" si="79"/>
        <v>0</v>
      </c>
      <c r="K103" s="2"/>
      <c r="L103" s="2">
        <f t="shared" si="80"/>
        <v>13269</v>
      </c>
      <c r="M103" s="2"/>
      <c r="N103" s="19">
        <f t="shared" si="81"/>
        <v>0</v>
      </c>
      <c r="O103" s="11"/>
      <c r="P103" s="2">
        <f>--106152</f>
        <v>106152</v>
      </c>
      <c r="Q103" s="2"/>
      <c r="R103" s="19">
        <f t="shared" si="82"/>
        <v>0.23605036452694397</v>
      </c>
      <c r="S103" s="2"/>
      <c r="T103" s="2">
        <v>12250</v>
      </c>
      <c r="U103" s="2"/>
      <c r="V103" s="19">
        <f t="shared" si="83"/>
        <v>2.3614344027257698E-2</v>
      </c>
      <c r="W103" s="2"/>
      <c r="X103" s="2">
        <f t="shared" si="84"/>
        <v>93902</v>
      </c>
      <c r="Y103" s="2"/>
      <c r="Z103" s="19">
        <f t="shared" si="85"/>
        <v>7.6654693877551017</v>
      </c>
    </row>
    <row r="104" spans="1:26" s="24" customFormat="1" hidden="1" outlineLevel="1" x14ac:dyDescent="0.25">
      <c r="A104" s="44"/>
      <c r="B104" s="11" t="str">
        <f>CONCATENATE("          ", "9151", " - ", "MISC. INCOME")</f>
        <v xml:space="preserve">          9151 - MISC. INCOME</v>
      </c>
      <c r="C104" s="11"/>
      <c r="D104" s="2">
        <f t="shared" ref="D104:D105" si="87">0</f>
        <v>0</v>
      </c>
      <c r="E104" s="2"/>
      <c r="F104" s="19">
        <f t="shared" si="78"/>
        <v>0</v>
      </c>
      <c r="G104" s="2"/>
      <c r="H104" s="2">
        <v>12250</v>
      </c>
      <c r="I104" s="2"/>
      <c r="J104" s="19">
        <f t="shared" si="79"/>
        <v>0.17079121645172535</v>
      </c>
      <c r="K104" s="2"/>
      <c r="L104" s="2">
        <f t="shared" si="80"/>
        <v>-12250</v>
      </c>
      <c r="M104" s="2"/>
      <c r="N104" s="19">
        <f t="shared" si="81"/>
        <v>-1</v>
      </c>
      <c r="O104" s="11"/>
      <c r="P104" s="2">
        <f>0</f>
        <v>0</v>
      </c>
      <c r="Q104" s="2"/>
      <c r="R104" s="19">
        <f t="shared" si="82"/>
        <v>0</v>
      </c>
      <c r="S104" s="2"/>
      <c r="T104" s="2">
        <v>85750</v>
      </c>
      <c r="U104" s="2"/>
      <c r="V104" s="19">
        <f t="shared" si="83"/>
        <v>0.16530040819080391</v>
      </c>
      <c r="W104" s="2"/>
      <c r="X104" s="2">
        <f t="shared" si="84"/>
        <v>-85750</v>
      </c>
      <c r="Y104" s="2"/>
      <c r="Z104" s="19">
        <f t="shared" si="85"/>
        <v>-1</v>
      </c>
    </row>
    <row r="105" spans="1:26" s="24" customFormat="1" hidden="1" outlineLevel="1" x14ac:dyDescent="0.25">
      <c r="A105" s="44"/>
      <c r="B105" s="11" t="str">
        <f>CONCATENATE("          ", "9160", " - ", "MISC. INCOME")</f>
        <v xml:space="preserve">          9160 - MISC. INCOME</v>
      </c>
      <c r="C105" s="11"/>
      <c r="D105" s="2">
        <f t="shared" si="87"/>
        <v>0</v>
      </c>
      <c r="E105" s="2"/>
      <c r="F105" s="19">
        <f t="shared" si="78"/>
        <v>0</v>
      </c>
      <c r="G105" s="2"/>
      <c r="H105" s="2">
        <v>14000</v>
      </c>
      <c r="I105" s="2"/>
      <c r="J105" s="19">
        <f t="shared" si="79"/>
        <v>0.19518996165911467</v>
      </c>
      <c r="K105" s="2"/>
      <c r="L105" s="2">
        <f t="shared" si="80"/>
        <v>-14000</v>
      </c>
      <c r="M105" s="2"/>
      <c r="N105" s="19">
        <f t="shared" si="81"/>
        <v>-1</v>
      </c>
      <c r="O105" s="11"/>
      <c r="P105" s="2">
        <f>--22475</f>
        <v>22475</v>
      </c>
      <c r="Q105" s="2"/>
      <c r="R105" s="19">
        <f t="shared" si="82"/>
        <v>4.997769182627803E-2</v>
      </c>
      <c r="S105" s="2"/>
      <c r="T105" s="2">
        <v>110000</v>
      </c>
      <c r="U105" s="2"/>
      <c r="V105" s="19">
        <f t="shared" si="83"/>
        <v>0.21204717085700792</v>
      </c>
      <c r="W105" s="2"/>
      <c r="X105" s="2">
        <f t="shared" si="84"/>
        <v>-87525</v>
      </c>
      <c r="Y105" s="2"/>
      <c r="Z105" s="19">
        <f t="shared" si="85"/>
        <v>-0.79568181818181816</v>
      </c>
    </row>
    <row r="106" spans="1:26" s="24" customFormat="1" hidden="1" outlineLevel="1" x14ac:dyDescent="0.25">
      <c r="A106" s="44"/>
      <c r="B106" s="11" t="str">
        <f>CONCATENATE("          ", "9163", " - ", "MISC. INCOME")</f>
        <v xml:space="preserve">          9163 - MISC. INCOME</v>
      </c>
      <c r="C106" s="11"/>
      <c r="D106" s="2">
        <f>--23333.33</f>
        <v>23333.33</v>
      </c>
      <c r="E106" s="2"/>
      <c r="F106" s="19">
        <f t="shared" si="78"/>
        <v>0.47089742500469728</v>
      </c>
      <c r="G106" s="2"/>
      <c r="H106" s="2"/>
      <c r="I106" s="2"/>
      <c r="J106" s="19">
        <f t="shared" si="79"/>
        <v>0</v>
      </c>
      <c r="K106" s="2"/>
      <c r="L106" s="2">
        <f t="shared" si="80"/>
        <v>23333.33</v>
      </c>
      <c r="M106" s="2"/>
      <c r="N106" s="19">
        <f t="shared" si="81"/>
        <v>0</v>
      </c>
      <c r="O106" s="11"/>
      <c r="P106" s="2">
        <f>--84439.88</f>
        <v>84439.88</v>
      </c>
      <c r="Q106" s="2"/>
      <c r="R106" s="19">
        <f t="shared" si="82"/>
        <v>0.18776909012181972</v>
      </c>
      <c r="S106" s="2"/>
      <c r="T106" s="2"/>
      <c r="U106" s="2"/>
      <c r="V106" s="19">
        <f t="shared" si="83"/>
        <v>0</v>
      </c>
      <c r="W106" s="2"/>
      <c r="X106" s="2">
        <f t="shared" si="84"/>
        <v>84439.88</v>
      </c>
      <c r="Y106" s="2"/>
      <c r="Z106" s="19">
        <f t="shared" si="85"/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1">
        <f>+D40-D42+D99</f>
        <v>35646.50999999998</v>
      </c>
      <c r="E108" s="14"/>
      <c r="F108" s="22">
        <f>IF(D$12=0,0,D108/D$12)</f>
        <v>0.71939366431641694</v>
      </c>
      <c r="G108" s="14"/>
      <c r="H108" s="21">
        <f>+H40-H42+H99</f>
        <v>47482.490728344361</v>
      </c>
      <c r="I108" s="14"/>
      <c r="J108" s="22">
        <f>IF(H$12=0,0,H108/H$12)</f>
        <v>0.66200753891034314</v>
      </c>
      <c r="K108" s="15"/>
      <c r="L108" s="21">
        <f>+D108-H108</f>
        <v>-11835.980728344381</v>
      </c>
      <c r="M108" s="15"/>
      <c r="N108" s="22">
        <f>IF(H108=0,0,L108/H108)</f>
        <v>-0.24927042677815908</v>
      </c>
      <c r="O108" s="29"/>
      <c r="P108" s="21">
        <f>+P40-P42+P99</f>
        <v>296753.77999999991</v>
      </c>
      <c r="Q108" s="14"/>
      <c r="R108" s="22">
        <f>IF(P$12=0,0,P108/P$12)</f>
        <v>0.65989183382082783</v>
      </c>
      <c r="S108" s="14"/>
      <c r="T108" s="21">
        <f>+T40-T42+T99</f>
        <v>336222.50296961493</v>
      </c>
      <c r="U108" s="14"/>
      <c r="V108" s="22">
        <f>IF(T$12=0,0,T108/T$12)</f>
        <v>0.64813664121062531</v>
      </c>
      <c r="W108" s="15"/>
      <c r="X108" s="21">
        <f>+P108-T108</f>
        <v>-39468.722969615017</v>
      </c>
      <c r="Y108" s="15"/>
      <c r="Z108" s="22">
        <f>IF(T108=0,0,X108/T108)</f>
        <v>-0.11738870129457658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14</v>
      </c>
      <c r="C110" s="10"/>
      <c r="D110" s="4">
        <v>4103.43</v>
      </c>
      <c r="E110" s="4"/>
      <c r="F110" s="12">
        <f>IF(D$12=0,0,D110/D$12)</f>
        <v>8.2812638431249419E-2</v>
      </c>
      <c r="G110" s="4"/>
      <c r="H110" s="4">
        <v>7341</v>
      </c>
      <c r="I110" s="4"/>
      <c r="J110" s="12">
        <f>IF(H$12=0,0,H110/H$12)</f>
        <v>0.10234925060996863</v>
      </c>
      <c r="K110" s="4"/>
      <c r="L110" s="4">
        <f>+D110-H110</f>
        <v>-3237.5699999999997</v>
      </c>
      <c r="M110" s="4"/>
      <c r="N110" s="12">
        <f>IF(H110=0,0,L110/H110)</f>
        <v>-0.44102574581119736</v>
      </c>
      <c r="O110" s="10"/>
      <c r="P110" s="4">
        <v>45833.39</v>
      </c>
      <c r="Q110" s="4"/>
      <c r="R110" s="12">
        <f>IF(P$12=0,0,P110/P$12)</f>
        <v>0.10191977934476588</v>
      </c>
      <c r="S110" s="4"/>
      <c r="T110" s="4">
        <v>62380</v>
      </c>
      <c r="U110" s="4"/>
      <c r="V110" s="12">
        <f>IF(T$12=0,0,T110/T$12)</f>
        <v>0.12025002289145595</v>
      </c>
      <c r="W110" s="4"/>
      <c r="X110" s="4">
        <f>+P110-T110</f>
        <v>-16546.61</v>
      </c>
      <c r="Y110" s="4"/>
      <c r="Z110" s="12">
        <f>IF(T110=0,0,X110/T110)</f>
        <v>-0.26525504969541519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1">
        <f>+D108-D110</f>
        <v>31543.07999999998</v>
      </c>
      <c r="E112" s="14"/>
      <c r="F112" s="32">
        <f>IF(D$12=0,0,D112/D$12)</f>
        <v>0.63658102588516752</v>
      </c>
      <c r="G112" s="14"/>
      <c r="H112" s="31">
        <f>+H108-H110</f>
        <v>40141.490728344361</v>
      </c>
      <c r="I112" s="14"/>
      <c r="J112" s="32">
        <f>IF(H$12=0,0,H112/H$12)</f>
        <v>0.55965828830037445</v>
      </c>
      <c r="K112" s="15"/>
      <c r="L112" s="31">
        <f>D112-H112</f>
        <v>-8598.4107283443809</v>
      </c>
      <c r="M112" s="15"/>
      <c r="N112" s="32">
        <f>IF(H112=0,0,L112/H112)</f>
        <v>-0.21420257624545433</v>
      </c>
      <c r="O112" s="29"/>
      <c r="P112" s="31">
        <f>+P108-P110</f>
        <v>250920.3899999999</v>
      </c>
      <c r="Q112" s="14"/>
      <c r="R112" s="32">
        <f>IF(P$12=0,0,P112/P$12)</f>
        <v>0.55797205447606191</v>
      </c>
      <c r="S112" s="14"/>
      <c r="T112" s="31">
        <f>+T108-T110</f>
        <v>273842.50296961493</v>
      </c>
      <c r="U112" s="14"/>
      <c r="V112" s="32">
        <f>IF(T$12=0,0,T112/T$12)</f>
        <v>0.52788661831916939</v>
      </c>
      <c r="W112" s="15"/>
      <c r="X112" s="31">
        <f>P112-T112</f>
        <v>-22922.112969615031</v>
      </c>
      <c r="Y112" s="15"/>
      <c r="Z112" s="32">
        <f>IF(T112=0,0,X112/T112)</f>
        <v>-8.370546106262558E-2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3">
        <f>SUM(D112:D114)</f>
        <v>31543.07999999998</v>
      </c>
      <c r="E115" s="14"/>
      <c r="F115" s="30">
        <f>IF(D$12=0,0,D115/D$12)</f>
        <v>0.63658102588516752</v>
      </c>
      <c r="G115" s="14"/>
      <c r="H115" s="33">
        <f>SUM(H112:H114)</f>
        <v>40141.490728344361</v>
      </c>
      <c r="I115" s="14"/>
      <c r="J115" s="30">
        <f>IF(H$12=0,0,H115/H$12)</f>
        <v>0.55965828830037445</v>
      </c>
      <c r="K115" s="15"/>
      <c r="L115" s="33">
        <f>+D115-H115</f>
        <v>-8598.4107283443809</v>
      </c>
      <c r="M115" s="15"/>
      <c r="N115" s="30">
        <f>IF(H115=0,0,L115/H115)</f>
        <v>-0.21420257624545433</v>
      </c>
      <c r="O115" s="29"/>
      <c r="P115" s="33">
        <f>SUM(P112:P114)</f>
        <v>250920.3899999999</v>
      </c>
      <c r="Q115" s="14"/>
      <c r="R115" s="30">
        <f>IF(P$12=0,0,P115/P$12)</f>
        <v>0.55797205447606191</v>
      </c>
      <c r="S115" s="14"/>
      <c r="T115" s="33">
        <f>SUM(T112:T114)</f>
        <v>273842.50296961493</v>
      </c>
      <c r="U115" s="14"/>
      <c r="V115" s="30">
        <f>IF(T$12=0,0,T115/T$12)</f>
        <v>0.52788661831916939</v>
      </c>
      <c r="W115" s="15"/>
      <c r="X115" s="33">
        <f>+P115-T115</f>
        <v>-22922.112969615031</v>
      </c>
      <c r="Y115" s="15"/>
      <c r="Z115" s="30">
        <f>IF(T115=0,0,X115/T115)</f>
        <v>-8.370546106262558E-2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9">
        <v>43908.494170405094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63" t="s">
        <v>314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57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49550.77</v>
      </c>
      <c r="E12" s="4"/>
      <c r="F12" s="12"/>
      <c r="G12" s="4"/>
      <c r="H12" s="4">
        <f>SUM(OSRRefH13x_0)</f>
        <v>71725</v>
      </c>
      <c r="I12" s="4"/>
      <c r="J12" s="12"/>
      <c r="K12" s="4"/>
      <c r="L12" s="4">
        <f t="shared" ref="L12:L27" si="0">+D12-H12</f>
        <v>-22174.230000000003</v>
      </c>
      <c r="M12" s="4"/>
      <c r="N12" s="12">
        <f t="shared" ref="N12:N27" si="1">IF(H12=0,0,L12/H12)</f>
        <v>-0.30915622168002793</v>
      </c>
      <c r="O12" s="10"/>
      <c r="P12" s="4">
        <f>SUM(OSRRefP13x_0)</f>
        <v>442140.81</v>
      </c>
      <c r="Q12" s="4"/>
      <c r="R12" s="12"/>
      <c r="S12" s="4"/>
      <c r="T12" s="4">
        <f>SUM(OSRRefT13x_0)</f>
        <v>507252.5</v>
      </c>
      <c r="U12" s="4"/>
      <c r="V12" s="12"/>
      <c r="W12" s="4"/>
      <c r="X12" s="4">
        <f t="shared" ref="X12:X27" si="2">+P12-T12</f>
        <v>-65111.69</v>
      </c>
      <c r="Y12" s="4"/>
      <c r="Z12" s="12">
        <f t="shared" ref="Z12:Z27" si="3">IF(T12=0,0,X12/T12)</f>
        <v>-0.12836149649336376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67925</v>
      </c>
      <c r="I13" s="2"/>
      <c r="J13" s="19"/>
      <c r="K13" s="2"/>
      <c r="L13" s="2">
        <f t="shared" si="0"/>
        <v>-67925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443887.5</v>
      </c>
      <c r="U13" s="2"/>
      <c r="V13" s="19"/>
      <c r="W13" s="2"/>
      <c r="X13" s="2">
        <f t="shared" si="2"/>
        <v>-443887.5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--9101.46</f>
        <v>9101.4599999999991</v>
      </c>
      <c r="E14" s="2"/>
      <c r="F14" s="19"/>
      <c r="G14" s="2"/>
      <c r="H14" s="2"/>
      <c r="I14" s="2"/>
      <c r="J14" s="19"/>
      <c r="K14" s="2"/>
      <c r="L14" s="2">
        <f t="shared" si="0"/>
        <v>9101.4599999999991</v>
      </c>
      <c r="M14" s="2"/>
      <c r="N14" s="19">
        <f t="shared" si="1"/>
        <v>0</v>
      </c>
      <c r="O14" s="11"/>
      <c r="P14" s="2">
        <f>--173823.99</f>
        <v>173823.99</v>
      </c>
      <c r="Q14" s="2"/>
      <c r="R14" s="19"/>
      <c r="S14" s="2"/>
      <c r="T14" s="2"/>
      <c r="U14" s="2"/>
      <c r="V14" s="19"/>
      <c r="W14" s="2"/>
      <c r="X14" s="2">
        <f t="shared" si="2"/>
        <v>173823.99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--8240.96</f>
        <v>8240.9599999999991</v>
      </c>
      <c r="E15" s="2"/>
      <c r="F15" s="19"/>
      <c r="G15" s="2"/>
      <c r="H15" s="2"/>
      <c r="I15" s="2"/>
      <c r="J15" s="19"/>
      <c r="K15" s="2"/>
      <c r="L15" s="2">
        <f t="shared" si="0"/>
        <v>8240.9599999999991</v>
      </c>
      <c r="M15" s="2"/>
      <c r="N15" s="19">
        <f t="shared" si="1"/>
        <v>0</v>
      </c>
      <c r="O15" s="11"/>
      <c r="P15" s="2">
        <f>--62134.47</f>
        <v>62134.47</v>
      </c>
      <c r="Q15" s="2"/>
      <c r="R15" s="19"/>
      <c r="S15" s="2"/>
      <c r="T15" s="2"/>
      <c r="U15" s="2"/>
      <c r="V15" s="19"/>
      <c r="W15" s="2"/>
      <c r="X15" s="2">
        <f t="shared" si="2"/>
        <v>62134.47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--60.73</f>
        <v>60.73</v>
      </c>
      <c r="E16" s="2"/>
      <c r="F16" s="19"/>
      <c r="G16" s="2"/>
      <c r="H16" s="2"/>
      <c r="I16" s="2"/>
      <c r="J16" s="19"/>
      <c r="K16" s="2"/>
      <c r="L16" s="2">
        <f t="shared" si="0"/>
        <v>60.73</v>
      </c>
      <c r="M16" s="2"/>
      <c r="N16" s="19">
        <f t="shared" si="1"/>
        <v>0</v>
      </c>
      <c r="O16" s="11"/>
      <c r="P16" s="2">
        <f>--249.79</f>
        <v>249.79</v>
      </c>
      <c r="Q16" s="2"/>
      <c r="R16" s="19"/>
      <c r="S16" s="2"/>
      <c r="T16" s="2"/>
      <c r="U16" s="2"/>
      <c r="V16" s="19"/>
      <c r="W16" s="2"/>
      <c r="X16" s="2">
        <f t="shared" si="2"/>
        <v>249.79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--235.18</f>
        <v>235.18</v>
      </c>
      <c r="E17" s="2"/>
      <c r="F17" s="19"/>
      <c r="G17" s="2"/>
      <c r="H17" s="2"/>
      <c r="I17" s="2"/>
      <c r="J17" s="19"/>
      <c r="K17" s="2"/>
      <c r="L17" s="2">
        <f t="shared" si="0"/>
        <v>235.18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>--208.95</f>
        <v>208.95</v>
      </c>
      <c r="E18" s="2"/>
      <c r="F18" s="19"/>
      <c r="G18" s="2"/>
      <c r="H18" s="2"/>
      <c r="I18" s="2"/>
      <c r="J18" s="19"/>
      <c r="K18" s="2"/>
      <c r="L18" s="2">
        <f t="shared" si="0"/>
        <v>208.95</v>
      </c>
      <c r="M18" s="2"/>
      <c r="N18" s="19">
        <f t="shared" si="1"/>
        <v>0</v>
      </c>
      <c r="O18" s="11"/>
      <c r="P18" s="2">
        <f>--2185.99</f>
        <v>2185.9899999999998</v>
      </c>
      <c r="Q18" s="2"/>
      <c r="R18" s="19"/>
      <c r="S18" s="2"/>
      <c r="T18" s="2"/>
      <c r="U18" s="2"/>
      <c r="V18" s="19"/>
      <c r="W18" s="2"/>
      <c r="X18" s="2">
        <f t="shared" si="2"/>
        <v>2185.9899999999998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3800</v>
      </c>
      <c r="I19" s="2"/>
      <c r="J19" s="19"/>
      <c r="K19" s="2"/>
      <c r="L19" s="2">
        <f t="shared" si="0"/>
        <v>-3800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63364.999999999993</v>
      </c>
      <c r="U19" s="2"/>
      <c r="V19" s="19"/>
      <c r="W19" s="2"/>
      <c r="X19" s="2">
        <f t="shared" si="2"/>
        <v>-63364.999999999993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--6.8</f>
        <v>6.8</v>
      </c>
      <c r="E20" s="2"/>
      <c r="F20" s="19"/>
      <c r="G20" s="2"/>
      <c r="H20" s="2"/>
      <c r="I20" s="2"/>
      <c r="J20" s="19"/>
      <c r="K20" s="2"/>
      <c r="L20" s="2">
        <f t="shared" si="0"/>
        <v>6.8</v>
      </c>
      <c r="M20" s="2"/>
      <c r="N20" s="19">
        <f t="shared" si="1"/>
        <v>0</v>
      </c>
      <c r="O20" s="11"/>
      <c r="P20" s="2">
        <f>--857.95</f>
        <v>857.95</v>
      </c>
      <c r="Q20" s="2"/>
      <c r="R20" s="19"/>
      <c r="S20" s="2"/>
      <c r="T20" s="2"/>
      <c r="U20" s="2"/>
      <c r="V20" s="19"/>
      <c r="W20" s="2"/>
      <c r="X20" s="2">
        <f t="shared" si="2"/>
        <v>857.95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--764.8</f>
        <v>764.8</v>
      </c>
      <c r="E21" s="2"/>
      <c r="F21" s="19"/>
      <c r="G21" s="2"/>
      <c r="H21" s="2"/>
      <c r="I21" s="2"/>
      <c r="J21" s="19"/>
      <c r="K21" s="2"/>
      <c r="L21" s="2">
        <f t="shared" si="0"/>
        <v>764.8</v>
      </c>
      <c r="M21" s="2"/>
      <c r="N21" s="19">
        <f t="shared" si="1"/>
        <v>0</v>
      </c>
      <c r="O21" s="11"/>
      <c r="P21" s="2">
        <f>--8924.02</f>
        <v>8924.02</v>
      </c>
      <c r="Q21" s="2"/>
      <c r="R21" s="19"/>
      <c r="S21" s="2"/>
      <c r="T21" s="2"/>
      <c r="U21" s="2"/>
      <c r="V21" s="19"/>
      <c r="W21" s="2"/>
      <c r="X21" s="2">
        <f t="shared" si="2"/>
        <v>8924.02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--28849.25</f>
        <v>28849.25</v>
      </c>
      <c r="E22" s="2"/>
      <c r="F22" s="19"/>
      <c r="G22" s="2"/>
      <c r="H22" s="2"/>
      <c r="I22" s="2"/>
      <c r="J22" s="19"/>
      <c r="K22" s="2"/>
      <c r="L22" s="2">
        <f t="shared" si="0"/>
        <v>28849.25</v>
      </c>
      <c r="M22" s="2"/>
      <c r="N22" s="19">
        <f t="shared" si="1"/>
        <v>0</v>
      </c>
      <c r="O22" s="11"/>
      <c r="P22" s="2">
        <f>--192403.75</f>
        <v>192403.75</v>
      </c>
      <c r="Q22" s="2"/>
      <c r="R22" s="19"/>
      <c r="S22" s="2"/>
      <c r="T22" s="2"/>
      <c r="U22" s="2"/>
      <c r="V22" s="19"/>
      <c r="W22" s="2"/>
      <c r="X22" s="2">
        <f t="shared" si="2"/>
        <v>192403.75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--2183.94</f>
        <v>2183.94</v>
      </c>
      <c r="E23" s="2"/>
      <c r="F23" s="19"/>
      <c r="G23" s="2"/>
      <c r="H23" s="2"/>
      <c r="I23" s="2"/>
      <c r="J23" s="19"/>
      <c r="K23" s="2"/>
      <c r="L23" s="2">
        <f t="shared" si="0"/>
        <v>2183.94</v>
      </c>
      <c r="M23" s="2"/>
      <c r="N23" s="19">
        <f t="shared" si="1"/>
        <v>0</v>
      </c>
      <c r="O23" s="11"/>
      <c r="P23" s="2">
        <f>--2502.84</f>
        <v>2502.84</v>
      </c>
      <c r="Q23" s="2"/>
      <c r="R23" s="19"/>
      <c r="S23" s="2"/>
      <c r="T23" s="2"/>
      <c r="U23" s="2"/>
      <c r="V23" s="19"/>
      <c r="W23" s="2"/>
      <c r="X23" s="2">
        <f t="shared" si="2"/>
        <v>2502.84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-101.3</f>
        <v>-101.3</v>
      </c>
      <c r="E24" s="2"/>
      <c r="F24" s="19"/>
      <c r="G24" s="2"/>
      <c r="H24" s="2"/>
      <c r="I24" s="2"/>
      <c r="J24" s="19"/>
      <c r="K24" s="2"/>
      <c r="L24" s="2">
        <f t="shared" si="0"/>
        <v>-101.3</v>
      </c>
      <c r="M24" s="2"/>
      <c r="N24" s="19">
        <f t="shared" si="1"/>
        <v>0</v>
      </c>
      <c r="O24" s="11"/>
      <c r="P24" s="2">
        <f>-1059.4</f>
        <v>-1059.4000000000001</v>
      </c>
      <c r="Q24" s="2"/>
      <c r="R24" s="19"/>
      <c r="S24" s="2"/>
      <c r="T24" s="2"/>
      <c r="U24" s="2"/>
      <c r="V24" s="19"/>
      <c r="W24" s="2"/>
      <c r="X24" s="2">
        <f t="shared" si="2"/>
        <v>-1059.4000000000001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27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-70.2</f>
        <v>-70.2</v>
      </c>
      <c r="Q25" s="2"/>
      <c r="R25" s="19"/>
      <c r="S25" s="2"/>
      <c r="T25" s="2"/>
      <c r="U25" s="2"/>
      <c r="V25" s="19"/>
      <c r="W25" s="2"/>
      <c r="X25" s="2">
        <f t="shared" si="2"/>
        <v>-70.2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"4342", " - ", "SALES RETURN NON TAXABLE-EVERY")</f>
        <v xml:space="preserve">          4342 - SALES RETURN NON TAXABLE-EVERY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-39.42</f>
        <v>-39.42</v>
      </c>
      <c r="Q26" s="2"/>
      <c r="R26" s="19"/>
      <c r="S26" s="2"/>
      <c r="T26" s="2"/>
      <c r="U26" s="2"/>
      <c r="V26" s="19"/>
      <c r="W26" s="2"/>
      <c r="X26" s="2">
        <f t="shared" si="2"/>
        <v>-39.42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-8.15</f>
        <v>-8.15</v>
      </c>
      <c r="Q27" s="2"/>
      <c r="R27" s="19"/>
      <c r="S27" s="2"/>
      <c r="T27" s="2"/>
      <c r="U27" s="2"/>
      <c r="V27" s="19"/>
      <c r="W27" s="2"/>
      <c r="X27" s="2">
        <f t="shared" si="2"/>
        <v>-8.15</v>
      </c>
      <c r="Y27" s="2"/>
      <c r="Z27" s="19">
        <f t="shared" si="3"/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8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1">
        <f>D12-D29</f>
        <v>49550.77</v>
      </c>
      <c r="E31" s="14"/>
      <c r="F31" s="22">
        <f>IF(D$12=0,0,D31/D$12)</f>
        <v>1</v>
      </c>
      <c r="G31" s="14"/>
      <c r="H31" s="21">
        <f>H12-H29</f>
        <v>71725</v>
      </c>
      <c r="I31" s="14"/>
      <c r="J31" s="22">
        <f>IF(H$12=0,0,H31/H$12)</f>
        <v>1</v>
      </c>
      <c r="K31" s="15"/>
      <c r="L31" s="21">
        <f>+D31-H31</f>
        <v>-22174.230000000003</v>
      </c>
      <c r="M31" s="15"/>
      <c r="N31" s="22">
        <f>IF(H31=0,0,L31/H31)</f>
        <v>-0.30915622168002793</v>
      </c>
      <c r="O31" s="29"/>
      <c r="P31" s="21">
        <f>P12-P29</f>
        <v>442140.81</v>
      </c>
      <c r="Q31" s="14"/>
      <c r="R31" s="22">
        <f>IF(P$12=0,0,P31/P$12)</f>
        <v>1</v>
      </c>
      <c r="S31" s="14"/>
      <c r="T31" s="21">
        <f>T12-T29</f>
        <v>507252.5</v>
      </c>
      <c r="U31" s="14"/>
      <c r="V31" s="22">
        <f>IF(T$12=0,0,T31/T$12)</f>
        <v>1</v>
      </c>
      <c r="W31" s="15"/>
      <c r="X31" s="21">
        <f>+P31-T31</f>
        <v>-65111.69</v>
      </c>
      <c r="Y31" s="15"/>
      <c r="Z31" s="22">
        <f>IF(T31=0,0,X31/T31)</f>
        <v>-0.12836149649336376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0">
        <f>SUM(OSRRefD22x_0)</f>
        <v>43732.360000000015</v>
      </c>
      <c r="E33" s="20"/>
      <c r="F33" s="34">
        <f t="shared" ref="F33:F43" si="5">IF(D$12=0,0,D33/D$12)</f>
        <v>0.88257679951290402</v>
      </c>
      <c r="G33" s="20"/>
      <c r="H33" s="20">
        <f>SUM(OSRRefH22x_0)</f>
        <v>51116.96149554025</v>
      </c>
      <c r="I33" s="20"/>
      <c r="J33" s="34">
        <f t="shared" ref="J33:J43" si="6">IF(H$12=0,0,H33/H$12)</f>
        <v>0.71267983960321013</v>
      </c>
      <c r="K33" s="4"/>
      <c r="L33" s="20">
        <f t="shared" ref="L33:L43" si="7">+D33-H33</f>
        <v>-7384.6014955402352</v>
      </c>
      <c r="M33" s="4"/>
      <c r="N33" s="34">
        <f t="shared" ref="N33:N43" si="8">IF(H33=0,0,L33/H33)</f>
        <v>-0.14446479758356748</v>
      </c>
      <c r="O33" s="10"/>
      <c r="P33" s="20">
        <f>SUM(OSRRefP22x_0)</f>
        <v>372293.31</v>
      </c>
      <c r="Q33" s="20"/>
      <c r="R33" s="34">
        <f t="shared" ref="R33:R43" si="9">IF(P$12=0,0,P33/P$12)</f>
        <v>0.84202430895261626</v>
      </c>
      <c r="S33" s="20"/>
      <c r="T33" s="20">
        <f>SUM(OSRRefT22x_0)</f>
        <v>423143.57168537541</v>
      </c>
      <c r="U33" s="20"/>
      <c r="V33" s="34">
        <f t="shared" ref="V33:V43" si="10">IF(T$12=0,0,T33/T$12)</f>
        <v>0.83418725720499243</v>
      </c>
      <c r="W33" s="4"/>
      <c r="X33" s="20">
        <f t="shared" ref="X33:X43" si="11">+P33-T33</f>
        <v>-50850.261685375415</v>
      </c>
      <c r="Y33" s="4"/>
      <c r="Z33" s="34">
        <f t="shared" ref="Z33:Z43" si="12">IF(T33=0,0,X33/T33)</f>
        <v>-0.1201725964613842</v>
      </c>
    </row>
    <row r="34" spans="1:26" s="27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7695.3</v>
      </c>
      <c r="E34" s="1"/>
      <c r="F34" s="5">
        <f t="shared" si="5"/>
        <v>0.1553013202418449</v>
      </c>
      <c r="G34" s="1"/>
      <c r="H34" s="1">
        <f>SUM(OSRRefH22_0x_0)</f>
        <v>5461.47554219219</v>
      </c>
      <c r="I34" s="1"/>
      <c r="J34" s="5">
        <f t="shared" si="6"/>
        <v>7.6144657263049004E-2</v>
      </c>
      <c r="K34" s="1"/>
      <c r="L34" s="1">
        <f t="shared" si="7"/>
        <v>2233.8244578078102</v>
      </c>
      <c r="M34" s="1"/>
      <c r="N34" s="5">
        <f t="shared" si="8"/>
        <v>0.40901482402522521</v>
      </c>
      <c r="O34" s="13"/>
      <c r="P34" s="1">
        <f>SUM(OSRRefP22_0x_0)</f>
        <v>63252.130000000005</v>
      </c>
      <c r="Q34" s="1"/>
      <c r="R34" s="5">
        <f t="shared" si="9"/>
        <v>0.14305879160984938</v>
      </c>
      <c r="S34" s="1"/>
      <c r="T34" s="1">
        <f>SUM(OSRRefT22_0x_0)</f>
        <v>46069.649527885093</v>
      </c>
      <c r="U34" s="1"/>
      <c r="V34" s="5">
        <f t="shared" si="10"/>
        <v>9.0821927004568911E-2</v>
      </c>
      <c r="W34" s="1"/>
      <c r="X34" s="1">
        <f t="shared" si="11"/>
        <v>17182.480472114912</v>
      </c>
      <c r="Y34" s="1"/>
      <c r="Z34" s="5">
        <f t="shared" si="12"/>
        <v>0.37296746661193242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6">
        <v>1185.19</v>
      </c>
      <c r="E35" s="2"/>
      <c r="F35" s="7">
        <f t="shared" si="5"/>
        <v>2.3918699951585014E-2</v>
      </c>
      <c r="G35" s="2"/>
      <c r="H35" s="6">
        <v>1040.3454644538499</v>
      </c>
      <c r="I35" s="2"/>
      <c r="J35" s="7">
        <f t="shared" si="6"/>
        <v>1.4504642237070058E-2</v>
      </c>
      <c r="K35" s="2"/>
      <c r="L35" s="6">
        <f t="shared" si="7"/>
        <v>144.84453554615015</v>
      </c>
      <c r="M35" s="2"/>
      <c r="N35" s="7">
        <f t="shared" si="8"/>
        <v>0.13922734369990183</v>
      </c>
      <c r="O35" s="11"/>
      <c r="P35" s="6">
        <v>10236.27</v>
      </c>
      <c r="Q35" s="2"/>
      <c r="R35" s="7">
        <f t="shared" si="9"/>
        <v>2.3151606385305171E-2</v>
      </c>
      <c r="S35" s="2"/>
      <c r="T35" s="6">
        <v>9233.7847548468708</v>
      </c>
      <c r="U35" s="2"/>
      <c r="V35" s="7">
        <f t="shared" si="10"/>
        <v>1.8203527345546588E-2</v>
      </c>
      <c r="W35" s="2"/>
      <c r="X35" s="6">
        <f t="shared" si="11"/>
        <v>1002.4852451531297</v>
      </c>
      <c r="Y35" s="2"/>
      <c r="Z35" s="7">
        <f t="shared" si="12"/>
        <v>0.10856710133154435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6">
        <v>238.87</v>
      </c>
      <c r="E36" s="2"/>
      <c r="F36" s="7">
        <f t="shared" si="5"/>
        <v>4.8207121705676828E-3</v>
      </c>
      <c r="G36" s="2"/>
      <c r="H36" s="6">
        <v>201.09516692307699</v>
      </c>
      <c r="I36" s="2"/>
      <c r="J36" s="7">
        <f t="shared" si="6"/>
        <v>2.8036969943963331E-3</v>
      </c>
      <c r="K36" s="2"/>
      <c r="L36" s="6">
        <f t="shared" si="7"/>
        <v>37.774833076923017</v>
      </c>
      <c r="M36" s="2"/>
      <c r="N36" s="7">
        <f t="shared" si="8"/>
        <v>0.18784555419659918</v>
      </c>
      <c r="O36" s="11"/>
      <c r="P36" s="6">
        <v>1669.39</v>
      </c>
      <c r="Q36" s="2"/>
      <c r="R36" s="7">
        <f t="shared" si="9"/>
        <v>3.7756976109036399E-3</v>
      </c>
      <c r="S36" s="2"/>
      <c r="T36" s="6">
        <v>1759.5827105769231</v>
      </c>
      <c r="U36" s="2"/>
      <c r="V36" s="7">
        <f t="shared" si="10"/>
        <v>3.468849755451029E-3</v>
      </c>
      <c r="W36" s="2"/>
      <c r="X36" s="6">
        <f t="shared" si="11"/>
        <v>-90.192710576922991</v>
      </c>
      <c r="Y36" s="2"/>
      <c r="Z36" s="7">
        <f t="shared" si="12"/>
        <v>-5.1258011365291865E-2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6">
        <v>3218.03</v>
      </c>
      <c r="E37" s="2"/>
      <c r="F37" s="7">
        <f t="shared" si="5"/>
        <v>6.4944096731493789E-2</v>
      </c>
      <c r="G37" s="2"/>
      <c r="H37" s="6">
        <v>2044</v>
      </c>
      <c r="I37" s="2"/>
      <c r="J37" s="7">
        <f t="shared" si="6"/>
        <v>2.8497734402230742E-2</v>
      </c>
      <c r="K37" s="2"/>
      <c r="L37" s="6">
        <f t="shared" si="7"/>
        <v>1174.0300000000002</v>
      </c>
      <c r="M37" s="2"/>
      <c r="N37" s="7">
        <f t="shared" si="8"/>
        <v>0.57437866927592962</v>
      </c>
      <c r="O37" s="11"/>
      <c r="P37" s="6">
        <v>23819.5</v>
      </c>
      <c r="Q37" s="2"/>
      <c r="R37" s="7">
        <f t="shared" si="9"/>
        <v>5.3873108885832098E-2</v>
      </c>
      <c r="S37" s="2"/>
      <c r="T37" s="6">
        <v>16352</v>
      </c>
      <c r="U37" s="2"/>
      <c r="V37" s="7">
        <f t="shared" si="10"/>
        <v>3.2236410860468898E-2</v>
      </c>
      <c r="W37" s="2"/>
      <c r="X37" s="6">
        <f t="shared" si="11"/>
        <v>7467.5</v>
      </c>
      <c r="Y37" s="2"/>
      <c r="Z37" s="7">
        <f t="shared" si="12"/>
        <v>0.45667196673189825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6">
        <v>47</v>
      </c>
      <c r="E38" s="2"/>
      <c r="F38" s="7">
        <f t="shared" si="5"/>
        <v>9.4852209158404605E-4</v>
      </c>
      <c r="G38" s="2"/>
      <c r="H38" s="6">
        <v>46.415726358705001</v>
      </c>
      <c r="I38" s="2"/>
      <c r="J38" s="7">
        <f t="shared" si="6"/>
        <v>6.4713456059539915E-4</v>
      </c>
      <c r="K38" s="2"/>
      <c r="L38" s="6">
        <f t="shared" si="7"/>
        <v>0.58427364129499892</v>
      </c>
      <c r="M38" s="2"/>
      <c r="N38" s="7">
        <f t="shared" si="8"/>
        <v>1.2587837940522109E-2</v>
      </c>
      <c r="O38" s="11"/>
      <c r="P38" s="6">
        <v>405.79</v>
      </c>
      <c r="Q38" s="2"/>
      <c r="R38" s="7">
        <f t="shared" si="9"/>
        <v>9.1778454017850115E-4</v>
      </c>
      <c r="S38" s="2"/>
      <c r="T38" s="6">
        <v>387.35499780947492</v>
      </c>
      <c r="U38" s="2"/>
      <c r="V38" s="7">
        <f t="shared" si="10"/>
        <v>7.6363349182009929E-4</v>
      </c>
      <c r="W38" s="2"/>
      <c r="X38" s="6">
        <f t="shared" si="11"/>
        <v>18.435002190525097</v>
      </c>
      <c r="Y38" s="2"/>
      <c r="Z38" s="7">
        <f t="shared" si="12"/>
        <v>4.7592008092774286E-2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6">
        <v>1187.75</v>
      </c>
      <c r="E39" s="2"/>
      <c r="F39" s="7">
        <f t="shared" si="5"/>
        <v>2.3970364133594695E-2</v>
      </c>
      <c r="G39" s="2"/>
      <c r="H39" s="6">
        <v>910.22022923076906</v>
      </c>
      <c r="I39" s="2"/>
      <c r="J39" s="7">
        <f t="shared" si="6"/>
        <v>1.2690417974636027E-2</v>
      </c>
      <c r="K39" s="2"/>
      <c r="L39" s="6">
        <f t="shared" si="7"/>
        <v>277.52977076923094</v>
      </c>
      <c r="M39" s="2"/>
      <c r="N39" s="7">
        <f t="shared" si="8"/>
        <v>0.30490398022000953</v>
      </c>
      <c r="O39" s="11"/>
      <c r="P39" s="6">
        <v>10790.79</v>
      </c>
      <c r="Q39" s="2"/>
      <c r="R39" s="7">
        <f t="shared" si="9"/>
        <v>2.4405776974082083E-2</v>
      </c>
      <c r="S39" s="2"/>
      <c r="T39" s="6">
        <v>7964.4270057692247</v>
      </c>
      <c r="U39" s="2"/>
      <c r="V39" s="7">
        <f t="shared" si="10"/>
        <v>1.5701109419409907E-2</v>
      </c>
      <c r="W39" s="2"/>
      <c r="X39" s="6">
        <f t="shared" si="11"/>
        <v>2826.3629942307762</v>
      </c>
      <c r="Y39" s="2"/>
      <c r="Z39" s="7">
        <f t="shared" si="12"/>
        <v>0.35487336278974396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5"/>
        <v>0</v>
      </c>
      <c r="G40" s="2"/>
      <c r="H40" s="6">
        <v>0</v>
      </c>
      <c r="I40" s="2"/>
      <c r="J40" s="7">
        <f t="shared" si="6"/>
        <v>0</v>
      </c>
      <c r="K40" s="2"/>
      <c r="L40" s="6">
        <f t="shared" si="7"/>
        <v>0</v>
      </c>
      <c r="M40" s="2"/>
      <c r="N40" s="7">
        <f t="shared" si="8"/>
        <v>0</v>
      </c>
      <c r="O40" s="11"/>
      <c r="P40" s="6"/>
      <c r="Q40" s="2"/>
      <c r="R40" s="7">
        <f t="shared" si="9"/>
        <v>0</v>
      </c>
      <c r="S40" s="2"/>
      <c r="T40" s="6">
        <v>0</v>
      </c>
      <c r="U40" s="2"/>
      <c r="V40" s="7">
        <f t="shared" si="10"/>
        <v>0</v>
      </c>
      <c r="W40" s="2"/>
      <c r="X40" s="6">
        <f t="shared" si="11"/>
        <v>0</v>
      </c>
      <c r="Y40" s="2"/>
      <c r="Z40" s="7">
        <f t="shared" si="12"/>
        <v>0</v>
      </c>
    </row>
    <row r="41" spans="1:26" s="24" customFormat="1" hidden="1" outlineLevel="2" x14ac:dyDescent="0.25">
      <c r="A41" s="25"/>
      <c r="B41" s="11" t="str">
        <f>CONCATENATE("          ", "6118", " - ", "VACATION")</f>
        <v xml:space="preserve">          6118 - VACATION</v>
      </c>
      <c r="C41" s="11"/>
      <c r="D41" s="6">
        <v>969.46</v>
      </c>
      <c r="E41" s="2"/>
      <c r="F41" s="7">
        <f t="shared" si="5"/>
        <v>1.9564983551214242E-2</v>
      </c>
      <c r="G41" s="2"/>
      <c r="H41" s="6">
        <v>529.19780769230795</v>
      </c>
      <c r="I41" s="2"/>
      <c r="J41" s="7">
        <f t="shared" si="6"/>
        <v>7.3781499852535095E-3</v>
      </c>
      <c r="K41" s="2"/>
      <c r="L41" s="6">
        <f t="shared" si="7"/>
        <v>440.26219230769209</v>
      </c>
      <c r="M41" s="2"/>
      <c r="N41" s="7">
        <f t="shared" si="8"/>
        <v>0.83194258537759136</v>
      </c>
      <c r="O41" s="11"/>
      <c r="P41" s="6">
        <v>8849.33</v>
      </c>
      <c r="Q41" s="2"/>
      <c r="R41" s="7">
        <f t="shared" si="9"/>
        <v>2.0014732410699659E-2</v>
      </c>
      <c r="S41" s="2"/>
      <c r="T41" s="6">
        <v>4630.4808173076954</v>
      </c>
      <c r="U41" s="2"/>
      <c r="V41" s="7">
        <f t="shared" si="10"/>
        <v>9.1285519880290305E-3</v>
      </c>
      <c r="W41" s="2"/>
      <c r="X41" s="6">
        <f t="shared" si="11"/>
        <v>4218.8491826923046</v>
      </c>
      <c r="Y41" s="2"/>
      <c r="Z41" s="7">
        <f t="shared" si="12"/>
        <v>0.91110391105027266</v>
      </c>
    </row>
    <row r="42" spans="1:26" s="24" customFormat="1" hidden="1" outlineLevel="2" x14ac:dyDescent="0.25">
      <c r="A42" s="25"/>
      <c r="B42" s="11" t="str">
        <f>CONCATENATE("          ", "6119", " - ", "SICK LEAVE")</f>
        <v xml:space="preserve">          6119 - SICK LEAVE</v>
      </c>
      <c r="C42" s="11"/>
      <c r="D42" s="6">
        <v>556.53</v>
      </c>
      <c r="E42" s="2"/>
      <c r="F42" s="7">
        <f t="shared" si="5"/>
        <v>1.1231510630409981E-2</v>
      </c>
      <c r="G42" s="2"/>
      <c r="H42" s="6">
        <v>390.20114753348099</v>
      </c>
      <c r="I42" s="2"/>
      <c r="J42" s="7">
        <f t="shared" si="6"/>
        <v>5.440239073314479E-3</v>
      </c>
      <c r="K42" s="2"/>
      <c r="L42" s="6">
        <f t="shared" si="7"/>
        <v>166.32885246651898</v>
      </c>
      <c r="M42" s="2"/>
      <c r="N42" s="7">
        <f t="shared" si="8"/>
        <v>0.42626438573517322</v>
      </c>
      <c r="O42" s="11"/>
      <c r="P42" s="6">
        <v>5209.3599999999997</v>
      </c>
      <c r="Q42" s="2"/>
      <c r="R42" s="7">
        <f t="shared" si="9"/>
        <v>1.1782128865236392E-2</v>
      </c>
      <c r="S42" s="2"/>
      <c r="T42" s="6">
        <v>3342.0192415749061</v>
      </c>
      <c r="U42" s="2"/>
      <c r="V42" s="7">
        <f t="shared" si="10"/>
        <v>6.5884726868273812E-3</v>
      </c>
      <c r="W42" s="2"/>
      <c r="X42" s="6">
        <f t="shared" si="11"/>
        <v>1867.3407584250936</v>
      </c>
      <c r="Y42" s="2"/>
      <c r="Z42" s="7">
        <f t="shared" si="12"/>
        <v>0.55874626189917465</v>
      </c>
    </row>
    <row r="43" spans="1:26" s="24" customFormat="1" hidden="1" outlineLevel="2" x14ac:dyDescent="0.25">
      <c r="A43" s="25"/>
      <c r="B43" s="11" t="str">
        <f>CONCATENATE("          ", "6156", " - ", "EMPLOYEE MEALS")</f>
        <v xml:space="preserve">          6156 - EMPLOYEE MEALS</v>
      </c>
      <c r="C43" s="11"/>
      <c r="D43" s="6">
        <v>292.47000000000003</v>
      </c>
      <c r="E43" s="2"/>
      <c r="F43" s="7">
        <f t="shared" si="5"/>
        <v>5.9024309813954469E-3</v>
      </c>
      <c r="G43" s="2"/>
      <c r="H43" s="6">
        <v>300</v>
      </c>
      <c r="I43" s="2"/>
      <c r="J43" s="7">
        <f t="shared" si="6"/>
        <v>4.1826420355524571E-3</v>
      </c>
      <c r="K43" s="2"/>
      <c r="L43" s="6">
        <f t="shared" si="7"/>
        <v>-7.5299999999999727</v>
      </c>
      <c r="M43" s="2"/>
      <c r="N43" s="7">
        <f t="shared" si="8"/>
        <v>-2.5099999999999911E-2</v>
      </c>
      <c r="O43" s="11"/>
      <c r="P43" s="6">
        <v>2271.6999999999998</v>
      </c>
      <c r="Q43" s="2"/>
      <c r="R43" s="7">
        <f t="shared" si="9"/>
        <v>5.1379559376118203E-3</v>
      </c>
      <c r="S43" s="2"/>
      <c r="T43" s="6">
        <v>2400</v>
      </c>
      <c r="U43" s="2"/>
      <c r="V43" s="7">
        <f t="shared" si="10"/>
        <v>4.7313714570159831E-3</v>
      </c>
      <c r="W43" s="2"/>
      <c r="X43" s="6">
        <f t="shared" si="11"/>
        <v>-128.30000000000018</v>
      </c>
      <c r="Y43" s="2"/>
      <c r="Z43" s="7">
        <f t="shared" si="12"/>
        <v>-5.3458333333333406E-2</v>
      </c>
    </row>
    <row r="44" spans="1:26" s="27" customFormat="1" outlineLevel="1" collapsed="1" x14ac:dyDescent="0.25">
      <c r="A44" s="26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16161.07</v>
      </c>
      <c r="E44" s="1"/>
      <c r="F44" s="5">
        <f t="shared" ref="F44:F54" si="13">IF(D$12=0,0,D44/D$12)</f>
        <v>0.32615174294970595</v>
      </c>
      <c r="G44" s="1"/>
      <c r="H44" s="1">
        <f>SUM(OSRRefH22_1x_0)</f>
        <v>17005.485953348063</v>
      </c>
      <c r="I44" s="1"/>
      <c r="J44" s="5">
        <f t="shared" ref="J44:J54" si="14">IF(H$12=0,0,H44/H$12)</f>
        <v>0.23709286794490153</v>
      </c>
      <c r="K44" s="1"/>
      <c r="L44" s="1">
        <f t="shared" ref="L44:L54" si="15">+D44-H44</f>
        <v>-844.41595334806334</v>
      </c>
      <c r="M44" s="1"/>
      <c r="N44" s="5">
        <f t="shared" ref="N44:N54" si="16">IF(H44=0,0,L44/H44)</f>
        <v>-4.9655502680992988E-2</v>
      </c>
      <c r="O44" s="13"/>
      <c r="P44" s="1">
        <f>SUM(OSRRefP22_1x_0)</f>
        <v>140571.65</v>
      </c>
      <c r="Q44" s="1"/>
      <c r="R44" s="5">
        <f t="shared" ref="R44:R54" si="17">IF(P$12=0,0,P44/P$12)</f>
        <v>0.31793412148496314</v>
      </c>
      <c r="S44" s="1"/>
      <c r="T44" s="1">
        <f>SUM(OSRRefT22_1x_0)</f>
        <v>141573.92215749033</v>
      </c>
      <c r="U44" s="1"/>
      <c r="V44" s="5">
        <f t="shared" ref="V44:V54" si="18">IF(T$12=0,0,T44/T$12)</f>
        <v>0.27909950598073019</v>
      </c>
      <c r="W44" s="1"/>
      <c r="X44" s="1">
        <f t="shared" ref="X44:X54" si="19">+P44-T44</f>
        <v>-1002.2721574903408</v>
      </c>
      <c r="Y44" s="1"/>
      <c r="Z44" s="5">
        <f t="shared" ref="Z44:Z54" si="20">IF(T44=0,0,X44/T44)</f>
        <v>-7.0794970021059982E-3</v>
      </c>
    </row>
    <row r="45" spans="1:26" s="24" customFormat="1" hidden="1" outlineLevel="2" x14ac:dyDescent="0.25">
      <c r="A45" s="25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13"/>
        <v>0</v>
      </c>
      <c r="G45" s="2"/>
      <c r="H45" s="6">
        <v>5990.5432000000001</v>
      </c>
      <c r="I45" s="2"/>
      <c r="J45" s="7">
        <f t="shared" si="14"/>
        <v>8.3520992680376438E-2</v>
      </c>
      <c r="K45" s="2"/>
      <c r="L45" s="6">
        <f t="shared" si="15"/>
        <v>-5990.5432000000001</v>
      </c>
      <c r="M45" s="2"/>
      <c r="N45" s="7">
        <f t="shared" si="16"/>
        <v>-1</v>
      </c>
      <c r="O45" s="11"/>
      <c r="P45" s="6"/>
      <c r="Q45" s="2"/>
      <c r="R45" s="7">
        <f t="shared" si="17"/>
        <v>0</v>
      </c>
      <c r="S45" s="2"/>
      <c r="T45" s="6">
        <v>52417.252999999997</v>
      </c>
      <c r="U45" s="2"/>
      <c r="V45" s="7">
        <f t="shared" si="18"/>
        <v>0.10333562279141058</v>
      </c>
      <c r="W45" s="2"/>
      <c r="X45" s="6">
        <f t="shared" si="19"/>
        <v>-52417.252999999997</v>
      </c>
      <c r="Y45" s="2"/>
      <c r="Z45" s="7">
        <f t="shared" si="20"/>
        <v>-1</v>
      </c>
    </row>
    <row r="46" spans="1:26" s="24" customFormat="1" hidden="1" outlineLevel="2" x14ac:dyDescent="0.25">
      <c r="A46" s="25"/>
      <c r="B46" s="11" t="str">
        <f>CONCATENATE("          ", "6002", " - ", "STAFF SALARIES")</f>
        <v xml:space="preserve">          6002 - STAFF SALARIES</v>
      </c>
      <c r="C46" s="11"/>
      <c r="D46" s="6">
        <v>10285.75</v>
      </c>
      <c r="E46" s="2"/>
      <c r="F46" s="7">
        <f t="shared" si="13"/>
        <v>0.20758002347894897</v>
      </c>
      <c r="G46" s="2"/>
      <c r="H46" s="6">
        <v>3746.6964615384595</v>
      </c>
      <c r="I46" s="2"/>
      <c r="J46" s="7">
        <f t="shared" si="14"/>
        <v>5.2236967048288035E-2</v>
      </c>
      <c r="K46" s="2"/>
      <c r="L46" s="6">
        <f t="shared" si="15"/>
        <v>6539.0535384615405</v>
      </c>
      <c r="M46" s="2"/>
      <c r="N46" s="7">
        <f t="shared" si="16"/>
        <v>1.7452851079845657</v>
      </c>
      <c r="O46" s="11"/>
      <c r="P46" s="6">
        <v>92780.36</v>
      </c>
      <c r="Q46" s="2"/>
      <c r="R46" s="7">
        <f t="shared" si="17"/>
        <v>0.20984346593113629</v>
      </c>
      <c r="S46" s="2"/>
      <c r="T46" s="6">
        <v>32783.594038461546</v>
      </c>
      <c r="U46" s="2"/>
      <c r="V46" s="7">
        <f t="shared" si="18"/>
        <v>6.4629733788323457E-2</v>
      </c>
      <c r="W46" s="2"/>
      <c r="X46" s="6">
        <f t="shared" si="19"/>
        <v>59996.765961538455</v>
      </c>
      <c r="Y46" s="2"/>
      <c r="Z46" s="7">
        <f t="shared" si="20"/>
        <v>1.8300850691095842</v>
      </c>
    </row>
    <row r="47" spans="1:26" s="24" customFormat="1" hidden="1" outlineLevel="2" x14ac:dyDescent="0.25">
      <c r="A47" s="25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13"/>
        <v>0</v>
      </c>
      <c r="G47" s="2"/>
      <c r="H47" s="6">
        <v>0</v>
      </c>
      <c r="I47" s="2"/>
      <c r="J47" s="7">
        <f t="shared" si="14"/>
        <v>0</v>
      </c>
      <c r="K47" s="2"/>
      <c r="L47" s="6">
        <f t="shared" si="15"/>
        <v>0</v>
      </c>
      <c r="M47" s="2"/>
      <c r="N47" s="7">
        <f t="shared" si="16"/>
        <v>0</v>
      </c>
      <c r="O47" s="11"/>
      <c r="P47" s="6"/>
      <c r="Q47" s="2"/>
      <c r="R47" s="7">
        <f t="shared" si="17"/>
        <v>0</v>
      </c>
      <c r="S47" s="2"/>
      <c r="T47" s="6">
        <v>0</v>
      </c>
      <c r="U47" s="2"/>
      <c r="V47" s="7">
        <f t="shared" si="18"/>
        <v>0</v>
      </c>
      <c r="W47" s="2"/>
      <c r="X47" s="6">
        <f t="shared" si="19"/>
        <v>0</v>
      </c>
      <c r="Y47" s="2"/>
      <c r="Z47" s="7">
        <f t="shared" si="20"/>
        <v>0</v>
      </c>
    </row>
    <row r="48" spans="1:26" s="24" customFormat="1" hidden="1" outlineLevel="2" x14ac:dyDescent="0.25">
      <c r="A48" s="25"/>
      <c r="B48" s="11" t="str">
        <f>CONCATENATE("          ", "6004", " - ", "STAFF HOURLY")</f>
        <v xml:space="preserve">          6004 - STAFF HOURLY</v>
      </c>
      <c r="C48" s="11"/>
      <c r="D48" s="6"/>
      <c r="E48" s="2"/>
      <c r="F48" s="7">
        <f t="shared" si="13"/>
        <v>0</v>
      </c>
      <c r="G48" s="2"/>
      <c r="H48" s="6">
        <v>3010</v>
      </c>
      <c r="I48" s="2"/>
      <c r="J48" s="7">
        <f t="shared" si="14"/>
        <v>4.1965841756709657E-2</v>
      </c>
      <c r="K48" s="2"/>
      <c r="L48" s="6">
        <f t="shared" si="15"/>
        <v>-3010</v>
      </c>
      <c r="M48" s="2"/>
      <c r="N48" s="7">
        <f t="shared" si="16"/>
        <v>-1</v>
      </c>
      <c r="O48" s="11"/>
      <c r="P48" s="6"/>
      <c r="Q48" s="2"/>
      <c r="R48" s="7">
        <f t="shared" si="17"/>
        <v>0</v>
      </c>
      <c r="S48" s="2"/>
      <c r="T48" s="6">
        <v>24290</v>
      </c>
      <c r="U48" s="2"/>
      <c r="V48" s="7">
        <f t="shared" si="18"/>
        <v>4.7885421954549263E-2</v>
      </c>
      <c r="W48" s="2"/>
      <c r="X48" s="6">
        <f t="shared" si="19"/>
        <v>-24290</v>
      </c>
      <c r="Y48" s="2"/>
      <c r="Z48" s="7">
        <f t="shared" si="20"/>
        <v>-1</v>
      </c>
    </row>
    <row r="49" spans="1:26" s="24" customFormat="1" hidden="1" outlineLevel="2" x14ac:dyDescent="0.25">
      <c r="A49" s="25"/>
      <c r="B49" s="11" t="str">
        <f>CONCATENATE("          ", "6005", " - ", "TEMPORARY WAGES-HOURLY")</f>
        <v xml:space="preserve">          6005 - TEMPORARY WAGES-HOURLY</v>
      </c>
      <c r="C49" s="11"/>
      <c r="D49" s="6">
        <v>2179.77</v>
      </c>
      <c r="E49" s="2"/>
      <c r="F49" s="7">
        <f t="shared" si="13"/>
        <v>4.3990638288769278E-2</v>
      </c>
      <c r="G49" s="2"/>
      <c r="H49" s="6">
        <v>0</v>
      </c>
      <c r="I49" s="2"/>
      <c r="J49" s="7">
        <f t="shared" si="14"/>
        <v>0</v>
      </c>
      <c r="K49" s="2"/>
      <c r="L49" s="6">
        <f t="shared" si="15"/>
        <v>2179.77</v>
      </c>
      <c r="M49" s="2"/>
      <c r="N49" s="7">
        <f t="shared" si="16"/>
        <v>0</v>
      </c>
      <c r="O49" s="11"/>
      <c r="P49" s="6">
        <v>16323.689999999999</v>
      </c>
      <c r="Q49" s="2"/>
      <c r="R49" s="7">
        <f t="shared" si="17"/>
        <v>3.6919663670042124E-2</v>
      </c>
      <c r="S49" s="2"/>
      <c r="T49" s="6">
        <v>0</v>
      </c>
      <c r="U49" s="2"/>
      <c r="V49" s="7">
        <f t="shared" si="18"/>
        <v>0</v>
      </c>
      <c r="W49" s="2"/>
      <c r="X49" s="6">
        <f t="shared" si="19"/>
        <v>16323.689999999999</v>
      </c>
      <c r="Y49" s="2"/>
      <c r="Z49" s="7">
        <f t="shared" si="20"/>
        <v>0</v>
      </c>
    </row>
    <row r="50" spans="1:26" s="24" customFormat="1" hidden="1" outlineLevel="2" x14ac:dyDescent="0.25">
      <c r="A50" s="25"/>
      <c r="B50" s="11" t="str">
        <f>CONCATENATE("          ", "6006", " - ", "TEMPORARY PART TIME")</f>
        <v xml:space="preserve">          6006 - TEMPORARY PART TIME</v>
      </c>
      <c r="C50" s="11"/>
      <c r="D50" s="6">
        <v>1264.31</v>
      </c>
      <c r="E50" s="2"/>
      <c r="F50" s="7">
        <f t="shared" si="13"/>
        <v>2.5515446076821813E-2</v>
      </c>
      <c r="G50" s="2"/>
      <c r="H50" s="6">
        <v>0</v>
      </c>
      <c r="I50" s="2"/>
      <c r="J50" s="7">
        <f t="shared" si="14"/>
        <v>0</v>
      </c>
      <c r="K50" s="2"/>
      <c r="L50" s="6">
        <f t="shared" si="15"/>
        <v>1264.31</v>
      </c>
      <c r="M50" s="2"/>
      <c r="N50" s="7">
        <f t="shared" si="16"/>
        <v>0</v>
      </c>
      <c r="O50" s="11"/>
      <c r="P50" s="6">
        <v>1384.62</v>
      </c>
      <c r="Q50" s="2"/>
      <c r="R50" s="7">
        <f t="shared" si="17"/>
        <v>3.1316267774512828E-3</v>
      </c>
      <c r="S50" s="2"/>
      <c r="T50" s="6">
        <v>0</v>
      </c>
      <c r="U50" s="2"/>
      <c r="V50" s="7">
        <f t="shared" si="18"/>
        <v>0</v>
      </c>
      <c r="W50" s="2"/>
      <c r="X50" s="6">
        <f t="shared" si="19"/>
        <v>1384.62</v>
      </c>
      <c r="Y50" s="2"/>
      <c r="Z50" s="7">
        <f t="shared" si="20"/>
        <v>0</v>
      </c>
    </row>
    <row r="51" spans="1:26" s="24" customFormat="1" hidden="1" outlineLevel="2" x14ac:dyDescent="0.25">
      <c r="A51" s="25"/>
      <c r="B51" s="11" t="str">
        <f>CONCATENATE("          ", "6007", " - ", "STUDENT HOURLY")</f>
        <v xml:space="preserve">          6007 - STUDENT HOURLY</v>
      </c>
      <c r="C51" s="11"/>
      <c r="D51" s="6">
        <v>2431.2399999999998</v>
      </c>
      <c r="E51" s="2"/>
      <c r="F51" s="7">
        <f t="shared" si="13"/>
        <v>4.9065635105165872E-2</v>
      </c>
      <c r="G51" s="2"/>
      <c r="H51" s="6">
        <v>0</v>
      </c>
      <c r="I51" s="2"/>
      <c r="J51" s="7">
        <f t="shared" si="14"/>
        <v>0</v>
      </c>
      <c r="K51" s="2"/>
      <c r="L51" s="6">
        <f t="shared" si="15"/>
        <v>2431.2399999999998</v>
      </c>
      <c r="M51" s="2"/>
      <c r="N51" s="7">
        <f t="shared" si="16"/>
        <v>0</v>
      </c>
      <c r="O51" s="11"/>
      <c r="P51" s="6">
        <v>30082.979999999996</v>
      </c>
      <c r="Q51" s="2"/>
      <c r="R51" s="7">
        <f t="shared" si="17"/>
        <v>6.8039365106333419E-2</v>
      </c>
      <c r="S51" s="2"/>
      <c r="T51" s="6">
        <v>3756.1363631999998</v>
      </c>
      <c r="U51" s="2"/>
      <c r="V51" s="7">
        <f t="shared" si="18"/>
        <v>7.4048651572934578E-3</v>
      </c>
      <c r="W51" s="2"/>
      <c r="X51" s="6">
        <f t="shared" si="19"/>
        <v>26326.843636799997</v>
      </c>
      <c r="Y51" s="2"/>
      <c r="Z51" s="7">
        <f t="shared" si="20"/>
        <v>7.0090223280315431</v>
      </c>
    </row>
    <row r="52" spans="1:26" s="24" customFormat="1" hidden="1" outlineLevel="2" x14ac:dyDescent="0.25">
      <c r="A52" s="25"/>
      <c r="B52" s="11" t="str">
        <f>CONCATENATE("          ", "6008", " - ", "STUDENT HOURLY-FICA EXEMPT")</f>
        <v xml:space="preserve">          6008 - STUDENT HOURLY-FICA EXEMPT</v>
      </c>
      <c r="C52" s="11"/>
      <c r="D52" s="6"/>
      <c r="E52" s="2"/>
      <c r="F52" s="7">
        <f t="shared" si="13"/>
        <v>0</v>
      </c>
      <c r="G52" s="2"/>
      <c r="H52" s="6">
        <v>4258.2462918096007</v>
      </c>
      <c r="I52" s="2"/>
      <c r="J52" s="7">
        <f t="shared" si="14"/>
        <v>5.9369066459527373E-2</v>
      </c>
      <c r="K52" s="2"/>
      <c r="L52" s="6">
        <f t="shared" si="15"/>
        <v>-4258.2462918096007</v>
      </c>
      <c r="M52" s="2"/>
      <c r="N52" s="7">
        <f t="shared" si="16"/>
        <v>-1</v>
      </c>
      <c r="O52" s="11"/>
      <c r="P52" s="6"/>
      <c r="Q52" s="2"/>
      <c r="R52" s="7">
        <f t="shared" si="17"/>
        <v>0</v>
      </c>
      <c r="S52" s="2"/>
      <c r="T52" s="6">
        <v>28326.9387558288</v>
      </c>
      <c r="U52" s="2"/>
      <c r="V52" s="7">
        <f t="shared" si="18"/>
        <v>5.5843862289153431E-2</v>
      </c>
      <c r="W52" s="2"/>
      <c r="X52" s="6">
        <f t="shared" si="19"/>
        <v>-28326.9387558288</v>
      </c>
      <c r="Y52" s="2"/>
      <c r="Z52" s="7">
        <f t="shared" si="20"/>
        <v>-1</v>
      </c>
    </row>
    <row r="53" spans="1:26" s="24" customFormat="1" hidden="1" outlineLevel="2" x14ac:dyDescent="0.25">
      <c r="A53" s="25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13"/>
        <v>0</v>
      </c>
      <c r="G53" s="2"/>
      <c r="H53" s="6">
        <v>0</v>
      </c>
      <c r="I53" s="2"/>
      <c r="J53" s="7">
        <f t="shared" si="14"/>
        <v>0</v>
      </c>
      <c r="K53" s="2"/>
      <c r="L53" s="6">
        <f t="shared" si="15"/>
        <v>0</v>
      </c>
      <c r="M53" s="2"/>
      <c r="N53" s="7">
        <f t="shared" si="16"/>
        <v>0</v>
      </c>
      <c r="O53" s="11"/>
      <c r="P53" s="6"/>
      <c r="Q53" s="2"/>
      <c r="R53" s="7">
        <f t="shared" si="17"/>
        <v>0</v>
      </c>
      <c r="S53" s="2"/>
      <c r="T53" s="6">
        <v>0</v>
      </c>
      <c r="U53" s="2"/>
      <c r="V53" s="7">
        <f t="shared" si="18"/>
        <v>0</v>
      </c>
      <c r="W53" s="2"/>
      <c r="X53" s="6">
        <f t="shared" si="19"/>
        <v>0</v>
      </c>
      <c r="Y53" s="2"/>
      <c r="Z53" s="7">
        <f t="shared" si="20"/>
        <v>0</v>
      </c>
    </row>
    <row r="54" spans="1:26" s="24" customFormat="1" hidden="1" outlineLevel="2" x14ac:dyDescent="0.25">
      <c r="A54" s="25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13"/>
        <v>0</v>
      </c>
      <c r="G54" s="2"/>
      <c r="H54" s="6">
        <v>0</v>
      </c>
      <c r="I54" s="2"/>
      <c r="J54" s="7">
        <f t="shared" si="14"/>
        <v>0</v>
      </c>
      <c r="K54" s="2"/>
      <c r="L54" s="6">
        <f t="shared" si="15"/>
        <v>0</v>
      </c>
      <c r="M54" s="2"/>
      <c r="N54" s="7">
        <f t="shared" si="16"/>
        <v>0</v>
      </c>
      <c r="O54" s="11"/>
      <c r="P54" s="6"/>
      <c r="Q54" s="2"/>
      <c r="R54" s="7">
        <f t="shared" si="17"/>
        <v>0</v>
      </c>
      <c r="S54" s="2"/>
      <c r="T54" s="6">
        <v>0</v>
      </c>
      <c r="U54" s="2"/>
      <c r="V54" s="7">
        <f t="shared" si="18"/>
        <v>0</v>
      </c>
      <c r="W54" s="2"/>
      <c r="X54" s="6">
        <f t="shared" si="19"/>
        <v>0</v>
      </c>
      <c r="Y54" s="2"/>
      <c r="Z54" s="7">
        <f t="shared" si="20"/>
        <v>0</v>
      </c>
    </row>
    <row r="55" spans="1:26" s="27" customFormat="1" outlineLevel="1" collapsed="1" x14ac:dyDescent="0.25">
      <c r="A55" s="26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0</v>
      </c>
      <c r="E55" s="1"/>
      <c r="F55" s="5">
        <f t="shared" ref="F55:F71" si="21">IF(D$12=0,0,D55/D$12)</f>
        <v>0</v>
      </c>
      <c r="G55" s="1"/>
      <c r="H55" s="1">
        <f>SUM(OSRRefH22_2x_0)</f>
        <v>100</v>
      </c>
      <c r="I55" s="1"/>
      <c r="J55" s="5">
        <f t="shared" ref="J55:J71" si="22">IF(H$12=0,0,H55/H$12)</f>
        <v>1.3942140118508191E-3</v>
      </c>
      <c r="K55" s="1"/>
      <c r="L55" s="1">
        <f t="shared" ref="L55:L71" si="23">+D55-H55</f>
        <v>-100</v>
      </c>
      <c r="M55" s="1"/>
      <c r="N55" s="5">
        <f t="shared" ref="N55:N71" si="24">IF(H55=0,0,L55/H55)</f>
        <v>-1</v>
      </c>
      <c r="O55" s="13"/>
      <c r="P55" s="1">
        <f>SUM(OSRRefP22_2x_0)</f>
        <v>751</v>
      </c>
      <c r="Q55" s="1"/>
      <c r="R55" s="5">
        <f t="shared" ref="R55:R71" si="25">IF(P$12=0,0,P55/P$12)</f>
        <v>1.6985539063901385E-3</v>
      </c>
      <c r="S55" s="1"/>
      <c r="T55" s="1">
        <f>SUM(OSRRefT22_2x_0)</f>
        <v>800</v>
      </c>
      <c r="U55" s="1"/>
      <c r="V55" s="5">
        <f t="shared" ref="V55:V71" si="26">IF(T$12=0,0,T55/T$12)</f>
        <v>1.5771238190053277E-3</v>
      </c>
      <c r="W55" s="1"/>
      <c r="X55" s="1">
        <f t="shared" ref="X55:X71" si="27">+P55-T55</f>
        <v>-49</v>
      </c>
      <c r="Y55" s="1"/>
      <c r="Z55" s="5">
        <f t="shared" ref="Z55:Z71" si="28">IF(T55=0,0,X55/T55)</f>
        <v>-6.1249999999999999E-2</v>
      </c>
    </row>
    <row r="56" spans="1:26" s="24" customFormat="1" hidden="1" outlineLevel="2" x14ac:dyDescent="0.25">
      <c r="A56" s="25"/>
      <c r="B56" s="11" t="str">
        <f>CONCATENATE("          ", "6362", " - ", "ADVERTISING EXPENSE")</f>
        <v xml:space="preserve">          6362 - ADVERTISING EXPENSE</v>
      </c>
      <c r="C56" s="11"/>
      <c r="D56" s="6"/>
      <c r="E56" s="2"/>
      <c r="F56" s="7">
        <f t="shared" si="21"/>
        <v>0</v>
      </c>
      <c r="G56" s="2"/>
      <c r="H56" s="6">
        <v>100</v>
      </c>
      <c r="I56" s="2"/>
      <c r="J56" s="7">
        <f t="shared" si="22"/>
        <v>1.3942140118508191E-3</v>
      </c>
      <c r="K56" s="2"/>
      <c r="L56" s="6">
        <f t="shared" si="23"/>
        <v>-100</v>
      </c>
      <c r="M56" s="2"/>
      <c r="N56" s="7">
        <f t="shared" si="24"/>
        <v>-1</v>
      </c>
      <c r="O56" s="11"/>
      <c r="P56" s="6">
        <v>751</v>
      </c>
      <c r="Q56" s="2"/>
      <c r="R56" s="7">
        <f t="shared" si="25"/>
        <v>1.6985539063901385E-3</v>
      </c>
      <c r="S56" s="2"/>
      <c r="T56" s="6">
        <v>800</v>
      </c>
      <c r="U56" s="2"/>
      <c r="V56" s="7">
        <f t="shared" si="26"/>
        <v>1.5771238190053277E-3</v>
      </c>
      <c r="W56" s="2"/>
      <c r="X56" s="6">
        <f t="shared" si="27"/>
        <v>-49</v>
      </c>
      <c r="Y56" s="2"/>
      <c r="Z56" s="7">
        <f t="shared" si="28"/>
        <v>-6.1249999999999999E-2</v>
      </c>
    </row>
    <row r="57" spans="1:26" s="27" customFormat="1" outlineLevel="1" collapsed="1" x14ac:dyDescent="0.25">
      <c r="A57" s="26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SUM(OSRRefD22_3x_0)</f>
        <v>169.88</v>
      </c>
      <c r="E57" s="1"/>
      <c r="F57" s="5">
        <f t="shared" si="21"/>
        <v>3.4284028280488882E-3</v>
      </c>
      <c r="G57" s="1"/>
      <c r="H57" s="1">
        <f>SUM(OSRRefH22_3x_0)</f>
        <v>0</v>
      </c>
      <c r="I57" s="1"/>
      <c r="J57" s="5">
        <f t="shared" si="22"/>
        <v>0</v>
      </c>
      <c r="K57" s="1"/>
      <c r="L57" s="1">
        <f t="shared" si="23"/>
        <v>169.88</v>
      </c>
      <c r="M57" s="1"/>
      <c r="N57" s="5">
        <f t="shared" si="24"/>
        <v>0</v>
      </c>
      <c r="O57" s="13"/>
      <c r="P57" s="1">
        <f>SUM(OSRRefP22_3x_0)</f>
        <v>509.64</v>
      </c>
      <c r="Q57" s="1"/>
      <c r="R57" s="5">
        <f t="shared" si="25"/>
        <v>1.1526644645175369E-3</v>
      </c>
      <c r="S57" s="1"/>
      <c r="T57" s="1">
        <f>SUM(OSRRefT22_3x_0)</f>
        <v>0</v>
      </c>
      <c r="U57" s="1"/>
      <c r="V57" s="5">
        <f t="shared" si="26"/>
        <v>0</v>
      </c>
      <c r="W57" s="1"/>
      <c r="X57" s="1">
        <f t="shared" si="27"/>
        <v>509.64</v>
      </c>
      <c r="Y57" s="1"/>
      <c r="Z57" s="5">
        <f t="shared" si="28"/>
        <v>0</v>
      </c>
    </row>
    <row r="58" spans="1:26" s="24" customFormat="1" hidden="1" outlineLevel="2" x14ac:dyDescent="0.25">
      <c r="A58" s="25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169.88</v>
      </c>
      <c r="E58" s="2"/>
      <c r="F58" s="7">
        <f t="shared" si="21"/>
        <v>3.4284028280488882E-3</v>
      </c>
      <c r="G58" s="2"/>
      <c r="H58" s="6">
        <v>0</v>
      </c>
      <c r="I58" s="2"/>
      <c r="J58" s="7">
        <f t="shared" si="22"/>
        <v>0</v>
      </c>
      <c r="K58" s="2"/>
      <c r="L58" s="6">
        <f t="shared" si="23"/>
        <v>169.88</v>
      </c>
      <c r="M58" s="2"/>
      <c r="N58" s="7">
        <f t="shared" si="24"/>
        <v>0</v>
      </c>
      <c r="O58" s="11"/>
      <c r="P58" s="6">
        <v>509.64</v>
      </c>
      <c r="Q58" s="2"/>
      <c r="R58" s="7">
        <f t="shared" si="25"/>
        <v>1.1526644645175369E-3</v>
      </c>
      <c r="S58" s="2"/>
      <c r="T58" s="6">
        <v>0</v>
      </c>
      <c r="U58" s="2"/>
      <c r="V58" s="7">
        <f t="shared" si="26"/>
        <v>0</v>
      </c>
      <c r="W58" s="2"/>
      <c r="X58" s="6">
        <f t="shared" si="27"/>
        <v>509.64</v>
      </c>
      <c r="Y58" s="2"/>
      <c r="Z58" s="7">
        <f t="shared" si="28"/>
        <v>0</v>
      </c>
    </row>
    <row r="59" spans="1:26" s="27" customFormat="1" outlineLevel="1" collapsed="1" x14ac:dyDescent="0.25">
      <c r="A59" s="26"/>
      <c r="B59" s="13" t="str">
        <f>CONCATENATE("     ","Discounts and Markdowns                           ")</f>
        <v xml:space="preserve">     Discounts and Markdowns                           </v>
      </c>
      <c r="C59" s="13"/>
      <c r="D59" s="1">
        <f>SUM(OSRRefD22_4x_0)</f>
        <v>60.33</v>
      </c>
      <c r="E59" s="1"/>
      <c r="F59" s="5">
        <f t="shared" si="21"/>
        <v>1.2175391018141594E-3</v>
      </c>
      <c r="G59" s="1"/>
      <c r="H59" s="1">
        <f>SUM(OSRRefH22_4x_0)</f>
        <v>600</v>
      </c>
      <c r="I59" s="1"/>
      <c r="J59" s="5">
        <f t="shared" si="22"/>
        <v>8.3652840711049142E-3</v>
      </c>
      <c r="K59" s="1"/>
      <c r="L59" s="1">
        <f t="shared" si="23"/>
        <v>-539.66999999999996</v>
      </c>
      <c r="M59" s="1"/>
      <c r="N59" s="5">
        <f t="shared" si="24"/>
        <v>-0.89944999999999997</v>
      </c>
      <c r="O59" s="13"/>
      <c r="P59" s="1">
        <f>SUM(OSRRefP22_4x_0)</f>
        <v>695.22</v>
      </c>
      <c r="Q59" s="1"/>
      <c r="R59" s="5">
        <f t="shared" si="25"/>
        <v>1.5723950023975395E-3</v>
      </c>
      <c r="S59" s="1"/>
      <c r="T59" s="1">
        <f>SUM(OSRRefT22_4x_0)</f>
        <v>5400</v>
      </c>
      <c r="U59" s="1"/>
      <c r="V59" s="5">
        <f t="shared" si="26"/>
        <v>1.0645585778285963E-2</v>
      </c>
      <c r="W59" s="1"/>
      <c r="X59" s="1">
        <f t="shared" si="27"/>
        <v>-4704.78</v>
      </c>
      <c r="Y59" s="1"/>
      <c r="Z59" s="5">
        <f t="shared" si="28"/>
        <v>-0.87125555555555556</v>
      </c>
    </row>
    <row r="60" spans="1:26" s="24" customFormat="1" hidden="1" outlineLevel="2" x14ac:dyDescent="0.25">
      <c r="A60" s="25"/>
      <c r="B60" s="11" t="str">
        <f>CONCATENATE("          ", "6382", " - ", "DISCOUNTS/MARK DOWNS")</f>
        <v xml:space="preserve">          6382 - DISCOUNTS/MARK DOWNS</v>
      </c>
      <c r="C60" s="11"/>
      <c r="D60" s="6">
        <v>60.33</v>
      </c>
      <c r="E60" s="2"/>
      <c r="F60" s="7">
        <f t="shared" si="21"/>
        <v>1.2175391018141594E-3</v>
      </c>
      <c r="G60" s="2"/>
      <c r="H60" s="6">
        <v>600</v>
      </c>
      <c r="I60" s="2"/>
      <c r="J60" s="7">
        <f t="shared" si="22"/>
        <v>8.3652840711049142E-3</v>
      </c>
      <c r="K60" s="2"/>
      <c r="L60" s="6">
        <f t="shared" si="23"/>
        <v>-539.66999999999996</v>
      </c>
      <c r="M60" s="2"/>
      <c r="N60" s="7">
        <f t="shared" si="24"/>
        <v>-0.89944999999999997</v>
      </c>
      <c r="O60" s="11"/>
      <c r="P60" s="6">
        <v>695.22</v>
      </c>
      <c r="Q60" s="2"/>
      <c r="R60" s="7">
        <f t="shared" si="25"/>
        <v>1.5723950023975395E-3</v>
      </c>
      <c r="S60" s="2"/>
      <c r="T60" s="6">
        <v>5400</v>
      </c>
      <c r="U60" s="2"/>
      <c r="V60" s="7">
        <f t="shared" si="26"/>
        <v>1.0645585778285963E-2</v>
      </c>
      <c r="W60" s="2"/>
      <c r="X60" s="6">
        <f t="shared" si="27"/>
        <v>-4704.78</v>
      </c>
      <c r="Y60" s="2"/>
      <c r="Z60" s="7">
        <f t="shared" si="28"/>
        <v>-0.87125555555555556</v>
      </c>
    </row>
    <row r="61" spans="1:26" s="27" customFormat="1" outlineLevel="1" collapsed="1" x14ac:dyDescent="0.25">
      <c r="A61" s="26"/>
      <c r="B61" s="13" t="str">
        <f>CONCATENATE("     ","Employees' Appreciation                           ")</f>
        <v xml:space="preserve">     Employees' Appreciation                           </v>
      </c>
      <c r="C61" s="13"/>
      <c r="D61" s="1">
        <f>SUM(OSRRefD22_5x_0)</f>
        <v>0</v>
      </c>
      <c r="E61" s="1"/>
      <c r="F61" s="5">
        <f t="shared" si="21"/>
        <v>0</v>
      </c>
      <c r="G61" s="1"/>
      <c r="H61" s="1">
        <f>SUM(OSRRefH22_5x_0)</f>
        <v>100</v>
      </c>
      <c r="I61" s="1"/>
      <c r="J61" s="5">
        <f t="shared" si="22"/>
        <v>1.3942140118508191E-3</v>
      </c>
      <c r="K61" s="1"/>
      <c r="L61" s="1">
        <f t="shared" si="23"/>
        <v>-100</v>
      </c>
      <c r="M61" s="1"/>
      <c r="N61" s="5">
        <f t="shared" si="24"/>
        <v>-1</v>
      </c>
      <c r="O61" s="13"/>
      <c r="P61" s="1">
        <f>SUM(OSRRefP22_5x_0)</f>
        <v>0</v>
      </c>
      <c r="Q61" s="1"/>
      <c r="R61" s="5">
        <f t="shared" si="25"/>
        <v>0</v>
      </c>
      <c r="S61" s="1"/>
      <c r="T61" s="1">
        <f>SUM(OSRRefT22_5x_0)</f>
        <v>800</v>
      </c>
      <c r="U61" s="1"/>
      <c r="V61" s="5">
        <f t="shared" si="26"/>
        <v>1.5771238190053277E-3</v>
      </c>
      <c r="W61" s="1"/>
      <c r="X61" s="1">
        <f t="shared" si="27"/>
        <v>-800</v>
      </c>
      <c r="Y61" s="1"/>
      <c r="Z61" s="5">
        <f t="shared" si="28"/>
        <v>-1</v>
      </c>
    </row>
    <row r="62" spans="1:26" s="24" customFormat="1" hidden="1" outlineLevel="2" x14ac:dyDescent="0.25">
      <c r="A62" s="25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21"/>
        <v>0</v>
      </c>
      <c r="G62" s="2"/>
      <c r="H62" s="6">
        <v>100</v>
      </c>
      <c r="I62" s="2"/>
      <c r="J62" s="7">
        <f t="shared" si="22"/>
        <v>1.3942140118508191E-3</v>
      </c>
      <c r="K62" s="2"/>
      <c r="L62" s="6">
        <f t="shared" si="23"/>
        <v>-100</v>
      </c>
      <c r="M62" s="2"/>
      <c r="N62" s="7">
        <f t="shared" si="24"/>
        <v>-1</v>
      </c>
      <c r="O62" s="11"/>
      <c r="P62" s="6"/>
      <c r="Q62" s="2"/>
      <c r="R62" s="7">
        <f t="shared" si="25"/>
        <v>0</v>
      </c>
      <c r="S62" s="2"/>
      <c r="T62" s="6">
        <v>800</v>
      </c>
      <c r="U62" s="2"/>
      <c r="V62" s="7">
        <f t="shared" si="26"/>
        <v>1.5771238190053277E-3</v>
      </c>
      <c r="W62" s="2"/>
      <c r="X62" s="6">
        <f t="shared" si="27"/>
        <v>-800</v>
      </c>
      <c r="Y62" s="2"/>
      <c r="Z62" s="7">
        <f t="shared" si="28"/>
        <v>-1</v>
      </c>
    </row>
    <row r="63" spans="1:26" s="27" customFormat="1" outlineLevel="1" collapsed="1" x14ac:dyDescent="0.25">
      <c r="A63" s="26"/>
      <c r="B63" s="13" t="str">
        <f>CONCATENATE("     ","Equipment Rental                                  ")</f>
        <v xml:space="preserve">     Equipment Rental                                  </v>
      </c>
      <c r="C63" s="13"/>
      <c r="D63" s="1">
        <f>SUM(OSRRefD22_6x_0)</f>
        <v>1205.6400000000001</v>
      </c>
      <c r="E63" s="1"/>
      <c r="F63" s="5">
        <f t="shared" si="21"/>
        <v>2.4331407968029562E-2</v>
      </c>
      <c r="G63" s="1"/>
      <c r="H63" s="1">
        <f>SUM(OSRRefH22_6x_0)</f>
        <v>3000</v>
      </c>
      <c r="I63" s="1"/>
      <c r="J63" s="5">
        <f t="shared" si="22"/>
        <v>4.1826420355524571E-2</v>
      </c>
      <c r="K63" s="1"/>
      <c r="L63" s="1">
        <f t="shared" si="23"/>
        <v>-1794.36</v>
      </c>
      <c r="M63" s="1"/>
      <c r="N63" s="5">
        <f t="shared" si="24"/>
        <v>-0.59811999999999999</v>
      </c>
      <c r="O63" s="13"/>
      <c r="P63" s="1">
        <f>SUM(OSRRefP22_6x_0)</f>
        <v>12343.44</v>
      </c>
      <c r="Q63" s="1"/>
      <c r="R63" s="5">
        <f t="shared" si="25"/>
        <v>2.7917441052319962E-2</v>
      </c>
      <c r="S63" s="1"/>
      <c r="T63" s="1">
        <f>SUM(OSRRefT22_6x_0)</f>
        <v>24000</v>
      </c>
      <c r="U63" s="1"/>
      <c r="V63" s="5">
        <f t="shared" si="26"/>
        <v>4.7313714570159829E-2</v>
      </c>
      <c r="W63" s="1"/>
      <c r="X63" s="1">
        <f t="shared" si="27"/>
        <v>-11656.56</v>
      </c>
      <c r="Y63" s="1"/>
      <c r="Z63" s="5">
        <f t="shared" si="28"/>
        <v>-0.48568999999999996</v>
      </c>
    </row>
    <row r="64" spans="1:26" s="24" customFormat="1" hidden="1" outlineLevel="2" x14ac:dyDescent="0.25">
      <c r="A64" s="25"/>
      <c r="B64" s="11" t="str">
        <f>CONCATENATE("          ", "6351", " - ", "EQUIPMENT RENTAL")</f>
        <v xml:space="preserve">          6351 - EQUIPMENT RENTAL</v>
      </c>
      <c r="C64" s="11"/>
      <c r="D64" s="6">
        <v>1205.6400000000001</v>
      </c>
      <c r="E64" s="2"/>
      <c r="F64" s="7">
        <f t="shared" si="21"/>
        <v>2.4331407968029562E-2</v>
      </c>
      <c r="G64" s="2"/>
      <c r="H64" s="6">
        <v>3000</v>
      </c>
      <c r="I64" s="2"/>
      <c r="J64" s="7">
        <f t="shared" si="22"/>
        <v>4.1826420355524571E-2</v>
      </c>
      <c r="K64" s="2"/>
      <c r="L64" s="6">
        <f t="shared" si="23"/>
        <v>-1794.36</v>
      </c>
      <c r="M64" s="2"/>
      <c r="N64" s="7">
        <f t="shared" si="24"/>
        <v>-0.59811999999999999</v>
      </c>
      <c r="O64" s="11"/>
      <c r="P64" s="6">
        <v>12343.44</v>
      </c>
      <c r="Q64" s="2"/>
      <c r="R64" s="7">
        <f t="shared" si="25"/>
        <v>2.7917441052319962E-2</v>
      </c>
      <c r="S64" s="2"/>
      <c r="T64" s="6">
        <v>24000</v>
      </c>
      <c r="U64" s="2"/>
      <c r="V64" s="7">
        <f t="shared" si="26"/>
        <v>4.7313714570159829E-2</v>
      </c>
      <c r="W64" s="2"/>
      <c r="X64" s="6">
        <f t="shared" si="27"/>
        <v>-11656.56</v>
      </c>
      <c r="Y64" s="2"/>
      <c r="Z64" s="7">
        <f t="shared" si="28"/>
        <v>-0.48568999999999996</v>
      </c>
    </row>
    <row r="65" spans="1:26" s="27" customFormat="1" outlineLevel="1" collapsed="1" x14ac:dyDescent="0.25">
      <c r="A65" s="26"/>
      <c r="B65" s="13" t="str">
        <f>CONCATENATE("     ","Freight out/Postage                               ")</f>
        <v xml:space="preserve">     Freight out/Postage                               </v>
      </c>
      <c r="C65" s="13"/>
      <c r="D65" s="1">
        <f>SUM(OSRRefD22_7x_0)</f>
        <v>0</v>
      </c>
      <c r="E65" s="1"/>
      <c r="F65" s="5">
        <f t="shared" si="21"/>
        <v>0</v>
      </c>
      <c r="G65" s="1"/>
      <c r="H65" s="1">
        <f>SUM(OSRRefH22_7x_0)</f>
        <v>-300</v>
      </c>
      <c r="I65" s="1"/>
      <c r="J65" s="5">
        <f t="shared" si="22"/>
        <v>-4.1826420355524571E-3</v>
      </c>
      <c r="K65" s="1"/>
      <c r="L65" s="1">
        <f t="shared" si="23"/>
        <v>300</v>
      </c>
      <c r="M65" s="1"/>
      <c r="N65" s="5">
        <f t="shared" si="24"/>
        <v>-1</v>
      </c>
      <c r="O65" s="13"/>
      <c r="P65" s="1">
        <f>SUM(OSRRefP22_7x_0)</f>
        <v>9.1300000000000008</v>
      </c>
      <c r="Q65" s="1"/>
      <c r="R65" s="5">
        <f t="shared" si="25"/>
        <v>2.0649530180215666E-5</v>
      </c>
      <c r="S65" s="1"/>
      <c r="T65" s="1">
        <f>SUM(OSRRefT22_7x_0)</f>
        <v>-2400</v>
      </c>
      <c r="U65" s="1"/>
      <c r="V65" s="5">
        <f t="shared" si="26"/>
        <v>-4.7313714570159831E-3</v>
      </c>
      <c r="W65" s="1"/>
      <c r="X65" s="1">
        <f t="shared" si="27"/>
        <v>2409.13</v>
      </c>
      <c r="Y65" s="1"/>
      <c r="Z65" s="5">
        <f t="shared" si="28"/>
        <v>-1.0038041666666666</v>
      </c>
    </row>
    <row r="66" spans="1:26" s="24" customFormat="1" hidden="1" outlineLevel="2" x14ac:dyDescent="0.25">
      <c r="A66" s="25"/>
      <c r="B66" s="11" t="str">
        <f>CONCATENATE("          ", "6305", " - ", "FREIGHT OUT")</f>
        <v xml:space="preserve">          6305 - FREIGHT OUT</v>
      </c>
      <c r="C66" s="11"/>
      <c r="D66" s="6"/>
      <c r="E66" s="2"/>
      <c r="F66" s="7">
        <f t="shared" si="21"/>
        <v>0</v>
      </c>
      <c r="G66" s="2"/>
      <c r="H66" s="6">
        <v>-300</v>
      </c>
      <c r="I66" s="2"/>
      <c r="J66" s="7">
        <f t="shared" si="22"/>
        <v>-4.1826420355524571E-3</v>
      </c>
      <c r="K66" s="2"/>
      <c r="L66" s="6">
        <f t="shared" si="23"/>
        <v>300</v>
      </c>
      <c r="M66" s="2"/>
      <c r="N66" s="7">
        <f t="shared" si="24"/>
        <v>-1</v>
      </c>
      <c r="O66" s="11"/>
      <c r="P66" s="6">
        <v>9.1300000000000008</v>
      </c>
      <c r="Q66" s="2"/>
      <c r="R66" s="7">
        <f t="shared" si="25"/>
        <v>2.0649530180215666E-5</v>
      </c>
      <c r="S66" s="2"/>
      <c r="T66" s="6">
        <v>-2400</v>
      </c>
      <c r="U66" s="2"/>
      <c r="V66" s="7">
        <f t="shared" si="26"/>
        <v>-4.7313714570159831E-3</v>
      </c>
      <c r="W66" s="2"/>
      <c r="X66" s="6">
        <f t="shared" si="27"/>
        <v>2409.13</v>
      </c>
      <c r="Y66" s="2"/>
      <c r="Z66" s="7">
        <f t="shared" si="28"/>
        <v>-1.0038041666666666</v>
      </c>
    </row>
    <row r="67" spans="1:26" s="27" customFormat="1" outlineLevel="1" collapsed="1" x14ac:dyDescent="0.25">
      <c r="A67" s="26"/>
      <c r="B67" s="13" t="str">
        <f>CONCATENATE("     ","General                                           ")</f>
        <v xml:space="preserve">     General                                           </v>
      </c>
      <c r="C67" s="13"/>
      <c r="D67" s="1">
        <f>SUM(OSRRefD22_8x_0)</f>
        <v>0</v>
      </c>
      <c r="E67" s="1"/>
      <c r="F67" s="5">
        <f t="shared" si="21"/>
        <v>0</v>
      </c>
      <c r="G67" s="1"/>
      <c r="H67" s="1">
        <f>SUM(OSRRefH22_8x_0)</f>
        <v>200</v>
      </c>
      <c r="I67" s="1"/>
      <c r="J67" s="5">
        <f t="shared" si="22"/>
        <v>2.7884280237016382E-3</v>
      </c>
      <c r="K67" s="1"/>
      <c r="L67" s="1">
        <f t="shared" si="23"/>
        <v>-200</v>
      </c>
      <c r="M67" s="1"/>
      <c r="N67" s="5">
        <f t="shared" si="24"/>
        <v>-1</v>
      </c>
      <c r="O67" s="13"/>
      <c r="P67" s="1">
        <f>SUM(OSRRefP22_8x_0)</f>
        <v>75</v>
      </c>
      <c r="Q67" s="1"/>
      <c r="R67" s="5">
        <f t="shared" si="25"/>
        <v>1.6962921834788334E-4</v>
      </c>
      <c r="S67" s="1"/>
      <c r="T67" s="1">
        <f>SUM(OSRRefT22_8x_0)</f>
        <v>1600</v>
      </c>
      <c r="U67" s="1"/>
      <c r="V67" s="5">
        <f t="shared" si="26"/>
        <v>3.1542476380106554E-3</v>
      </c>
      <c r="W67" s="1"/>
      <c r="X67" s="1">
        <f t="shared" si="27"/>
        <v>-1525</v>
      </c>
      <c r="Y67" s="1"/>
      <c r="Z67" s="5">
        <f t="shared" si="28"/>
        <v>-0.953125</v>
      </c>
    </row>
    <row r="68" spans="1:26" s="24" customFormat="1" hidden="1" outlineLevel="2" x14ac:dyDescent="0.25">
      <c r="A68" s="25"/>
      <c r="B68" s="11" t="str">
        <f>CONCATENATE("          ", "6279", " - ", "GENERAL EXPENSE")</f>
        <v xml:space="preserve">          6279 - GENERAL EXPENSE</v>
      </c>
      <c r="C68" s="11"/>
      <c r="D68" s="6"/>
      <c r="E68" s="2"/>
      <c r="F68" s="7">
        <f t="shared" si="21"/>
        <v>0</v>
      </c>
      <c r="G68" s="2"/>
      <c r="H68" s="6">
        <v>200</v>
      </c>
      <c r="I68" s="2"/>
      <c r="J68" s="7">
        <f t="shared" si="22"/>
        <v>2.7884280237016382E-3</v>
      </c>
      <c r="K68" s="2"/>
      <c r="L68" s="6">
        <f t="shared" si="23"/>
        <v>-200</v>
      </c>
      <c r="M68" s="2"/>
      <c r="N68" s="7">
        <f t="shared" si="24"/>
        <v>-1</v>
      </c>
      <c r="O68" s="11"/>
      <c r="P68" s="6">
        <v>75</v>
      </c>
      <c r="Q68" s="2"/>
      <c r="R68" s="7">
        <f t="shared" si="25"/>
        <v>1.6962921834788334E-4</v>
      </c>
      <c r="S68" s="2"/>
      <c r="T68" s="6">
        <v>1600</v>
      </c>
      <c r="U68" s="2"/>
      <c r="V68" s="7">
        <f t="shared" si="26"/>
        <v>3.1542476380106554E-3</v>
      </c>
      <c r="W68" s="2"/>
      <c r="X68" s="6">
        <f t="shared" si="27"/>
        <v>-1525</v>
      </c>
      <c r="Y68" s="2"/>
      <c r="Z68" s="7">
        <f t="shared" si="28"/>
        <v>-0.953125</v>
      </c>
    </row>
    <row r="69" spans="1:26" s="27" customFormat="1" outlineLevel="1" collapsed="1" x14ac:dyDescent="0.25">
      <c r="A69" s="26"/>
      <c r="B69" s="13" t="str">
        <f>CONCATENATE("     ","Repair and Maintenance                            ")</f>
        <v xml:space="preserve">     Repair and Maintenance                            </v>
      </c>
      <c r="C69" s="13"/>
      <c r="D69" s="1">
        <f>SUM(OSRRefD22_9x_0)</f>
        <v>4780.78</v>
      </c>
      <c r="E69" s="1"/>
      <c r="F69" s="5">
        <f t="shared" si="21"/>
        <v>9.6482456276663311E-2</v>
      </c>
      <c r="G69" s="1"/>
      <c r="H69" s="1">
        <f>SUM(OSRRefH22_9x_0)</f>
        <v>7000</v>
      </c>
      <c r="I69" s="1"/>
      <c r="J69" s="5">
        <f t="shared" si="22"/>
        <v>9.7594980829557337E-2</v>
      </c>
      <c r="K69" s="1"/>
      <c r="L69" s="1">
        <f t="shared" si="23"/>
        <v>-2219.2200000000003</v>
      </c>
      <c r="M69" s="1"/>
      <c r="N69" s="5">
        <f t="shared" si="24"/>
        <v>-0.31703142857142863</v>
      </c>
      <c r="O69" s="13"/>
      <c r="P69" s="1">
        <f>SUM(OSRRefP22_9x_0)</f>
        <v>50546.039999999994</v>
      </c>
      <c r="Q69" s="1"/>
      <c r="R69" s="5">
        <f t="shared" si="25"/>
        <v>0.11432113674374458</v>
      </c>
      <c r="S69" s="1"/>
      <c r="T69" s="1">
        <f>SUM(OSRRefT22_9x_0)</f>
        <v>56000</v>
      </c>
      <c r="U69" s="1"/>
      <c r="V69" s="5">
        <f t="shared" si="26"/>
        <v>0.11039866733037294</v>
      </c>
      <c r="W69" s="1"/>
      <c r="X69" s="1">
        <f t="shared" si="27"/>
        <v>-5453.9600000000064</v>
      </c>
      <c r="Y69" s="1"/>
      <c r="Z69" s="5">
        <f t="shared" si="28"/>
        <v>-9.7392142857142969E-2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6">
        <v>4780.78</v>
      </c>
      <c r="E70" s="2"/>
      <c r="F70" s="7">
        <f t="shared" si="21"/>
        <v>9.6482456276663311E-2</v>
      </c>
      <c r="G70" s="2"/>
      <c r="H70" s="6">
        <v>7000</v>
      </c>
      <c r="I70" s="2"/>
      <c r="J70" s="7">
        <f t="shared" si="22"/>
        <v>9.7594980829557337E-2</v>
      </c>
      <c r="K70" s="2"/>
      <c r="L70" s="6">
        <f t="shared" si="23"/>
        <v>-2219.2200000000003</v>
      </c>
      <c r="M70" s="2"/>
      <c r="N70" s="7">
        <f t="shared" si="24"/>
        <v>-0.31703142857142863</v>
      </c>
      <c r="O70" s="11"/>
      <c r="P70" s="6">
        <v>49660.579999999994</v>
      </c>
      <c r="Q70" s="2"/>
      <c r="R70" s="7">
        <f t="shared" si="25"/>
        <v>0.11231847157470036</v>
      </c>
      <c r="S70" s="2"/>
      <c r="T70" s="6">
        <v>56000</v>
      </c>
      <c r="U70" s="2"/>
      <c r="V70" s="7">
        <f t="shared" si="26"/>
        <v>0.11039866733037294</v>
      </c>
      <c r="W70" s="2"/>
      <c r="X70" s="6">
        <f t="shared" si="27"/>
        <v>-6339.4200000000055</v>
      </c>
      <c r="Y70" s="2"/>
      <c r="Z70" s="7">
        <f t="shared" si="28"/>
        <v>-0.11320392857142866</v>
      </c>
    </row>
    <row r="71" spans="1:26" s="24" customFormat="1" hidden="1" outlineLevel="2" x14ac:dyDescent="0.25">
      <c r="A71" s="25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1"/>
        <v>0</v>
      </c>
      <c r="G71" s="2"/>
      <c r="H71" s="6"/>
      <c r="I71" s="2"/>
      <c r="J71" s="7">
        <f t="shared" si="22"/>
        <v>0</v>
      </c>
      <c r="K71" s="2"/>
      <c r="L71" s="6">
        <f t="shared" si="23"/>
        <v>0</v>
      </c>
      <c r="M71" s="2"/>
      <c r="N71" s="7">
        <f t="shared" si="24"/>
        <v>0</v>
      </c>
      <c r="O71" s="11"/>
      <c r="P71" s="6">
        <v>885.46</v>
      </c>
      <c r="Q71" s="2"/>
      <c r="R71" s="7">
        <f t="shared" si="25"/>
        <v>2.0026651690442238E-3</v>
      </c>
      <c r="S71" s="2"/>
      <c r="T71" s="6"/>
      <c r="U71" s="2"/>
      <c r="V71" s="7">
        <f t="shared" si="26"/>
        <v>0</v>
      </c>
      <c r="W71" s="2"/>
      <c r="X71" s="6">
        <f t="shared" si="27"/>
        <v>885.46</v>
      </c>
      <c r="Y71" s="2"/>
      <c r="Z71" s="7">
        <f t="shared" si="28"/>
        <v>0</v>
      </c>
    </row>
    <row r="72" spans="1:26" s="27" customFormat="1" outlineLevel="1" collapsed="1" x14ac:dyDescent="0.25">
      <c r="A72" s="26"/>
      <c r="B72" s="13" t="str">
        <f>CONCATENATE("     ","Royalty &amp; Commissions                             ")</f>
        <v xml:space="preserve">     Royalty &amp; Commissions                             </v>
      </c>
      <c r="C72" s="13"/>
      <c r="D72" s="1">
        <f>SUM(OSRRefD22_10x_0)</f>
        <v>8561.32</v>
      </c>
      <c r="E72" s="1"/>
      <c r="F72" s="5">
        <f t="shared" ref="F72:F74" si="29">IF(D$12=0,0,D72/D$12)</f>
        <v>0.17277874793873033</v>
      </c>
      <c r="G72" s="1"/>
      <c r="H72" s="1">
        <f>SUM(OSRRefH22_10x_0)</f>
        <v>11000</v>
      </c>
      <c r="I72" s="1"/>
      <c r="J72" s="5">
        <f t="shared" ref="J72:J74" si="30">IF(H$12=0,0,H72/H$12)</f>
        <v>0.15336354130359009</v>
      </c>
      <c r="K72" s="1"/>
      <c r="L72" s="1">
        <f t="shared" ref="L72:L74" si="31">+D72-H72</f>
        <v>-2438.6800000000003</v>
      </c>
      <c r="M72" s="1"/>
      <c r="N72" s="5">
        <f t="shared" ref="N72:N74" si="32">IF(H72=0,0,L72/H72)</f>
        <v>-0.22169818181818185</v>
      </c>
      <c r="O72" s="13"/>
      <c r="P72" s="1">
        <f>SUM(OSRRefP22_10x_0)</f>
        <v>72961.88</v>
      </c>
      <c r="Q72" s="1"/>
      <c r="R72" s="5">
        <f t="shared" ref="R72:R74" si="33">IF(P$12=0,0,P72/P$12)</f>
        <v>0.16501955564789417</v>
      </c>
      <c r="S72" s="1"/>
      <c r="T72" s="1">
        <f>SUM(OSRRefT22_10x_0)</f>
        <v>88000</v>
      </c>
      <c r="U72" s="1"/>
      <c r="V72" s="5">
        <f t="shared" ref="V72:V74" si="34">IF(T$12=0,0,T72/T$12)</f>
        <v>0.17348362009058604</v>
      </c>
      <c r="W72" s="1"/>
      <c r="X72" s="1">
        <f t="shared" ref="X72:X74" si="35">+P72-T72</f>
        <v>-15038.119999999995</v>
      </c>
      <c r="Y72" s="1"/>
      <c r="Z72" s="5">
        <f t="shared" ref="Z72:Z74" si="36">IF(T72=0,0,X72/T72)</f>
        <v>-0.17088772727272722</v>
      </c>
    </row>
    <row r="73" spans="1:26" s="24" customFormat="1" hidden="1" outlineLevel="2" x14ac:dyDescent="0.25">
      <c r="A73" s="25"/>
      <c r="B73" s="11" t="str">
        <f>CONCATENATE("          ", "6254", " - ", "ROYALTY &amp; COMMISSIONS")</f>
        <v xml:space="preserve">          6254 - ROYALTY &amp; COMMISSIONS</v>
      </c>
      <c r="C73" s="11"/>
      <c r="D73" s="6"/>
      <c r="E73" s="2"/>
      <c r="F73" s="7">
        <f t="shared" si="29"/>
        <v>0</v>
      </c>
      <c r="G73" s="2"/>
      <c r="H73" s="6">
        <v>11000</v>
      </c>
      <c r="I73" s="2"/>
      <c r="J73" s="7">
        <f t="shared" si="30"/>
        <v>0.15336354130359009</v>
      </c>
      <c r="K73" s="2"/>
      <c r="L73" s="6">
        <f t="shared" si="31"/>
        <v>-11000</v>
      </c>
      <c r="M73" s="2"/>
      <c r="N73" s="7">
        <f t="shared" si="32"/>
        <v>-1</v>
      </c>
      <c r="O73" s="11"/>
      <c r="P73" s="6"/>
      <c r="Q73" s="2"/>
      <c r="R73" s="7">
        <f t="shared" si="33"/>
        <v>0</v>
      </c>
      <c r="S73" s="2"/>
      <c r="T73" s="6">
        <v>88000</v>
      </c>
      <c r="U73" s="2"/>
      <c r="V73" s="7">
        <f t="shared" si="34"/>
        <v>0.17348362009058604</v>
      </c>
      <c r="W73" s="2"/>
      <c r="X73" s="6">
        <f t="shared" si="35"/>
        <v>-88000</v>
      </c>
      <c r="Y73" s="2"/>
      <c r="Z73" s="7">
        <f t="shared" si="36"/>
        <v>-1</v>
      </c>
    </row>
    <row r="74" spans="1:26" s="24" customFormat="1" hidden="1" outlineLevel="2" x14ac:dyDescent="0.25">
      <c r="A74" s="25"/>
      <c r="B74" s="11" t="str">
        <f>CONCATENATE("          ", "6259", " - ", "ROYALTY &amp; COMMISSIONS")</f>
        <v xml:space="preserve">          6259 - ROYALTY &amp; COMMISSIONS</v>
      </c>
      <c r="C74" s="11"/>
      <c r="D74" s="6">
        <v>8561.32</v>
      </c>
      <c r="E74" s="2"/>
      <c r="F74" s="7">
        <f t="shared" si="29"/>
        <v>0.17277874793873033</v>
      </c>
      <c r="G74" s="2"/>
      <c r="H74" s="6"/>
      <c r="I74" s="2"/>
      <c r="J74" s="7">
        <f t="shared" si="30"/>
        <v>0</v>
      </c>
      <c r="K74" s="2"/>
      <c r="L74" s="6">
        <f t="shared" si="31"/>
        <v>8561.32</v>
      </c>
      <c r="M74" s="2"/>
      <c r="N74" s="7">
        <f t="shared" si="32"/>
        <v>0</v>
      </c>
      <c r="O74" s="11"/>
      <c r="P74" s="6">
        <v>72961.88</v>
      </c>
      <c r="Q74" s="2"/>
      <c r="R74" s="7">
        <f t="shared" si="33"/>
        <v>0.16501955564789417</v>
      </c>
      <c r="S74" s="2"/>
      <c r="T74" s="6"/>
      <c r="U74" s="2"/>
      <c r="V74" s="7">
        <f t="shared" si="34"/>
        <v>0</v>
      </c>
      <c r="W74" s="2"/>
      <c r="X74" s="6">
        <f t="shared" si="35"/>
        <v>72961.88</v>
      </c>
      <c r="Y74" s="2"/>
      <c r="Z74" s="7">
        <f t="shared" si="36"/>
        <v>0</v>
      </c>
    </row>
    <row r="75" spans="1:26" s="27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SUM(OSRRefD22_11x_0)</f>
        <v>4945.3900000000003</v>
      </c>
      <c r="E75" s="1"/>
      <c r="F75" s="5">
        <f t="shared" ref="F75:F80" si="37">IF(D$12=0,0,D75/D$12)</f>
        <v>9.9804503542528206E-2</v>
      </c>
      <c r="G75" s="1"/>
      <c r="H75" s="1">
        <f>SUM(OSRRefH22_11x_0)</f>
        <v>6750</v>
      </c>
      <c r="I75" s="1"/>
      <c r="J75" s="5">
        <f t="shared" ref="J75:J80" si="38">IF(H$12=0,0,H75/H$12)</f>
        <v>9.4109445799930289E-2</v>
      </c>
      <c r="K75" s="1"/>
      <c r="L75" s="1">
        <f t="shared" ref="L75:L80" si="39">+D75-H75</f>
        <v>-1804.6099999999997</v>
      </c>
      <c r="M75" s="1"/>
      <c r="N75" s="5">
        <f t="shared" ref="N75:N80" si="40">IF(H75=0,0,L75/H75)</f>
        <v>-0.2673496296296296</v>
      </c>
      <c r="O75" s="13"/>
      <c r="P75" s="1">
        <f>SUM(OSRRefP22_11x_0)</f>
        <v>29361.47</v>
      </c>
      <c r="Q75" s="1"/>
      <c r="R75" s="5">
        <f t="shared" ref="R75:R80" si="41">IF(P$12=0,0,P75/P$12)</f>
        <v>6.6407509408597687E-2</v>
      </c>
      <c r="S75" s="1"/>
      <c r="T75" s="1">
        <f>SUM(OSRRefT22_11x_0)</f>
        <v>59700</v>
      </c>
      <c r="U75" s="1"/>
      <c r="V75" s="5">
        <f t="shared" ref="V75:V80" si="42">IF(T$12=0,0,T75/T$12)</f>
        <v>0.11769286499327258</v>
      </c>
      <c r="W75" s="1"/>
      <c r="X75" s="1">
        <f t="shared" ref="X75:X80" si="43">+P75-T75</f>
        <v>-30338.53</v>
      </c>
      <c r="Y75" s="1"/>
      <c r="Z75" s="5">
        <f t="shared" ref="Z75:Z80" si="44">IF(T75=0,0,X75/T75)</f>
        <v>-0.50818308207705187</v>
      </c>
    </row>
    <row r="76" spans="1:26" s="24" customFormat="1" hidden="1" outlineLevel="2" x14ac:dyDescent="0.25">
      <c r="A76" s="25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37"/>
        <v>0</v>
      </c>
      <c r="G76" s="2"/>
      <c r="H76" s="6"/>
      <c r="I76" s="2"/>
      <c r="J76" s="7">
        <f t="shared" si="38"/>
        <v>0</v>
      </c>
      <c r="K76" s="2"/>
      <c r="L76" s="6">
        <f t="shared" si="39"/>
        <v>0</v>
      </c>
      <c r="M76" s="2"/>
      <c r="N76" s="7">
        <f t="shared" si="40"/>
        <v>0</v>
      </c>
      <c r="O76" s="11"/>
      <c r="P76" s="6">
        <v>1017.27</v>
      </c>
      <c r="Q76" s="2"/>
      <c r="R76" s="7">
        <f t="shared" si="41"/>
        <v>2.3007828659833505E-3</v>
      </c>
      <c r="S76" s="2"/>
      <c r="T76" s="6"/>
      <c r="U76" s="2"/>
      <c r="V76" s="7">
        <f t="shared" si="42"/>
        <v>0</v>
      </c>
      <c r="W76" s="2"/>
      <c r="X76" s="6">
        <f t="shared" si="43"/>
        <v>1017.27</v>
      </c>
      <c r="Y76" s="2"/>
      <c r="Z76" s="7">
        <f t="shared" si="44"/>
        <v>0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6">
        <v>10.039999999999999</v>
      </c>
      <c r="E77" s="2"/>
      <c r="F77" s="7">
        <f t="shared" si="37"/>
        <v>2.0262046381923026E-4</v>
      </c>
      <c r="G77" s="2"/>
      <c r="H77" s="6"/>
      <c r="I77" s="2"/>
      <c r="J77" s="7">
        <f t="shared" si="38"/>
        <v>0</v>
      </c>
      <c r="K77" s="2"/>
      <c r="L77" s="6">
        <f t="shared" si="39"/>
        <v>10.039999999999999</v>
      </c>
      <c r="M77" s="2"/>
      <c r="N77" s="7">
        <f t="shared" si="40"/>
        <v>0</v>
      </c>
      <c r="O77" s="11"/>
      <c r="P77" s="6">
        <v>1578.06</v>
      </c>
      <c r="Q77" s="2"/>
      <c r="R77" s="7">
        <f t="shared" si="41"/>
        <v>3.5691344574141437E-3</v>
      </c>
      <c r="S77" s="2"/>
      <c r="T77" s="6"/>
      <c r="U77" s="2"/>
      <c r="V77" s="7">
        <f t="shared" si="42"/>
        <v>0</v>
      </c>
      <c r="W77" s="2"/>
      <c r="X77" s="6">
        <f t="shared" si="43"/>
        <v>1578.06</v>
      </c>
      <c r="Y77" s="2"/>
      <c r="Z77" s="7">
        <f t="shared" si="44"/>
        <v>0</v>
      </c>
    </row>
    <row r="78" spans="1:26" s="24" customFormat="1" hidden="1" outlineLevel="2" x14ac:dyDescent="0.25">
      <c r="A78" s="25"/>
      <c r="B78" s="11" t="str">
        <f>CONCATENATE("          ", "6243", " - ", "PAPER SUPPLIES")</f>
        <v xml:space="preserve">          6243 - PAPER SUPPLIES</v>
      </c>
      <c r="C78" s="11"/>
      <c r="D78" s="6">
        <v>-285.27999999999997</v>
      </c>
      <c r="E78" s="2"/>
      <c r="F78" s="7">
        <f t="shared" si="37"/>
        <v>-5.7573272827041834E-3</v>
      </c>
      <c r="G78" s="2"/>
      <c r="H78" s="6">
        <v>250</v>
      </c>
      <c r="I78" s="2"/>
      <c r="J78" s="7">
        <f t="shared" si="38"/>
        <v>3.4855350296270479E-3</v>
      </c>
      <c r="K78" s="2"/>
      <c r="L78" s="6">
        <f t="shared" si="39"/>
        <v>-535.28</v>
      </c>
      <c r="M78" s="2"/>
      <c r="N78" s="7">
        <f t="shared" si="40"/>
        <v>-2.1411199999999999</v>
      </c>
      <c r="O78" s="11"/>
      <c r="P78" s="6">
        <v>11567.55</v>
      </c>
      <c r="Q78" s="2"/>
      <c r="R78" s="7">
        <f t="shared" si="41"/>
        <v>2.6162592862667436E-2</v>
      </c>
      <c r="S78" s="2"/>
      <c r="T78" s="6">
        <v>2000</v>
      </c>
      <c r="U78" s="2"/>
      <c r="V78" s="7">
        <f t="shared" si="42"/>
        <v>3.9428095475133196E-3</v>
      </c>
      <c r="W78" s="2"/>
      <c r="X78" s="6">
        <f t="shared" si="43"/>
        <v>9567.5499999999993</v>
      </c>
      <c r="Y78" s="2"/>
      <c r="Z78" s="7">
        <f t="shared" si="44"/>
        <v>4.7837749999999994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>
        <v>3266.4</v>
      </c>
      <c r="E79" s="2"/>
      <c r="F79" s="7">
        <f t="shared" si="37"/>
        <v>6.5920267232981444E-2</v>
      </c>
      <c r="G79" s="2"/>
      <c r="H79" s="6"/>
      <c r="I79" s="2"/>
      <c r="J79" s="7">
        <f t="shared" si="38"/>
        <v>0</v>
      </c>
      <c r="K79" s="2"/>
      <c r="L79" s="6">
        <f t="shared" si="39"/>
        <v>3266.4</v>
      </c>
      <c r="M79" s="2"/>
      <c r="N79" s="7">
        <f t="shared" si="40"/>
        <v>0</v>
      </c>
      <c r="O79" s="11"/>
      <c r="P79" s="6">
        <v>5273.67</v>
      </c>
      <c r="Q79" s="2"/>
      <c r="R79" s="7">
        <f t="shared" si="41"/>
        <v>1.1927580265662426E-2</v>
      </c>
      <c r="S79" s="2"/>
      <c r="T79" s="6"/>
      <c r="U79" s="2"/>
      <c r="V79" s="7">
        <f t="shared" si="42"/>
        <v>0</v>
      </c>
      <c r="W79" s="2"/>
      <c r="X79" s="6">
        <f t="shared" si="43"/>
        <v>5273.67</v>
      </c>
      <c r="Y79" s="2"/>
      <c r="Z79" s="7">
        <f t="shared" si="44"/>
        <v>0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6">
        <v>1954.23</v>
      </c>
      <c r="E80" s="2"/>
      <c r="F80" s="7">
        <f t="shared" si="37"/>
        <v>3.9438943128431714E-2</v>
      </c>
      <c r="G80" s="2"/>
      <c r="H80" s="6">
        <v>6500</v>
      </c>
      <c r="I80" s="2"/>
      <c r="J80" s="7">
        <f t="shared" si="38"/>
        <v>9.062391077030324E-2</v>
      </c>
      <c r="K80" s="2"/>
      <c r="L80" s="6">
        <f t="shared" si="39"/>
        <v>-4545.7700000000004</v>
      </c>
      <c r="M80" s="2"/>
      <c r="N80" s="7">
        <f t="shared" si="40"/>
        <v>-0.69934923076923083</v>
      </c>
      <c r="O80" s="11"/>
      <c r="P80" s="6">
        <v>9924.92</v>
      </c>
      <c r="Q80" s="2"/>
      <c r="R80" s="7">
        <f t="shared" si="41"/>
        <v>2.2447418956870323E-2</v>
      </c>
      <c r="S80" s="2"/>
      <c r="T80" s="6">
        <v>57700</v>
      </c>
      <c r="U80" s="2"/>
      <c r="V80" s="7">
        <f t="shared" si="42"/>
        <v>0.11375005544575927</v>
      </c>
      <c r="W80" s="2"/>
      <c r="X80" s="6">
        <f t="shared" si="43"/>
        <v>-47775.08</v>
      </c>
      <c r="Y80" s="2"/>
      <c r="Z80" s="7">
        <f t="shared" si="44"/>
        <v>-0.82799098786828429</v>
      </c>
    </row>
    <row r="81" spans="1:26" s="27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SUM(OSRRefD22_12x_0)</f>
        <v>152.65</v>
      </c>
      <c r="E81" s="1"/>
      <c r="F81" s="5">
        <f t="shared" ref="F81:F83" si="45">IF(D$12=0,0,D81/D$12)</f>
        <v>3.0806786655383964E-3</v>
      </c>
      <c r="G81" s="1"/>
      <c r="H81" s="1">
        <f>SUM(OSRRefH22_12x_0)</f>
        <v>200</v>
      </c>
      <c r="I81" s="1"/>
      <c r="J81" s="5">
        <f t="shared" ref="J81:J83" si="46">IF(H$12=0,0,H81/H$12)</f>
        <v>2.7884280237016382E-3</v>
      </c>
      <c r="K81" s="1"/>
      <c r="L81" s="1">
        <f t="shared" ref="L81:L83" si="47">+D81-H81</f>
        <v>-47.349999999999994</v>
      </c>
      <c r="M81" s="1"/>
      <c r="N81" s="5">
        <f t="shared" ref="N81:N83" si="48">IF(H81=0,0,L81/H81)</f>
        <v>-0.23674999999999996</v>
      </c>
      <c r="O81" s="13"/>
      <c r="P81" s="1">
        <f>SUM(OSRRefP22_12x_0)</f>
        <v>1119</v>
      </c>
      <c r="Q81" s="1"/>
      <c r="R81" s="5">
        <f t="shared" ref="R81:R83" si="49">IF(P$12=0,0,P81/P$12)</f>
        <v>2.5308679377504194E-3</v>
      </c>
      <c r="S81" s="1"/>
      <c r="T81" s="1">
        <f>SUM(OSRRefT22_12x_0)</f>
        <v>1600</v>
      </c>
      <c r="U81" s="1"/>
      <c r="V81" s="5">
        <f t="shared" ref="V81:V83" si="50">IF(T$12=0,0,T81/T$12)</f>
        <v>3.1542476380106554E-3</v>
      </c>
      <c r="W81" s="1"/>
      <c r="X81" s="1">
        <f t="shared" ref="X81:X83" si="51">+P81-T81</f>
        <v>-481</v>
      </c>
      <c r="Y81" s="1"/>
      <c r="Z81" s="5">
        <f t="shared" ref="Z81:Z83" si="52">IF(T81=0,0,X81/T81)</f>
        <v>-0.30062499999999998</v>
      </c>
    </row>
    <row r="82" spans="1:26" s="24" customFormat="1" hidden="1" outlineLevel="2" x14ac:dyDescent="0.25">
      <c r="A82" s="25"/>
      <c r="B82" s="11" t="str">
        <f>CONCATENATE("          ", "6303", " - ", "DATA PHONE LINES")</f>
        <v xml:space="preserve">          6303 - DATA PHONE LINES</v>
      </c>
      <c r="C82" s="11"/>
      <c r="D82" s="6"/>
      <c r="E82" s="2"/>
      <c r="F82" s="7">
        <f t="shared" si="45"/>
        <v>0</v>
      </c>
      <c r="G82" s="2"/>
      <c r="H82" s="6">
        <v>200</v>
      </c>
      <c r="I82" s="2"/>
      <c r="J82" s="7">
        <f t="shared" si="46"/>
        <v>2.7884280237016382E-3</v>
      </c>
      <c r="K82" s="2"/>
      <c r="L82" s="6">
        <f t="shared" si="47"/>
        <v>-200</v>
      </c>
      <c r="M82" s="2"/>
      <c r="N82" s="7">
        <f t="shared" si="48"/>
        <v>-1</v>
      </c>
      <c r="O82" s="11"/>
      <c r="P82" s="6"/>
      <c r="Q82" s="2"/>
      <c r="R82" s="7">
        <f t="shared" si="49"/>
        <v>0</v>
      </c>
      <c r="S82" s="2"/>
      <c r="T82" s="6">
        <v>1600</v>
      </c>
      <c r="U82" s="2"/>
      <c r="V82" s="7">
        <f t="shared" si="50"/>
        <v>3.1542476380106554E-3</v>
      </c>
      <c r="W82" s="2"/>
      <c r="X82" s="6">
        <f t="shared" si="51"/>
        <v>-1600</v>
      </c>
      <c r="Y82" s="2"/>
      <c r="Z82" s="7">
        <f t="shared" si="52"/>
        <v>-1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152.65</v>
      </c>
      <c r="E83" s="2"/>
      <c r="F83" s="7">
        <f t="shared" si="45"/>
        <v>3.0806786655383964E-3</v>
      </c>
      <c r="G83" s="2"/>
      <c r="H83" s="6"/>
      <c r="I83" s="2"/>
      <c r="J83" s="7">
        <f t="shared" si="46"/>
        <v>0</v>
      </c>
      <c r="K83" s="2"/>
      <c r="L83" s="6">
        <f t="shared" si="47"/>
        <v>152.65</v>
      </c>
      <c r="M83" s="2"/>
      <c r="N83" s="7">
        <f t="shared" si="48"/>
        <v>0</v>
      </c>
      <c r="O83" s="11"/>
      <c r="P83" s="6">
        <v>1119</v>
      </c>
      <c r="Q83" s="2"/>
      <c r="R83" s="7">
        <f t="shared" si="49"/>
        <v>2.5308679377504194E-3</v>
      </c>
      <c r="S83" s="2"/>
      <c r="T83" s="6"/>
      <c r="U83" s="2"/>
      <c r="V83" s="7">
        <f t="shared" si="50"/>
        <v>0</v>
      </c>
      <c r="W83" s="2"/>
      <c r="X83" s="6">
        <f t="shared" si="51"/>
        <v>1119</v>
      </c>
      <c r="Y83" s="2"/>
      <c r="Z83" s="7">
        <f t="shared" si="52"/>
        <v>0</v>
      </c>
    </row>
    <row r="84" spans="1:26" s="27" customFormat="1" outlineLevel="1" collapsed="1" x14ac:dyDescent="0.25">
      <c r="A84" s="26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SUM(OSRRefD22_13x_0)</f>
        <v>0</v>
      </c>
      <c r="E84" s="1"/>
      <c r="F84" s="5">
        <f t="shared" ref="F84:F85" si="53">IF(D$12=0,0,D84/D$12)</f>
        <v>0</v>
      </c>
      <c r="G84" s="1"/>
      <c r="H84" s="1">
        <f>SUM(OSRRefH22_13x_0)</f>
        <v>0</v>
      </c>
      <c r="I84" s="1"/>
      <c r="J84" s="5">
        <f t="shared" ref="J84:J85" si="54">IF(H$12=0,0,H84/H$12)</f>
        <v>0</v>
      </c>
      <c r="K84" s="1"/>
      <c r="L84" s="1">
        <f t="shared" ref="L84:L85" si="55">+D84-H84</f>
        <v>0</v>
      </c>
      <c r="M84" s="1"/>
      <c r="N84" s="5">
        <f t="shared" ref="N84:N85" si="56">IF(H84=0,0,L84/H84)</f>
        <v>0</v>
      </c>
      <c r="O84" s="13"/>
      <c r="P84" s="1">
        <f>SUM(OSRRefP22_13x_0)</f>
        <v>97.71</v>
      </c>
      <c r="Q84" s="1"/>
      <c r="R84" s="5">
        <f t="shared" ref="R84:R85" si="57">IF(P$12=0,0,P84/P$12)</f>
        <v>2.209929456636224E-4</v>
      </c>
      <c r="S84" s="1"/>
      <c r="T84" s="1">
        <f>SUM(OSRRefT22_13x_0)</f>
        <v>0</v>
      </c>
      <c r="U84" s="1"/>
      <c r="V84" s="5">
        <f t="shared" ref="V84:V85" si="58">IF(T$12=0,0,T84/T$12)</f>
        <v>0</v>
      </c>
      <c r="W84" s="1"/>
      <c r="X84" s="1">
        <f t="shared" ref="X84:X85" si="59">+P84-T84</f>
        <v>97.71</v>
      </c>
      <c r="Y84" s="1"/>
      <c r="Z84" s="5">
        <f t="shared" ref="Z84:Z85" si="60">IF(T84=0,0,X84/T84)</f>
        <v>0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53"/>
        <v>0</v>
      </c>
      <c r="G85" s="2"/>
      <c r="H85" s="6"/>
      <c r="I85" s="2"/>
      <c r="J85" s="7">
        <f t="shared" si="54"/>
        <v>0</v>
      </c>
      <c r="K85" s="2"/>
      <c r="L85" s="6">
        <f t="shared" si="55"/>
        <v>0</v>
      </c>
      <c r="M85" s="2"/>
      <c r="N85" s="7">
        <f t="shared" si="56"/>
        <v>0</v>
      </c>
      <c r="O85" s="11"/>
      <c r="P85" s="6">
        <v>97.71</v>
      </c>
      <c r="Q85" s="2"/>
      <c r="R85" s="7">
        <f t="shared" si="57"/>
        <v>2.209929456636224E-4</v>
      </c>
      <c r="S85" s="2"/>
      <c r="T85" s="6"/>
      <c r="U85" s="2"/>
      <c r="V85" s="7">
        <f t="shared" si="58"/>
        <v>0</v>
      </c>
      <c r="W85" s="2"/>
      <c r="X85" s="6">
        <f t="shared" si="59"/>
        <v>97.71</v>
      </c>
      <c r="Y85" s="2"/>
      <c r="Z85" s="7">
        <f t="shared" si="60"/>
        <v>0</v>
      </c>
    </row>
    <row r="86" spans="1:26" s="53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9" t="s">
        <v>0</v>
      </c>
      <c r="C87" s="10"/>
      <c r="D87" s="4">
        <f>SUM(OSRRefD25x_0)</f>
        <v>13269</v>
      </c>
      <c r="E87" s="4"/>
      <c r="F87" s="12">
        <f t="shared" ref="F87:F89" si="61">IF(D$12=0,0,D87/D$12)</f>
        <v>0.26778594964316399</v>
      </c>
      <c r="G87" s="4"/>
      <c r="H87" s="4">
        <f>SUM(OSRRefH25x_0)</f>
        <v>12250</v>
      </c>
      <c r="I87" s="4"/>
      <c r="J87" s="12">
        <f t="shared" ref="J87:J89" si="62">IF(H$12=0,0,H87/H$12)</f>
        <v>0.17079121645172535</v>
      </c>
      <c r="K87" s="4"/>
      <c r="L87" s="4">
        <f t="shared" ref="L87:L89" si="63">+D87-H87</f>
        <v>1019</v>
      </c>
      <c r="M87" s="4"/>
      <c r="N87" s="12">
        <f t="shared" ref="N87:N89" si="64">IF(H87=0,0,L87/H87)</f>
        <v>8.3183673469387751E-2</v>
      </c>
      <c r="O87" s="10"/>
      <c r="P87" s="4">
        <f>SUM(OSRRefP25x_0)</f>
        <v>106152</v>
      </c>
      <c r="Q87" s="4"/>
      <c r="R87" s="12">
        <f t="shared" ref="R87:R89" si="65">IF(P$12=0,0,P87/P$12)</f>
        <v>0.24008641048086016</v>
      </c>
      <c r="S87" s="4"/>
      <c r="T87" s="4">
        <f>SUM(OSRRefT25x_0)</f>
        <v>98000</v>
      </c>
      <c r="U87" s="4"/>
      <c r="V87" s="12">
        <f t="shared" ref="V87:V89" si="66">IF(T$12=0,0,T87/T$12)</f>
        <v>0.19319766782815265</v>
      </c>
      <c r="W87" s="4"/>
      <c r="X87" s="4">
        <f t="shared" ref="X87:X89" si="67">+P87-T87</f>
        <v>8152</v>
      </c>
      <c r="Y87" s="4"/>
      <c r="Z87" s="12">
        <f t="shared" ref="Z87:Z89" si="68">IF(T87=0,0,X87/T87)</f>
        <v>8.3183673469387751E-2</v>
      </c>
    </row>
    <row r="88" spans="1:26" s="24" customFormat="1" hidden="1" outlineLevel="1" x14ac:dyDescent="0.25">
      <c r="A88" s="44"/>
      <c r="B88" s="11" t="str">
        <f>CONCATENATE("          ", "9150", " - ", "MISC. INCOME")</f>
        <v xml:space="preserve">          9150 - MISC. INCOME</v>
      </c>
      <c r="C88" s="11"/>
      <c r="D88" s="2">
        <f>--13269</f>
        <v>13269</v>
      </c>
      <c r="E88" s="2"/>
      <c r="F88" s="19">
        <f t="shared" si="61"/>
        <v>0.26778594964316399</v>
      </c>
      <c r="G88" s="2"/>
      <c r="H88" s="2"/>
      <c r="I88" s="2"/>
      <c r="J88" s="19">
        <f t="shared" si="62"/>
        <v>0</v>
      </c>
      <c r="K88" s="2"/>
      <c r="L88" s="2">
        <f t="shared" si="63"/>
        <v>13269</v>
      </c>
      <c r="M88" s="2"/>
      <c r="N88" s="19">
        <f t="shared" si="64"/>
        <v>0</v>
      </c>
      <c r="O88" s="11"/>
      <c r="P88" s="2">
        <f>--106152</f>
        <v>106152</v>
      </c>
      <c r="Q88" s="2"/>
      <c r="R88" s="19">
        <f t="shared" si="65"/>
        <v>0.24008641048086016</v>
      </c>
      <c r="S88" s="2"/>
      <c r="T88" s="2">
        <v>12250</v>
      </c>
      <c r="U88" s="2"/>
      <c r="V88" s="19">
        <f t="shared" si="66"/>
        <v>2.4149708478519081E-2</v>
      </c>
      <c r="W88" s="2"/>
      <c r="X88" s="2">
        <f t="shared" si="67"/>
        <v>93902</v>
      </c>
      <c r="Y88" s="2"/>
      <c r="Z88" s="19">
        <f t="shared" si="68"/>
        <v>7.6654693877551017</v>
      </c>
    </row>
    <row r="89" spans="1:26" s="24" customFormat="1" hidden="1" outlineLevel="1" x14ac:dyDescent="0.25">
      <c r="A89" s="44"/>
      <c r="B89" s="11" t="str">
        <f>CONCATENATE("          ", "9151", " - ", "MISC. INCOME")</f>
        <v xml:space="preserve">          9151 - MISC. INCOME</v>
      </c>
      <c r="C89" s="11"/>
      <c r="D89" s="2">
        <f>0</f>
        <v>0</v>
      </c>
      <c r="E89" s="2"/>
      <c r="F89" s="19">
        <f t="shared" si="61"/>
        <v>0</v>
      </c>
      <c r="G89" s="2"/>
      <c r="H89" s="2">
        <v>12250</v>
      </c>
      <c r="I89" s="2"/>
      <c r="J89" s="19">
        <f t="shared" si="62"/>
        <v>0.17079121645172535</v>
      </c>
      <c r="K89" s="2"/>
      <c r="L89" s="2">
        <f t="shared" si="63"/>
        <v>-12250</v>
      </c>
      <c r="M89" s="2"/>
      <c r="N89" s="19">
        <f t="shared" si="64"/>
        <v>-1</v>
      </c>
      <c r="O89" s="11"/>
      <c r="P89" s="2">
        <f>0</f>
        <v>0</v>
      </c>
      <c r="Q89" s="2"/>
      <c r="R89" s="19">
        <f t="shared" si="65"/>
        <v>0</v>
      </c>
      <c r="S89" s="2"/>
      <c r="T89" s="2">
        <v>85750</v>
      </c>
      <c r="U89" s="2"/>
      <c r="V89" s="19">
        <f t="shared" si="66"/>
        <v>0.16904795934963357</v>
      </c>
      <c r="W89" s="2"/>
      <c r="X89" s="2">
        <f t="shared" si="67"/>
        <v>-85750</v>
      </c>
      <c r="Y89" s="2"/>
      <c r="Z89" s="19">
        <f t="shared" si="68"/>
        <v>-1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1">
        <f>+D31-D33+D87</f>
        <v>19087.409999999982</v>
      </c>
      <c r="E91" s="14"/>
      <c r="F91" s="22">
        <f>IF(D$12=0,0,D91/D$12)</f>
        <v>0.38520915013025997</v>
      </c>
      <c r="G91" s="14"/>
      <c r="H91" s="21">
        <f>+H31-H33+H87</f>
        <v>32858.03850445975</v>
      </c>
      <c r="I91" s="14"/>
      <c r="J91" s="22">
        <f>IF(H$12=0,0,H91/H$12)</f>
        <v>0.45811137684851516</v>
      </c>
      <c r="K91" s="15"/>
      <c r="L91" s="21">
        <f>+D91-H91</f>
        <v>-13770.628504459768</v>
      </c>
      <c r="M91" s="15"/>
      <c r="N91" s="22">
        <f>IF(H91=0,0,L91/H91)</f>
        <v>-0.41909466088764585</v>
      </c>
      <c r="O91" s="29"/>
      <c r="P91" s="21">
        <f>+P31-P33+P87</f>
        <v>175999.5</v>
      </c>
      <c r="Q91" s="14"/>
      <c r="R91" s="22">
        <f>IF(P$12=0,0,P91/P$12)</f>
        <v>0.39806210152824389</v>
      </c>
      <c r="S91" s="14"/>
      <c r="T91" s="21">
        <f>+T31-T33+T87</f>
        <v>182108.92831462459</v>
      </c>
      <c r="U91" s="14"/>
      <c r="V91" s="22">
        <f>IF(T$12=0,0,T91/T$12)</f>
        <v>0.35901041062316025</v>
      </c>
      <c r="W91" s="15"/>
      <c r="X91" s="21">
        <f>+P91-T91</f>
        <v>-6109.4283146245871</v>
      </c>
      <c r="Y91" s="15"/>
      <c r="Z91" s="22">
        <f>IF(T91=0,0,X91/T91)</f>
        <v>-3.3548208597820615E-2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4121.3100000000004</v>
      </c>
      <c r="E93" s="4"/>
      <c r="F93" s="12">
        <f>IF(D$12=0,0,D93/D$12)</f>
        <v>8.3173480452473303E-2</v>
      </c>
      <c r="G93" s="4"/>
      <c r="H93" s="4">
        <v>7374</v>
      </c>
      <c r="I93" s="4"/>
      <c r="J93" s="12">
        <f>IF(H$12=0,0,H93/H$12)</f>
        <v>0.1028093412338794</v>
      </c>
      <c r="K93" s="4"/>
      <c r="L93" s="4">
        <f>+D93-H93</f>
        <v>-3252.6899999999996</v>
      </c>
      <c r="M93" s="4"/>
      <c r="N93" s="12">
        <f>IF(H93=0,0,L93/H93)</f>
        <v>-0.44110252237591535</v>
      </c>
      <c r="O93" s="10"/>
      <c r="P93" s="4">
        <v>45062.89</v>
      </c>
      <c r="Q93" s="4"/>
      <c r="R93" s="12">
        <f>IF(P$12=0,0,P93/P$12)</f>
        <v>0.10191977076262199</v>
      </c>
      <c r="S93" s="4"/>
      <c r="T93" s="4">
        <v>60996.999999999993</v>
      </c>
      <c r="U93" s="4"/>
      <c r="V93" s="12">
        <f>IF(T$12=0,0,T93/T$12)</f>
        <v>0.12024977698483495</v>
      </c>
      <c r="W93" s="4"/>
      <c r="X93" s="4">
        <f>+P93-T93</f>
        <v>-15934.109999999993</v>
      </c>
      <c r="Y93" s="4"/>
      <c r="Z93" s="12">
        <f>IF(T93=0,0,X93/T93)</f>
        <v>-0.26122776529993269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1">
        <f>+D91-D93</f>
        <v>14966.09999999998</v>
      </c>
      <c r="E95" s="14"/>
      <c r="F95" s="32">
        <f>IF(D$12=0,0,D95/D$12)</f>
        <v>0.30203566967778667</v>
      </c>
      <c r="G95" s="14"/>
      <c r="H95" s="31">
        <f>+H91-H93</f>
        <v>25484.03850445975</v>
      </c>
      <c r="I95" s="14"/>
      <c r="J95" s="32">
        <f>IF(H$12=0,0,H95/H$12)</f>
        <v>0.35530203561463575</v>
      </c>
      <c r="K95" s="15"/>
      <c r="L95" s="31">
        <f>D95-H95</f>
        <v>-10517.938504459769</v>
      </c>
      <c r="M95" s="15"/>
      <c r="N95" s="32">
        <f>IF(H95=0,0,L95/H95)</f>
        <v>-0.41272651909622221</v>
      </c>
      <c r="O95" s="29"/>
      <c r="P95" s="31">
        <f>+P91-P93</f>
        <v>130936.61</v>
      </c>
      <c r="Q95" s="14"/>
      <c r="R95" s="32">
        <f>IF(P$12=0,0,P95/P$12)</f>
        <v>0.29614233076562191</v>
      </c>
      <c r="S95" s="14"/>
      <c r="T95" s="31">
        <f>+T91-T93</f>
        <v>121111.92831462459</v>
      </c>
      <c r="U95" s="14"/>
      <c r="V95" s="32">
        <f>IF(T$12=0,0,T95/T$12)</f>
        <v>0.23876063363832525</v>
      </c>
      <c r="W95" s="15"/>
      <c r="X95" s="31">
        <f>P95-T95</f>
        <v>9824.6816853754135</v>
      </c>
      <c r="Y95" s="15"/>
      <c r="Z95" s="32">
        <f>IF(T95=0,0,X95/T95)</f>
        <v>8.1120677559132354E-2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3">
        <f>SUM(D95:D97)</f>
        <v>14966.09999999998</v>
      </c>
      <c r="E98" s="14"/>
      <c r="F98" s="30">
        <f>IF(D$12=0,0,D98/D$12)</f>
        <v>0.30203566967778667</v>
      </c>
      <c r="G98" s="14"/>
      <c r="H98" s="33">
        <f>SUM(H95:H97)</f>
        <v>25484.03850445975</v>
      </c>
      <c r="I98" s="14"/>
      <c r="J98" s="30">
        <f>IF(H$12=0,0,H98/H$12)</f>
        <v>0.35530203561463575</v>
      </c>
      <c r="K98" s="15"/>
      <c r="L98" s="33">
        <f>+D98-H98</f>
        <v>-10517.938504459769</v>
      </c>
      <c r="M98" s="15"/>
      <c r="N98" s="30">
        <f>IF(H98=0,0,L98/H98)</f>
        <v>-0.41272651909622221</v>
      </c>
      <c r="O98" s="29"/>
      <c r="P98" s="33">
        <f>SUM(P95:P97)</f>
        <v>130936.61</v>
      </c>
      <c r="Q98" s="14"/>
      <c r="R98" s="30">
        <f>IF(P$12=0,0,P98/P$12)</f>
        <v>0.29614233076562191</v>
      </c>
      <c r="S98" s="14"/>
      <c r="T98" s="33">
        <f>SUM(T95:T97)</f>
        <v>121111.92831462459</v>
      </c>
      <c r="U98" s="14"/>
      <c r="V98" s="30">
        <f>IF(T$12=0,0,T98/T$12)</f>
        <v>0.23876063363832525</v>
      </c>
      <c r="W98" s="15"/>
      <c r="X98" s="33">
        <f>+P98-T98</f>
        <v>9824.6816853754135</v>
      </c>
      <c r="Y98" s="15"/>
      <c r="Z98" s="30">
        <f>IF(T98=0,0,X98/T98)</f>
        <v>8.1120677559132354E-2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9">
        <v>43908.494777511572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3" t="s">
        <v>314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7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","320", " - ", "Customer Service (old)")</f>
        <v>Department 320 - Customer Service (old)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7" si="0">+D12-H12</f>
        <v>0</v>
      </c>
      <c r="M12" s="4"/>
      <c r="N12" s="12">
        <f t="shared" ref="N12:N17" si="1">IF(H12=0,0,L12/H12)</f>
        <v>0</v>
      </c>
      <c r="O12" s="10"/>
      <c r="P12" s="4">
        <f>SUM(OSRRefP13x_0)</f>
        <v>7559.83</v>
      </c>
      <c r="Q12" s="4"/>
      <c r="R12" s="12"/>
      <c r="S12" s="4"/>
      <c r="T12" s="4">
        <f>SUM(OSRRefT13x_0)</f>
        <v>11500</v>
      </c>
      <c r="U12" s="4"/>
      <c r="V12" s="12"/>
      <c r="W12" s="4"/>
      <c r="X12" s="4">
        <f t="shared" ref="X12:X17" si="2">+P12-T12</f>
        <v>-3940.17</v>
      </c>
      <c r="Y12" s="4"/>
      <c r="Z12" s="12">
        <f t="shared" ref="Z12:Z17" si="3">IF(T12=0,0,X12/T12)</f>
        <v>-0.34262347826086959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4000</v>
      </c>
      <c r="U13" s="2"/>
      <c r="V13" s="19"/>
      <c r="W13" s="2"/>
      <c r="X13" s="2">
        <f t="shared" si="2"/>
        <v>-4000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--7699.32</f>
        <v>7699.32</v>
      </c>
      <c r="Q14" s="2"/>
      <c r="R14" s="19"/>
      <c r="S14" s="2"/>
      <c r="T14" s="2"/>
      <c r="U14" s="2"/>
      <c r="V14" s="19"/>
      <c r="W14" s="2"/>
      <c r="X14" s="2">
        <f t="shared" si="2"/>
        <v>7699.32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--279.56</f>
        <v>279.56</v>
      </c>
      <c r="Q15" s="2"/>
      <c r="R15" s="19"/>
      <c r="S15" s="2"/>
      <c r="T15" s="2"/>
      <c r="U15" s="2"/>
      <c r="V15" s="19"/>
      <c r="W15" s="2"/>
      <c r="X15" s="2">
        <f t="shared" si="2"/>
        <v>279.56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v>7500</v>
      </c>
      <c r="U16" s="2"/>
      <c r="V16" s="19"/>
      <c r="W16" s="2"/>
      <c r="X16" s="2">
        <f t="shared" si="2"/>
        <v>-7500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-419.05</f>
        <v>-419.05</v>
      </c>
      <c r="Q17" s="2"/>
      <c r="R17" s="19"/>
      <c r="S17" s="2"/>
      <c r="T17" s="2"/>
      <c r="U17" s="2"/>
      <c r="V17" s="19"/>
      <c r="W17" s="2"/>
      <c r="X17" s="2">
        <f t="shared" si="2"/>
        <v>-419.05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-6.0000000000002274E-2</v>
      </c>
      <c r="E19" s="4"/>
      <c r="F19" s="12">
        <f t="shared" ref="F19:F25" si="5">IF(D$12=0,0,D19/D$12)</f>
        <v>0</v>
      </c>
      <c r="G19" s="4"/>
      <c r="H19" s="4">
        <f>SUM(OSRRefH16x_0)</f>
        <v>0</v>
      </c>
      <c r="I19" s="4"/>
      <c r="J19" s="12">
        <f t="shared" ref="J19:J25" si="6">IF(H$12=0,0,H19/H$12)</f>
        <v>0</v>
      </c>
      <c r="K19" s="4"/>
      <c r="L19" s="4">
        <f t="shared" ref="L19:L25" si="7">+D19-H19</f>
        <v>-6.0000000000002274E-2</v>
      </c>
      <c r="M19" s="4"/>
      <c r="N19" s="12">
        <f t="shared" ref="N19:N25" si="8">IF(H19=0,0,L19/H19)</f>
        <v>0</v>
      </c>
      <c r="O19" s="10"/>
      <c r="P19" s="4">
        <f>SUM(OSRRefP16x_0)</f>
        <v>3803.78</v>
      </c>
      <c r="Q19" s="4"/>
      <c r="R19" s="12">
        <f t="shared" ref="R19:R25" si="9">IF(P$12=0,0,P19/P$12)</f>
        <v>0.50315681701837212</v>
      </c>
      <c r="S19" s="4"/>
      <c r="T19" s="4">
        <f>SUM(OSRRefT16x_0)</f>
        <v>4611.5</v>
      </c>
      <c r="U19" s="4"/>
      <c r="V19" s="12">
        <f t="shared" ref="V19:V25" si="10">IF(T$12=0,0,T19/T$12)</f>
        <v>0.40100000000000002</v>
      </c>
      <c r="W19" s="4"/>
      <c r="X19" s="4">
        <f t="shared" ref="X19:X25" si="11">+P19-T19</f>
        <v>-807.7199999999998</v>
      </c>
      <c r="Y19" s="4"/>
      <c r="Z19" s="12">
        <f t="shared" ref="Z19:Z25" si="12">IF(T19=0,0,X19/T19)</f>
        <v>-0.17515342079583646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/>
      <c r="Q20" s="2"/>
      <c r="R20" s="19">
        <f t="shared" si="9"/>
        <v>0</v>
      </c>
      <c r="S20" s="2"/>
      <c r="T20" s="2">
        <v>4611.5</v>
      </c>
      <c r="U20" s="2"/>
      <c r="V20" s="19">
        <f t="shared" si="10"/>
        <v>0.40100000000000002</v>
      </c>
      <c r="W20" s="2"/>
      <c r="X20" s="2">
        <f t="shared" si="11"/>
        <v>-4611.5</v>
      </c>
      <c r="Y20" s="2"/>
      <c r="Z20" s="19">
        <f t="shared" si="12"/>
        <v>-1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-137.06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-137.06</v>
      </c>
      <c r="M21" s="2"/>
      <c r="N21" s="19">
        <f t="shared" si="8"/>
        <v>0</v>
      </c>
      <c r="O21" s="11"/>
      <c r="P21" s="2">
        <v>1970.15</v>
      </c>
      <c r="Q21" s="2"/>
      <c r="R21" s="19">
        <f t="shared" si="9"/>
        <v>0.26060771207818167</v>
      </c>
      <c r="S21" s="2"/>
      <c r="T21" s="2"/>
      <c r="U21" s="2"/>
      <c r="V21" s="19">
        <f t="shared" si="10"/>
        <v>0</v>
      </c>
      <c r="W21" s="2"/>
      <c r="X21" s="2">
        <f t="shared" si="11"/>
        <v>1970.15</v>
      </c>
      <c r="Y21" s="2"/>
      <c r="Z21" s="19">
        <f t="shared" si="12"/>
        <v>0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5"/>
        <v>0</v>
      </c>
      <c r="G22" s="2"/>
      <c r="H22" s="2"/>
      <c r="I22" s="2"/>
      <c r="J22" s="19">
        <f t="shared" si="6"/>
        <v>0</v>
      </c>
      <c r="K22" s="2"/>
      <c r="L22" s="2">
        <f t="shared" si="7"/>
        <v>0</v>
      </c>
      <c r="M22" s="2"/>
      <c r="N22" s="19">
        <f t="shared" si="8"/>
        <v>0</v>
      </c>
      <c r="O22" s="11"/>
      <c r="P22" s="2">
        <v>11.85</v>
      </c>
      <c r="Q22" s="2"/>
      <c r="R22" s="19">
        <f t="shared" si="9"/>
        <v>1.5674955653764702E-3</v>
      </c>
      <c r="S22" s="2"/>
      <c r="T22" s="2"/>
      <c r="U22" s="2"/>
      <c r="V22" s="19">
        <f t="shared" si="10"/>
        <v>0</v>
      </c>
      <c r="W22" s="2"/>
      <c r="X22" s="2">
        <f t="shared" si="11"/>
        <v>11.85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137</v>
      </c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137</v>
      </c>
      <c r="M23" s="2"/>
      <c r="N23" s="19">
        <f t="shared" si="8"/>
        <v>0</v>
      </c>
      <c r="O23" s="11"/>
      <c r="P23" s="2">
        <v>-2089</v>
      </c>
      <c r="Q23" s="2"/>
      <c r="R23" s="19">
        <f t="shared" si="9"/>
        <v>-0.27632896506932036</v>
      </c>
      <c r="S23" s="2"/>
      <c r="T23" s="2"/>
      <c r="U23" s="2"/>
      <c r="V23" s="19">
        <f t="shared" si="10"/>
        <v>0</v>
      </c>
      <c r="W23" s="2"/>
      <c r="X23" s="2">
        <f t="shared" si="11"/>
        <v>-2089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/>
      <c r="E24" s="2"/>
      <c r="F24" s="19">
        <f t="shared" si="5"/>
        <v>0</v>
      </c>
      <c r="G24" s="2"/>
      <c r="H24" s="2"/>
      <c r="I24" s="2"/>
      <c r="J24" s="19">
        <f t="shared" si="6"/>
        <v>0</v>
      </c>
      <c r="K24" s="2"/>
      <c r="L24" s="2">
        <f t="shared" si="7"/>
        <v>0</v>
      </c>
      <c r="M24" s="2"/>
      <c r="N24" s="19">
        <f t="shared" si="8"/>
        <v>0</v>
      </c>
      <c r="O24" s="11"/>
      <c r="P24" s="2">
        <v>3805</v>
      </c>
      <c r="Q24" s="2"/>
      <c r="R24" s="19">
        <f t="shared" si="9"/>
        <v>0.50331819630864716</v>
      </c>
      <c r="S24" s="2"/>
      <c r="T24" s="2"/>
      <c r="U24" s="2"/>
      <c r="V24" s="19">
        <f t="shared" si="10"/>
        <v>0</v>
      </c>
      <c r="W24" s="2"/>
      <c r="X24" s="2">
        <f t="shared" si="11"/>
        <v>3805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/>
      <c r="E25" s="2"/>
      <c r="F25" s="19">
        <f t="shared" si="5"/>
        <v>0</v>
      </c>
      <c r="G25" s="2"/>
      <c r="H25" s="2"/>
      <c r="I25" s="2"/>
      <c r="J25" s="19">
        <f t="shared" si="6"/>
        <v>0</v>
      </c>
      <c r="K25" s="2"/>
      <c r="L25" s="2">
        <f t="shared" si="7"/>
        <v>0</v>
      </c>
      <c r="M25" s="2"/>
      <c r="N25" s="19">
        <f t="shared" si="8"/>
        <v>0</v>
      </c>
      <c r="O25" s="11"/>
      <c r="P25" s="2">
        <v>105.78</v>
      </c>
      <c r="Q25" s="2"/>
      <c r="R25" s="19">
        <f t="shared" si="9"/>
        <v>1.3992378135487173E-2</v>
      </c>
      <c r="S25" s="2"/>
      <c r="T25" s="2"/>
      <c r="U25" s="2"/>
      <c r="V25" s="19">
        <f t="shared" si="10"/>
        <v>0</v>
      </c>
      <c r="W25" s="2"/>
      <c r="X25" s="2">
        <f t="shared" si="11"/>
        <v>105.78</v>
      </c>
      <c r="Y25" s="2"/>
      <c r="Z25" s="19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6</v>
      </c>
      <c r="C27" s="28"/>
      <c r="D27" s="21">
        <f>D12-D19</f>
        <v>6.0000000000002274E-2</v>
      </c>
      <c r="E27" s="14"/>
      <c r="F27" s="22">
        <f>IF(D$12=0,0,D27/D$12)</f>
        <v>0</v>
      </c>
      <c r="G27" s="14"/>
      <c r="H27" s="21">
        <f>H12-H19</f>
        <v>0</v>
      </c>
      <c r="I27" s="14"/>
      <c r="J27" s="22">
        <f>IF(H$12=0,0,H27/H$12)</f>
        <v>0</v>
      </c>
      <c r="K27" s="15"/>
      <c r="L27" s="21">
        <f>+D27-H27</f>
        <v>6.0000000000002274E-2</v>
      </c>
      <c r="M27" s="15"/>
      <c r="N27" s="22">
        <f>IF(H27=0,0,L27/H27)</f>
        <v>0</v>
      </c>
      <c r="O27" s="29"/>
      <c r="P27" s="21">
        <f>P12-P19</f>
        <v>3756.0499999999997</v>
      </c>
      <c r="Q27" s="14"/>
      <c r="R27" s="22">
        <f>IF(P$12=0,0,P27/P$12)</f>
        <v>0.49684318298162788</v>
      </c>
      <c r="S27" s="14"/>
      <c r="T27" s="21">
        <f>T12-T19</f>
        <v>6888.5</v>
      </c>
      <c r="U27" s="14"/>
      <c r="V27" s="22">
        <f>IF(T$12=0,0,T27/T$12)</f>
        <v>0.59899999999999998</v>
      </c>
      <c r="W27" s="15"/>
      <c r="X27" s="21">
        <f>+P27-T27</f>
        <v>-3132.4500000000003</v>
      </c>
      <c r="Y27" s="15"/>
      <c r="Z27" s="22">
        <f>IF(T27=0,0,X27/T27)</f>
        <v>-0.4547361544603325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9</v>
      </c>
      <c r="C29" s="10"/>
      <c r="D29" s="20">
        <f>SUM(OSRRefD22x_0)</f>
        <v>6884.2900000000009</v>
      </c>
      <c r="E29" s="20"/>
      <c r="F29" s="34">
        <f t="shared" ref="F29:F38" si="13">IF(D$12=0,0,D29/D$12)</f>
        <v>0</v>
      </c>
      <c r="G29" s="20"/>
      <c r="H29" s="20">
        <f>SUM(OSRRefH22x_0)</f>
        <v>-624.45222388461116</v>
      </c>
      <c r="I29" s="20"/>
      <c r="J29" s="34">
        <f t="shared" ref="J29:J38" si="14">IF(H$12=0,0,H29/H$12)</f>
        <v>0</v>
      </c>
      <c r="K29" s="4"/>
      <c r="L29" s="20">
        <f t="shared" ref="L29:L38" si="15">+D29-H29</f>
        <v>7508.742223884612</v>
      </c>
      <c r="M29" s="4"/>
      <c r="N29" s="34">
        <f t="shared" ref="N29:N38" si="16">IF(H29=0,0,L29/H29)</f>
        <v>-12.024526355553677</v>
      </c>
      <c r="O29" s="10"/>
      <c r="P29" s="20">
        <f>SUM(OSRRefP22x_0)</f>
        <v>-4264.4000000000087</v>
      </c>
      <c r="Q29" s="20"/>
      <c r="R29" s="34">
        <f t="shared" ref="R29:R38" si="17">IF(P$12=0,0,P29/P$12)</f>
        <v>-0.56408675856467783</v>
      </c>
      <c r="S29" s="20"/>
      <c r="T29" s="20">
        <f>SUM(OSRRefT22x_0)</f>
        <v>-37225.074654990356</v>
      </c>
      <c r="U29" s="20"/>
      <c r="V29" s="34">
        <f t="shared" ref="V29:V38" si="18">IF(T$12=0,0,T29/T$12)</f>
        <v>-3.2369630134774221</v>
      </c>
      <c r="W29" s="4"/>
      <c r="X29" s="20">
        <f t="shared" ref="X29:X38" si="19">+P29-T29</f>
        <v>32960.674654990347</v>
      </c>
      <c r="Y29" s="4"/>
      <c r="Z29" s="34">
        <f t="shared" ref="Z29:Z38" si="20">IF(T29=0,0,X29/T29)</f>
        <v>-0.88544280865724667</v>
      </c>
    </row>
    <row r="30" spans="1:26" s="27" customFormat="1" outlineLevel="1" collapsed="1" x14ac:dyDescent="0.25">
      <c r="A30" s="26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3"/>
        <v>0</v>
      </c>
      <c r="G30" s="1"/>
      <c r="H30" s="1">
        <f>SUM(OSRRefH22_0x_0)</f>
        <v>1198.807929961539</v>
      </c>
      <c r="I30" s="1"/>
      <c r="J30" s="5">
        <f t="shared" si="14"/>
        <v>0</v>
      </c>
      <c r="K30" s="1"/>
      <c r="L30" s="1">
        <f t="shared" si="15"/>
        <v>-1198.807929961539</v>
      </c>
      <c r="M30" s="1"/>
      <c r="N30" s="5">
        <f t="shared" si="16"/>
        <v>-1</v>
      </c>
      <c r="O30" s="13"/>
      <c r="P30" s="1">
        <f>SUM(OSRRefP22_0x_0)</f>
        <v>821.29</v>
      </c>
      <c r="Q30" s="1"/>
      <c r="R30" s="5">
        <f t="shared" si="17"/>
        <v>0.10863868631966592</v>
      </c>
      <c r="S30" s="1"/>
      <c r="T30" s="1">
        <f>SUM(OSRRefT22_0x_0)</f>
        <v>9862.7156911634647</v>
      </c>
      <c r="U30" s="1"/>
      <c r="V30" s="5">
        <f t="shared" si="18"/>
        <v>0.85762745140551866</v>
      </c>
      <c r="W30" s="1"/>
      <c r="X30" s="1">
        <f t="shared" si="19"/>
        <v>-9041.4256911634657</v>
      </c>
      <c r="Y30" s="1"/>
      <c r="Z30" s="5">
        <f t="shared" si="20"/>
        <v>-0.91672780340450888</v>
      </c>
    </row>
    <row r="31" spans="1:26" s="24" customFormat="1" hidden="1" outlineLevel="2" x14ac:dyDescent="0.25">
      <c r="A31" s="25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3"/>
        <v>0</v>
      </c>
      <c r="G31" s="2"/>
      <c r="H31" s="6">
        <v>156.11619611538501</v>
      </c>
      <c r="I31" s="2"/>
      <c r="J31" s="7">
        <f t="shared" si="14"/>
        <v>0</v>
      </c>
      <c r="K31" s="2"/>
      <c r="L31" s="6">
        <f t="shared" si="15"/>
        <v>-156.11619611538501</v>
      </c>
      <c r="M31" s="2"/>
      <c r="N31" s="7">
        <f t="shared" si="16"/>
        <v>-1</v>
      </c>
      <c r="O31" s="11"/>
      <c r="P31" s="6">
        <v>155.66</v>
      </c>
      <c r="Q31" s="2"/>
      <c r="R31" s="7">
        <f t="shared" si="17"/>
        <v>2.059041010181446E-2</v>
      </c>
      <c r="S31" s="2"/>
      <c r="T31" s="6">
        <v>1327.8129400096179</v>
      </c>
      <c r="U31" s="2"/>
      <c r="V31" s="7">
        <f t="shared" si="18"/>
        <v>0.11546199478344504</v>
      </c>
      <c r="W31" s="2"/>
      <c r="X31" s="6">
        <f t="shared" si="19"/>
        <v>-1172.1529400096179</v>
      </c>
      <c r="Y31" s="2"/>
      <c r="Z31" s="7">
        <f t="shared" si="20"/>
        <v>-0.8827696316930963</v>
      </c>
    </row>
    <row r="32" spans="1:26" s="24" customFormat="1" hidden="1" outlineLevel="2" x14ac:dyDescent="0.25">
      <c r="A32" s="25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3"/>
        <v>0</v>
      </c>
      <c r="G32" s="2"/>
      <c r="H32" s="6">
        <v>38.758757692307697</v>
      </c>
      <c r="I32" s="2"/>
      <c r="J32" s="7">
        <f t="shared" si="14"/>
        <v>0</v>
      </c>
      <c r="K32" s="2"/>
      <c r="L32" s="6">
        <f t="shared" si="15"/>
        <v>-38.758757692307697</v>
      </c>
      <c r="M32" s="2"/>
      <c r="N32" s="7">
        <f t="shared" si="16"/>
        <v>-1</v>
      </c>
      <c r="O32" s="11"/>
      <c r="P32" s="6">
        <v>22.05</v>
      </c>
      <c r="Q32" s="2"/>
      <c r="R32" s="7">
        <f t="shared" si="17"/>
        <v>2.91673225456128E-3</v>
      </c>
      <c r="S32" s="2"/>
      <c r="T32" s="6">
        <v>329.65432980769231</v>
      </c>
      <c r="U32" s="2"/>
      <c r="V32" s="7">
        <f t="shared" si="18"/>
        <v>2.8665593896321069E-2</v>
      </c>
      <c r="W32" s="2"/>
      <c r="X32" s="6">
        <f t="shared" si="19"/>
        <v>-307.6043298076923</v>
      </c>
      <c r="Y32" s="2"/>
      <c r="Z32" s="7">
        <f t="shared" si="20"/>
        <v>-0.93311175371831723</v>
      </c>
    </row>
    <row r="33" spans="1:26" s="24" customFormat="1" hidden="1" outlineLevel="2" x14ac:dyDescent="0.25">
      <c r="A33" s="25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3"/>
        <v>0</v>
      </c>
      <c r="G33" s="2"/>
      <c r="H33" s="6">
        <v>660</v>
      </c>
      <c r="I33" s="2"/>
      <c r="J33" s="7">
        <f t="shared" si="14"/>
        <v>0</v>
      </c>
      <c r="K33" s="2"/>
      <c r="L33" s="6">
        <f t="shared" si="15"/>
        <v>-660</v>
      </c>
      <c r="M33" s="2"/>
      <c r="N33" s="7">
        <f t="shared" si="16"/>
        <v>-1</v>
      </c>
      <c r="O33" s="11"/>
      <c r="P33" s="6">
        <v>305.26</v>
      </c>
      <c r="Q33" s="2"/>
      <c r="R33" s="7">
        <f t="shared" si="17"/>
        <v>4.0379214876525002E-2</v>
      </c>
      <c r="S33" s="2"/>
      <c r="T33" s="6">
        <v>5280</v>
      </c>
      <c r="U33" s="2"/>
      <c r="V33" s="7">
        <f t="shared" si="18"/>
        <v>0.45913043478260868</v>
      </c>
      <c r="W33" s="2"/>
      <c r="X33" s="6">
        <f t="shared" si="19"/>
        <v>-4974.74</v>
      </c>
      <c r="Y33" s="2"/>
      <c r="Z33" s="7">
        <f t="shared" si="20"/>
        <v>-0.94218560606060597</v>
      </c>
    </row>
    <row r="34" spans="1:26" s="24" customFormat="1" hidden="1" outlineLevel="2" x14ac:dyDescent="0.25">
      <c r="A34" s="25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3"/>
        <v>0</v>
      </c>
      <c r="G34" s="2"/>
      <c r="H34" s="6">
        <v>5.3038299999999996</v>
      </c>
      <c r="I34" s="2"/>
      <c r="J34" s="7">
        <f t="shared" si="14"/>
        <v>0</v>
      </c>
      <c r="K34" s="2"/>
      <c r="L34" s="6">
        <f t="shared" si="15"/>
        <v>-5.3038299999999996</v>
      </c>
      <c r="M34" s="2"/>
      <c r="N34" s="7">
        <f t="shared" si="16"/>
        <v>-1</v>
      </c>
      <c r="O34" s="11"/>
      <c r="P34" s="6">
        <v>5</v>
      </c>
      <c r="Q34" s="2"/>
      <c r="R34" s="7">
        <f t="shared" si="17"/>
        <v>6.6139053391412242E-4</v>
      </c>
      <c r="S34" s="2"/>
      <c r="T34" s="6">
        <v>45.110592500000003</v>
      </c>
      <c r="U34" s="2"/>
      <c r="V34" s="7">
        <f t="shared" si="18"/>
        <v>3.9226602173913043E-3</v>
      </c>
      <c r="W34" s="2"/>
      <c r="X34" s="6">
        <f t="shared" si="19"/>
        <v>-40.110592500000003</v>
      </c>
      <c r="Y34" s="2"/>
      <c r="Z34" s="7">
        <f t="shared" si="20"/>
        <v>-0.88916128734066169</v>
      </c>
    </row>
    <row r="35" spans="1:26" s="24" customFormat="1" hidden="1" outlineLevel="2" x14ac:dyDescent="0.25">
      <c r="A35" s="25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3"/>
        <v>0</v>
      </c>
      <c r="G35" s="2"/>
      <c r="H35" s="6">
        <v>175.434376923077</v>
      </c>
      <c r="I35" s="2"/>
      <c r="J35" s="7">
        <f t="shared" si="14"/>
        <v>0</v>
      </c>
      <c r="K35" s="2"/>
      <c r="L35" s="6">
        <f t="shared" si="15"/>
        <v>-175.434376923077</v>
      </c>
      <c r="M35" s="2"/>
      <c r="N35" s="7">
        <f t="shared" si="16"/>
        <v>-1</v>
      </c>
      <c r="O35" s="11"/>
      <c r="P35" s="6">
        <v>134.12</v>
      </c>
      <c r="Q35" s="2"/>
      <c r="R35" s="7">
        <f t="shared" si="17"/>
        <v>1.7741139681712419E-2</v>
      </c>
      <c r="S35" s="2"/>
      <c r="T35" s="6">
        <v>1492.119598076923</v>
      </c>
      <c r="U35" s="2"/>
      <c r="V35" s="7">
        <f t="shared" si="18"/>
        <v>0.12974953026755853</v>
      </c>
      <c r="W35" s="2"/>
      <c r="X35" s="6">
        <f t="shared" si="19"/>
        <v>-1357.9995980769231</v>
      </c>
      <c r="Y35" s="2"/>
      <c r="Z35" s="7">
        <f t="shared" si="20"/>
        <v>-0.9101144437933415</v>
      </c>
    </row>
    <row r="36" spans="1:26" s="24" customFormat="1" hidden="1" outlineLevel="2" x14ac:dyDescent="0.25">
      <c r="A36" s="25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5"/>
      <c r="B37" s="11" t="str">
        <f>CONCATENATE("          ", "6118", " - ", "VACATION")</f>
        <v xml:space="preserve">          6118 - VACATION</v>
      </c>
      <c r="C37" s="11"/>
      <c r="D37" s="6"/>
      <c r="E37" s="2"/>
      <c r="F37" s="7">
        <f t="shared" si="13"/>
        <v>0</v>
      </c>
      <c r="G37" s="2"/>
      <c r="H37" s="6">
        <v>101.99673076923101</v>
      </c>
      <c r="I37" s="2"/>
      <c r="J37" s="7">
        <f t="shared" si="14"/>
        <v>0</v>
      </c>
      <c r="K37" s="2"/>
      <c r="L37" s="6">
        <f t="shared" si="15"/>
        <v>-101.99673076923101</v>
      </c>
      <c r="M37" s="2"/>
      <c r="N37" s="7">
        <f t="shared" si="16"/>
        <v>-1</v>
      </c>
      <c r="O37" s="11"/>
      <c r="P37" s="6">
        <v>110.64</v>
      </c>
      <c r="Q37" s="2"/>
      <c r="R37" s="7">
        <f t="shared" si="17"/>
        <v>1.46352497344517E-2</v>
      </c>
      <c r="S37" s="2"/>
      <c r="T37" s="6">
        <v>867.51139423076825</v>
      </c>
      <c r="U37" s="2"/>
      <c r="V37" s="7">
        <f t="shared" si="18"/>
        <v>7.5435773411371157E-2</v>
      </c>
      <c r="W37" s="2"/>
      <c r="X37" s="6">
        <f t="shared" si="19"/>
        <v>-756.87139423076826</v>
      </c>
      <c r="Y37" s="2"/>
      <c r="Z37" s="7">
        <f t="shared" si="20"/>
        <v>-0.87246277024625629</v>
      </c>
    </row>
    <row r="38" spans="1:26" s="24" customFormat="1" hidden="1" outlineLevel="2" x14ac:dyDescent="0.25">
      <c r="A38" s="25"/>
      <c r="B38" s="11" t="str">
        <f>CONCATENATE("          ", "6119", " - ", "SICK LEAVE")</f>
        <v xml:space="preserve">          6119 - SICK LEAVE</v>
      </c>
      <c r="C38" s="11"/>
      <c r="D38" s="6"/>
      <c r="E38" s="2"/>
      <c r="F38" s="7">
        <f t="shared" si="13"/>
        <v>0</v>
      </c>
      <c r="G38" s="2"/>
      <c r="H38" s="6">
        <v>61.198038461538495</v>
      </c>
      <c r="I38" s="2"/>
      <c r="J38" s="7">
        <f t="shared" si="14"/>
        <v>0</v>
      </c>
      <c r="K38" s="2"/>
      <c r="L38" s="6">
        <f t="shared" si="15"/>
        <v>-61.198038461538495</v>
      </c>
      <c r="M38" s="2"/>
      <c r="N38" s="7">
        <f t="shared" si="16"/>
        <v>-1</v>
      </c>
      <c r="O38" s="11"/>
      <c r="P38" s="6">
        <v>88.56</v>
      </c>
      <c r="Q38" s="2"/>
      <c r="R38" s="7">
        <f t="shared" si="17"/>
        <v>1.1714549136686937E-2</v>
      </c>
      <c r="S38" s="2"/>
      <c r="T38" s="6">
        <v>520.50683653846181</v>
      </c>
      <c r="U38" s="2"/>
      <c r="V38" s="7">
        <f t="shared" si="18"/>
        <v>4.5261464046822769E-2</v>
      </c>
      <c r="W38" s="2"/>
      <c r="X38" s="6">
        <f t="shared" si="19"/>
        <v>-431.94683653846181</v>
      </c>
      <c r="Y38" s="2"/>
      <c r="Z38" s="7">
        <f t="shared" si="20"/>
        <v>-0.82985814251940948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9" si="21">IF(D$12=0,0,D39/D$12)</f>
        <v>0</v>
      </c>
      <c r="G39" s="1"/>
      <c r="H39" s="1">
        <f>SUM(OSRRefH22_1x_0)</f>
        <v>1876.7398461538501</v>
      </c>
      <c r="I39" s="1"/>
      <c r="J39" s="5">
        <f t="shared" ref="J39:J49" si="22">IF(H$12=0,0,H39/H$12)</f>
        <v>0</v>
      </c>
      <c r="K39" s="1"/>
      <c r="L39" s="1">
        <f t="shared" ref="L39:L49" si="23">+D39-H39</f>
        <v>-1876.7398461538501</v>
      </c>
      <c r="M39" s="1"/>
      <c r="N39" s="5">
        <f t="shared" ref="N39:N49" si="24">IF(H39=0,0,L39/H39)</f>
        <v>-1</v>
      </c>
      <c r="O39" s="13"/>
      <c r="P39" s="1">
        <f>SUM(OSRRefP22_1x_0)</f>
        <v>1986.7399999999998</v>
      </c>
      <c r="Q39" s="1"/>
      <c r="R39" s="5">
        <f t="shared" ref="R39:R49" si="25">IF(P$12=0,0,P39/P$12)</f>
        <v>0.2628022058697087</v>
      </c>
      <c r="S39" s="1"/>
      <c r="T39" s="1">
        <f>SUM(OSRRefT22_1x_0)</f>
        <v>15962.209653846179</v>
      </c>
      <c r="U39" s="1"/>
      <c r="V39" s="5">
        <f t="shared" ref="V39:V49" si="26">IF(T$12=0,0,T39/T$12)</f>
        <v>1.388018230769233</v>
      </c>
      <c r="W39" s="1"/>
      <c r="X39" s="1">
        <f t="shared" ref="X39:X49" si="27">+P39-T39</f>
        <v>-13975.469653846179</v>
      </c>
      <c r="Y39" s="1"/>
      <c r="Z39" s="5">
        <f t="shared" ref="Z39:Z49" si="28">IF(T39=0,0,X39/T39)</f>
        <v>-0.8755347760063229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/>
      <c r="E41" s="2"/>
      <c r="F41" s="7">
        <f t="shared" si="21"/>
        <v>0</v>
      </c>
      <c r="G41" s="2"/>
      <c r="H41" s="6">
        <v>1876.7398461538501</v>
      </c>
      <c r="I41" s="2"/>
      <c r="J41" s="7">
        <f t="shared" si="22"/>
        <v>0</v>
      </c>
      <c r="K41" s="2"/>
      <c r="L41" s="6">
        <f t="shared" si="23"/>
        <v>-1876.7398461538501</v>
      </c>
      <c r="M41" s="2"/>
      <c r="N41" s="7">
        <f t="shared" si="24"/>
        <v>-1</v>
      </c>
      <c r="O41" s="11"/>
      <c r="P41" s="6">
        <v>1872</v>
      </c>
      <c r="Q41" s="2"/>
      <c r="R41" s="7">
        <f t="shared" si="25"/>
        <v>0.24762461589744744</v>
      </c>
      <c r="S41" s="2"/>
      <c r="T41" s="6">
        <v>15962.209653846179</v>
      </c>
      <c r="U41" s="2"/>
      <c r="V41" s="7">
        <f t="shared" si="26"/>
        <v>1.388018230769233</v>
      </c>
      <c r="W41" s="2"/>
      <c r="X41" s="6">
        <f t="shared" si="27"/>
        <v>-14090.209653846179</v>
      </c>
      <c r="Y41" s="2"/>
      <c r="Z41" s="7">
        <f t="shared" si="28"/>
        <v>-0.88272300385749336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57.37</v>
      </c>
      <c r="Q45" s="2"/>
      <c r="R45" s="7">
        <f t="shared" si="25"/>
        <v>7.5887949861306401E-3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57.37</v>
      </c>
      <c r="Y45" s="2"/>
      <c r="Z45" s="7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>
        <v>57.37</v>
      </c>
      <c r="Q46" s="2"/>
      <c r="R46" s="7">
        <f t="shared" si="25"/>
        <v>7.5887949861306401E-3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57.37</v>
      </c>
      <c r="Y46" s="2"/>
      <c r="Z46" s="7">
        <f t="shared" si="28"/>
        <v>0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1596.88</v>
      </c>
      <c r="E50" s="1"/>
      <c r="F50" s="5">
        <f t="shared" ref="F50:F56" si="29">IF(D$12=0,0,D50/D$12)</f>
        <v>0</v>
      </c>
      <c r="G50" s="1"/>
      <c r="H50" s="1">
        <f>SUM(OSRRefH22_2x_0)</f>
        <v>3000</v>
      </c>
      <c r="I50" s="1"/>
      <c r="J50" s="5">
        <f t="shared" ref="J50:J56" si="30">IF(H$12=0,0,H50/H$12)</f>
        <v>0</v>
      </c>
      <c r="K50" s="1"/>
      <c r="L50" s="1">
        <f t="shared" ref="L50:L56" si="31">+D50-H50</f>
        <v>-1403.12</v>
      </c>
      <c r="M50" s="1"/>
      <c r="N50" s="5">
        <f t="shared" ref="N50:N56" si="32">IF(H50=0,0,L50/H50)</f>
        <v>-0.4677066666666666</v>
      </c>
      <c r="O50" s="13"/>
      <c r="P50" s="1">
        <f>SUM(OSRRefP22_2x_0)</f>
        <v>739.42</v>
      </c>
      <c r="Q50" s="1"/>
      <c r="R50" s="5">
        <f t="shared" ref="R50:R56" si="33">IF(P$12=0,0,P50/P$12)</f>
        <v>9.7809077717356072E-2</v>
      </c>
      <c r="S50" s="1"/>
      <c r="T50" s="1">
        <f>SUM(OSRRefT22_2x_0)</f>
        <v>4000</v>
      </c>
      <c r="U50" s="1"/>
      <c r="V50" s="5">
        <f t="shared" ref="V50:V56" si="34">IF(T$12=0,0,T50/T$12)</f>
        <v>0.34782608695652173</v>
      </c>
      <c r="W50" s="1"/>
      <c r="X50" s="1">
        <f t="shared" ref="X50:X56" si="35">+P50-T50</f>
        <v>-3260.58</v>
      </c>
      <c r="Y50" s="1"/>
      <c r="Z50" s="5">
        <f t="shared" ref="Z50:Z56" si="36">IF(T50=0,0,X50/T50)</f>
        <v>-0.81514500000000001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1596.88</v>
      </c>
      <c r="E51" s="2"/>
      <c r="F51" s="7">
        <f t="shared" si="29"/>
        <v>0</v>
      </c>
      <c r="G51" s="2"/>
      <c r="H51" s="6">
        <v>3000</v>
      </c>
      <c r="I51" s="2"/>
      <c r="J51" s="7">
        <f t="shared" si="30"/>
        <v>0</v>
      </c>
      <c r="K51" s="2"/>
      <c r="L51" s="6">
        <f t="shared" si="31"/>
        <v>-1403.12</v>
      </c>
      <c r="M51" s="2"/>
      <c r="N51" s="7">
        <f t="shared" si="32"/>
        <v>-0.4677066666666666</v>
      </c>
      <c r="O51" s="11"/>
      <c r="P51" s="6">
        <v>739.42</v>
      </c>
      <c r="Q51" s="2"/>
      <c r="R51" s="7">
        <f t="shared" si="33"/>
        <v>9.7809077717356072E-2</v>
      </c>
      <c r="S51" s="2"/>
      <c r="T51" s="6">
        <v>4000</v>
      </c>
      <c r="U51" s="2"/>
      <c r="V51" s="7">
        <f t="shared" si="34"/>
        <v>0.34782608695652173</v>
      </c>
      <c r="W51" s="2"/>
      <c r="X51" s="6">
        <f t="shared" si="35"/>
        <v>-3260.58</v>
      </c>
      <c r="Y51" s="2"/>
      <c r="Z51" s="7">
        <f t="shared" si="36"/>
        <v>-0.81514500000000001</v>
      </c>
    </row>
    <row r="52" spans="1:26" s="27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SUM(OSRRefD22_3x_0)</f>
        <v>0</v>
      </c>
      <c r="E52" s="1"/>
      <c r="F52" s="5">
        <f t="shared" si="29"/>
        <v>0</v>
      </c>
      <c r="G52" s="1"/>
      <c r="H52" s="1">
        <f>SUM(OSRRefH22_3x_0)</f>
        <v>100</v>
      </c>
      <c r="I52" s="1"/>
      <c r="J52" s="5">
        <f t="shared" si="30"/>
        <v>0</v>
      </c>
      <c r="K52" s="1"/>
      <c r="L52" s="1">
        <f t="shared" si="31"/>
        <v>-100</v>
      </c>
      <c r="M52" s="1"/>
      <c r="N52" s="5">
        <f t="shared" si="32"/>
        <v>-1</v>
      </c>
      <c r="O52" s="13"/>
      <c r="P52" s="1">
        <f>SUM(OSRRefP22_3x_0)</f>
        <v>287.29000000000002</v>
      </c>
      <c r="Q52" s="1"/>
      <c r="R52" s="5">
        <f t="shared" si="33"/>
        <v>3.8002177297637649E-2</v>
      </c>
      <c r="S52" s="1"/>
      <c r="T52" s="1">
        <f>SUM(OSRRefT22_3x_0)</f>
        <v>800</v>
      </c>
      <c r="U52" s="1"/>
      <c r="V52" s="5">
        <f t="shared" si="34"/>
        <v>6.9565217391304349E-2</v>
      </c>
      <c r="W52" s="1"/>
      <c r="X52" s="1">
        <f t="shared" si="35"/>
        <v>-512.71</v>
      </c>
      <c r="Y52" s="1"/>
      <c r="Z52" s="5">
        <f t="shared" si="36"/>
        <v>-0.64088750000000005</v>
      </c>
    </row>
    <row r="53" spans="1:26" s="24" customFormat="1" hidden="1" outlineLevel="2" x14ac:dyDescent="0.25">
      <c r="A53" s="25"/>
      <c r="B53" s="11" t="str">
        <f>CONCATENATE("          ", "6382", " - ", "DISCOUNTS/MARK DOWNS")</f>
        <v xml:space="preserve">          6382 - DISCOUNTS/MARK DOWNS</v>
      </c>
      <c r="C53" s="11"/>
      <c r="D53" s="6"/>
      <c r="E53" s="2"/>
      <c r="F53" s="7">
        <f t="shared" si="29"/>
        <v>0</v>
      </c>
      <c r="G53" s="2"/>
      <c r="H53" s="6">
        <v>100</v>
      </c>
      <c r="I53" s="2"/>
      <c r="J53" s="7">
        <f t="shared" si="30"/>
        <v>0</v>
      </c>
      <c r="K53" s="2"/>
      <c r="L53" s="6">
        <f t="shared" si="31"/>
        <v>-100</v>
      </c>
      <c r="M53" s="2"/>
      <c r="N53" s="7">
        <f t="shared" si="32"/>
        <v>-1</v>
      </c>
      <c r="O53" s="11"/>
      <c r="P53" s="6">
        <v>287.29000000000002</v>
      </c>
      <c r="Q53" s="2"/>
      <c r="R53" s="7">
        <f t="shared" si="33"/>
        <v>3.8002177297637649E-2</v>
      </c>
      <c r="S53" s="2"/>
      <c r="T53" s="6">
        <v>800</v>
      </c>
      <c r="U53" s="2"/>
      <c r="V53" s="7">
        <f t="shared" si="34"/>
        <v>6.9565217391304349E-2</v>
      </c>
      <c r="W53" s="2"/>
      <c r="X53" s="6">
        <f t="shared" si="35"/>
        <v>-512.71</v>
      </c>
      <c r="Y53" s="2"/>
      <c r="Z53" s="7">
        <f t="shared" si="36"/>
        <v>-0.64088750000000005</v>
      </c>
    </row>
    <row r="54" spans="1:26" s="27" customFormat="1" outlineLevel="1" collapsed="1" x14ac:dyDescent="0.25">
      <c r="A54" s="26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SUM(OSRRefD22_4x_0)</f>
        <v>2968.41</v>
      </c>
      <c r="E54" s="1"/>
      <c r="F54" s="5">
        <f t="shared" si="29"/>
        <v>0</v>
      </c>
      <c r="G54" s="1"/>
      <c r="H54" s="1">
        <f>SUM(OSRRefH22_4x_0)</f>
        <v>-8000</v>
      </c>
      <c r="I54" s="1"/>
      <c r="J54" s="5">
        <f t="shared" si="30"/>
        <v>0</v>
      </c>
      <c r="K54" s="1"/>
      <c r="L54" s="1">
        <f t="shared" si="31"/>
        <v>10968.41</v>
      </c>
      <c r="M54" s="1"/>
      <c r="N54" s="5">
        <f t="shared" si="32"/>
        <v>-1.3710512500000001</v>
      </c>
      <c r="O54" s="13"/>
      <c r="P54" s="1">
        <f>SUM(OSRRefP22_4x_0)</f>
        <v>-16729.140000000007</v>
      </c>
      <c r="Q54" s="1"/>
      <c r="R54" s="5">
        <f t="shared" si="33"/>
        <v>-2.2128989673048212</v>
      </c>
      <c r="S54" s="1"/>
      <c r="T54" s="1">
        <f>SUM(OSRRefT22_4x_0)</f>
        <v>-75500</v>
      </c>
      <c r="U54" s="1"/>
      <c r="V54" s="5">
        <f t="shared" si="34"/>
        <v>-6.5652173913043477</v>
      </c>
      <c r="W54" s="1"/>
      <c r="X54" s="1">
        <f t="shared" si="35"/>
        <v>58770.859999999993</v>
      </c>
      <c r="Y54" s="1"/>
      <c r="Z54" s="5">
        <f t="shared" si="36"/>
        <v>-0.77842198675496677</v>
      </c>
    </row>
    <row r="55" spans="1:26" s="24" customFormat="1" hidden="1" outlineLevel="2" x14ac:dyDescent="0.25">
      <c r="A55" s="25"/>
      <c r="B55" s="11" t="str">
        <f>CONCATENATE("          ", "6305", " - ", "FREIGHT OUT")</f>
        <v xml:space="preserve">          6305 - FREIGHT OUT</v>
      </c>
      <c r="C55" s="11"/>
      <c r="D55" s="6">
        <v>8629.18</v>
      </c>
      <c r="E55" s="2"/>
      <c r="F55" s="7">
        <f t="shared" si="29"/>
        <v>0</v>
      </c>
      <c r="G55" s="2"/>
      <c r="H55" s="6">
        <v>-8000</v>
      </c>
      <c r="I55" s="2"/>
      <c r="J55" s="7">
        <f t="shared" si="30"/>
        <v>0</v>
      </c>
      <c r="K55" s="2"/>
      <c r="L55" s="6">
        <f t="shared" si="31"/>
        <v>16629.18</v>
      </c>
      <c r="M55" s="2"/>
      <c r="N55" s="7">
        <f t="shared" si="32"/>
        <v>-2.0786475000000002</v>
      </c>
      <c r="O55" s="11"/>
      <c r="P55" s="6">
        <v>33591.729999999996</v>
      </c>
      <c r="Q55" s="2"/>
      <c r="R55" s="7">
        <f t="shared" si="33"/>
        <v>4.4434504479598083</v>
      </c>
      <c r="S55" s="2"/>
      <c r="T55" s="6">
        <v>-75500</v>
      </c>
      <c r="U55" s="2"/>
      <c r="V55" s="7">
        <f t="shared" si="34"/>
        <v>-6.5652173913043477</v>
      </c>
      <c r="W55" s="2"/>
      <c r="X55" s="6">
        <f t="shared" si="35"/>
        <v>109091.73</v>
      </c>
      <c r="Y55" s="2"/>
      <c r="Z55" s="7">
        <f t="shared" si="36"/>
        <v>-1.4449235761589403</v>
      </c>
    </row>
    <row r="56" spans="1:26" s="24" customFormat="1" hidden="1" outlineLevel="2" x14ac:dyDescent="0.25">
      <c r="A56" s="25"/>
      <c r="B56" s="11" t="str">
        <f>CONCATENATE("          ", "6307", " - ", "POSTAGE")</f>
        <v xml:space="preserve">          6307 - POSTAGE</v>
      </c>
      <c r="C56" s="11"/>
      <c r="D56" s="6">
        <v>-5660.77</v>
      </c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-5660.77</v>
      </c>
      <c r="M56" s="2"/>
      <c r="N56" s="7">
        <f t="shared" si="32"/>
        <v>0</v>
      </c>
      <c r="O56" s="11"/>
      <c r="P56" s="6">
        <v>-50320.87</v>
      </c>
      <c r="Q56" s="2"/>
      <c r="R56" s="7">
        <f t="shared" si="33"/>
        <v>-6.6563494152646294</v>
      </c>
      <c r="S56" s="2"/>
      <c r="T56" s="6"/>
      <c r="U56" s="2"/>
      <c r="V56" s="7">
        <f t="shared" si="34"/>
        <v>0</v>
      </c>
      <c r="W56" s="2"/>
      <c r="X56" s="6">
        <f t="shared" si="35"/>
        <v>-50320.87</v>
      </c>
      <c r="Y56" s="2"/>
      <c r="Z56" s="7">
        <f t="shared" si="36"/>
        <v>0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SUM(OSRRefD22_5x_0)</f>
        <v>0</v>
      </c>
      <c r="E57" s="1"/>
      <c r="F57" s="5">
        <f t="shared" ref="F57:F63" si="37">IF(D$12=0,0,D57/D$12)</f>
        <v>0</v>
      </c>
      <c r="G57" s="1"/>
      <c r="H57" s="1">
        <f>SUM(OSRRefH22_5x_0)</f>
        <v>100</v>
      </c>
      <c r="I57" s="1"/>
      <c r="J57" s="5">
        <f t="shared" ref="J57:J63" si="38">IF(H$12=0,0,H57/H$12)</f>
        <v>0</v>
      </c>
      <c r="K57" s="1"/>
      <c r="L57" s="1">
        <f t="shared" ref="L57:L63" si="39">+D57-H57</f>
        <v>-100</v>
      </c>
      <c r="M57" s="1"/>
      <c r="N57" s="5">
        <f t="shared" ref="N57:N63" si="40">IF(H57=0,0,L57/H57)</f>
        <v>-1</v>
      </c>
      <c r="O57" s="13"/>
      <c r="P57" s="1">
        <f>SUM(OSRRefP22_5x_0)</f>
        <v>80.17</v>
      </c>
      <c r="Q57" s="1"/>
      <c r="R57" s="5">
        <f t="shared" ref="R57:R63" si="41">IF(P$12=0,0,P57/P$12)</f>
        <v>1.0604735820779039E-2</v>
      </c>
      <c r="S57" s="1"/>
      <c r="T57" s="1">
        <f>SUM(OSRRefT22_5x_0)</f>
        <v>700</v>
      </c>
      <c r="U57" s="1"/>
      <c r="V57" s="5">
        <f t="shared" ref="V57:V63" si="42">IF(T$12=0,0,T57/T$12)</f>
        <v>6.0869565217391307E-2</v>
      </c>
      <c r="W57" s="1"/>
      <c r="X57" s="1">
        <f t="shared" ref="X57:X63" si="43">+P57-T57</f>
        <v>-619.83000000000004</v>
      </c>
      <c r="Y57" s="1"/>
      <c r="Z57" s="5">
        <f t="shared" ref="Z57:Z63" si="44">IF(T57=0,0,X57/T57)</f>
        <v>-0.88547142857142858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>
        <v>100</v>
      </c>
      <c r="I58" s="2"/>
      <c r="J58" s="7">
        <f t="shared" si="38"/>
        <v>0</v>
      </c>
      <c r="K58" s="2"/>
      <c r="L58" s="6">
        <f t="shared" si="39"/>
        <v>-100</v>
      </c>
      <c r="M58" s="2"/>
      <c r="N58" s="7">
        <f t="shared" si="40"/>
        <v>-1</v>
      </c>
      <c r="O58" s="11"/>
      <c r="P58" s="6">
        <v>80.17</v>
      </c>
      <c r="Q58" s="2"/>
      <c r="R58" s="7">
        <f t="shared" si="41"/>
        <v>1.0604735820779039E-2</v>
      </c>
      <c r="S58" s="2"/>
      <c r="T58" s="6">
        <v>700</v>
      </c>
      <c r="U58" s="2"/>
      <c r="V58" s="7">
        <f t="shared" si="42"/>
        <v>6.0869565217391307E-2</v>
      </c>
      <c r="W58" s="2"/>
      <c r="X58" s="6">
        <f t="shared" si="43"/>
        <v>-619.83000000000004</v>
      </c>
      <c r="Y58" s="2"/>
      <c r="Z58" s="7">
        <f t="shared" si="44"/>
        <v>-0.88547142857142858</v>
      </c>
    </row>
    <row r="59" spans="1:26" s="27" customFormat="1" outlineLevel="1" collapsed="1" x14ac:dyDescent="0.25">
      <c r="A59" s="26"/>
      <c r="B59" s="13" t="str">
        <f>CONCATENATE("     ","Inventory Adjustment                              ")</f>
        <v xml:space="preserve">     Inventory Adjustment                              </v>
      </c>
      <c r="C59" s="13"/>
      <c r="D59" s="1">
        <f>SUM(OSRRefD22_6x_0)</f>
        <v>100</v>
      </c>
      <c r="E59" s="1"/>
      <c r="F59" s="5">
        <f t="shared" si="37"/>
        <v>0</v>
      </c>
      <c r="G59" s="1"/>
      <c r="H59" s="1">
        <f>SUM(OSRRefH22_6x_0)</f>
        <v>100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3"/>
      <c r="P59" s="1">
        <f>SUM(OSRRefP22_6x_0)</f>
        <v>700</v>
      </c>
      <c r="Q59" s="1"/>
      <c r="R59" s="5">
        <f t="shared" si="41"/>
        <v>9.259467474797714E-2</v>
      </c>
      <c r="S59" s="1"/>
      <c r="T59" s="1">
        <f>SUM(OSRRefT22_6x_0)</f>
        <v>700</v>
      </c>
      <c r="U59" s="1"/>
      <c r="V59" s="5">
        <f t="shared" si="42"/>
        <v>6.0869565217391307E-2</v>
      </c>
      <c r="W59" s="1"/>
      <c r="X59" s="1">
        <f t="shared" si="43"/>
        <v>0</v>
      </c>
      <c r="Y59" s="1"/>
      <c r="Z59" s="5">
        <f t="shared" si="44"/>
        <v>0</v>
      </c>
    </row>
    <row r="60" spans="1:26" s="24" customFormat="1" hidden="1" outlineLevel="2" x14ac:dyDescent="0.25">
      <c r="A60" s="25"/>
      <c r="B60" s="11" t="str">
        <f>CONCATENATE("          ", "6408", " - ", "INVENTORY ADJUSTMENT")</f>
        <v xml:space="preserve">          6408 - INVENTORY ADJUSTMENT</v>
      </c>
      <c r="C60" s="11"/>
      <c r="D60" s="6">
        <v>100</v>
      </c>
      <c r="E60" s="2"/>
      <c r="F60" s="7">
        <f t="shared" si="37"/>
        <v>0</v>
      </c>
      <c r="G60" s="2"/>
      <c r="H60" s="6">
        <v>100</v>
      </c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700</v>
      </c>
      <c r="Q60" s="2"/>
      <c r="R60" s="7">
        <f t="shared" si="41"/>
        <v>9.259467474797714E-2</v>
      </c>
      <c r="S60" s="2"/>
      <c r="T60" s="6">
        <v>700</v>
      </c>
      <c r="U60" s="2"/>
      <c r="V60" s="7">
        <f t="shared" si="42"/>
        <v>6.0869565217391307E-2</v>
      </c>
      <c r="W60" s="2"/>
      <c r="X60" s="6">
        <f t="shared" si="43"/>
        <v>0</v>
      </c>
      <c r="Y60" s="2"/>
      <c r="Z60" s="7">
        <f t="shared" si="44"/>
        <v>0</v>
      </c>
    </row>
    <row r="61" spans="1:26" s="27" customFormat="1" outlineLevel="1" collapsed="1" x14ac:dyDescent="0.25">
      <c r="A61" s="26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SUM(OSRRefD22_7x_0)</f>
        <v>2164.75</v>
      </c>
      <c r="E61" s="1"/>
      <c r="F61" s="5">
        <f t="shared" si="37"/>
        <v>0</v>
      </c>
      <c r="G61" s="1"/>
      <c r="H61" s="1">
        <f>SUM(OSRRefH22_7x_0)</f>
        <v>1000</v>
      </c>
      <c r="I61" s="1"/>
      <c r="J61" s="5">
        <f t="shared" si="38"/>
        <v>0</v>
      </c>
      <c r="K61" s="1"/>
      <c r="L61" s="1">
        <f t="shared" si="39"/>
        <v>1164.75</v>
      </c>
      <c r="M61" s="1"/>
      <c r="N61" s="5">
        <f t="shared" si="40"/>
        <v>1.16475</v>
      </c>
      <c r="O61" s="13"/>
      <c r="P61" s="1">
        <f>SUM(OSRRefP22_7x_0)</f>
        <v>7345.43</v>
      </c>
      <c r="Q61" s="1"/>
      <c r="R61" s="5">
        <f t="shared" si="41"/>
        <v>0.9716395739057625</v>
      </c>
      <c r="S61" s="1"/>
      <c r="T61" s="1">
        <f>SUM(OSRRefT22_7x_0)</f>
        <v>6250</v>
      </c>
      <c r="U61" s="1"/>
      <c r="V61" s="5">
        <f t="shared" si="42"/>
        <v>0.54347826086956519</v>
      </c>
      <c r="W61" s="1"/>
      <c r="X61" s="1">
        <f t="shared" si="43"/>
        <v>1095.4300000000003</v>
      </c>
      <c r="Y61" s="1"/>
      <c r="Z61" s="5">
        <f t="shared" si="44"/>
        <v>0.17526880000000006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126.27</v>
      </c>
      <c r="Q62" s="2"/>
      <c r="R62" s="7">
        <f t="shared" si="41"/>
        <v>1.6702756543467246E-2</v>
      </c>
      <c r="S62" s="2"/>
      <c r="T62" s="6"/>
      <c r="U62" s="2"/>
      <c r="V62" s="7">
        <f t="shared" si="42"/>
        <v>0</v>
      </c>
      <c r="W62" s="2"/>
      <c r="X62" s="6">
        <f t="shared" si="43"/>
        <v>126.27</v>
      </c>
      <c r="Y62" s="2"/>
      <c r="Z62" s="7">
        <f t="shared" si="44"/>
        <v>0</v>
      </c>
    </row>
    <row r="63" spans="1:26" s="24" customFormat="1" hidden="1" outlineLevel="2" x14ac:dyDescent="0.25">
      <c r="A63" s="25"/>
      <c r="B63" s="11" t="str">
        <f>CONCATENATE("          ", "6247", " - ", "STORE SUPPLIES")</f>
        <v xml:space="preserve">          6247 - STORE SUPPLIES</v>
      </c>
      <c r="C63" s="11"/>
      <c r="D63" s="6">
        <v>2164.75</v>
      </c>
      <c r="E63" s="2"/>
      <c r="F63" s="7">
        <f t="shared" si="37"/>
        <v>0</v>
      </c>
      <c r="G63" s="2"/>
      <c r="H63" s="6">
        <v>1000</v>
      </c>
      <c r="I63" s="2"/>
      <c r="J63" s="7">
        <f t="shared" si="38"/>
        <v>0</v>
      </c>
      <c r="K63" s="2"/>
      <c r="L63" s="6">
        <f t="shared" si="39"/>
        <v>1164.75</v>
      </c>
      <c r="M63" s="2"/>
      <c r="N63" s="7">
        <f t="shared" si="40"/>
        <v>1.16475</v>
      </c>
      <c r="O63" s="11"/>
      <c r="P63" s="6">
        <v>7219.16</v>
      </c>
      <c r="Q63" s="2"/>
      <c r="R63" s="7">
        <f t="shared" si="41"/>
        <v>0.95493681736229519</v>
      </c>
      <c r="S63" s="2"/>
      <c r="T63" s="6">
        <v>6250</v>
      </c>
      <c r="U63" s="2"/>
      <c r="V63" s="7">
        <f t="shared" si="42"/>
        <v>0.54347826086956519</v>
      </c>
      <c r="W63" s="2"/>
      <c r="X63" s="6">
        <f t="shared" si="43"/>
        <v>969.15999999999985</v>
      </c>
      <c r="Y63" s="2"/>
      <c r="Z63" s="7">
        <f t="shared" si="44"/>
        <v>0.15506559999999997</v>
      </c>
    </row>
    <row r="64" spans="1:26" s="27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SUM(OSRRefD22_8x_0)</f>
        <v>54.25</v>
      </c>
      <c r="E64" s="1"/>
      <c r="F64" s="5">
        <f t="shared" ref="F64:F65" si="45">IF(D$12=0,0,D64/D$12)</f>
        <v>0</v>
      </c>
      <c r="G64" s="1"/>
      <c r="H64" s="1">
        <f>SUM(OSRRefH22_8x_0)</f>
        <v>0</v>
      </c>
      <c r="I64" s="1"/>
      <c r="J64" s="5">
        <f t="shared" ref="J64:J65" si="46">IF(H$12=0,0,H64/H$12)</f>
        <v>0</v>
      </c>
      <c r="K64" s="1"/>
      <c r="L64" s="1">
        <f t="shared" ref="L64:L65" si="47">+D64-H64</f>
        <v>54.25</v>
      </c>
      <c r="M64" s="1"/>
      <c r="N64" s="5">
        <f t="shared" ref="N64:N65" si="48">IF(H64=0,0,L64/H64)</f>
        <v>0</v>
      </c>
      <c r="O64" s="13"/>
      <c r="P64" s="1">
        <f>SUM(OSRRefP22_8x_0)</f>
        <v>504.4</v>
      </c>
      <c r="Q64" s="1"/>
      <c r="R64" s="5">
        <f t="shared" ref="R64:R65" si="49">IF(P$12=0,0,P64/P$12)</f>
        <v>6.672107706125667E-2</v>
      </c>
      <c r="S64" s="1"/>
      <c r="T64" s="1">
        <f>SUM(OSRRefT22_8x_0)</f>
        <v>0</v>
      </c>
      <c r="U64" s="1"/>
      <c r="V64" s="5">
        <f t="shared" ref="V64:V65" si="50">IF(T$12=0,0,T64/T$12)</f>
        <v>0</v>
      </c>
      <c r="W64" s="1"/>
      <c r="X64" s="1">
        <f t="shared" ref="X64:X65" si="51">+P64-T64</f>
        <v>504.4</v>
      </c>
      <c r="Y64" s="1"/>
      <c r="Z64" s="5">
        <f t="shared" ref="Z64:Z65" si="52">IF(T64=0,0,X64/T64)</f>
        <v>0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6">
        <v>54.25</v>
      </c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54.25</v>
      </c>
      <c r="M65" s="2"/>
      <c r="N65" s="7">
        <f t="shared" si="48"/>
        <v>0</v>
      </c>
      <c r="O65" s="11"/>
      <c r="P65" s="6">
        <v>504.4</v>
      </c>
      <c r="Q65" s="2"/>
      <c r="R65" s="7">
        <f t="shared" si="49"/>
        <v>6.672107706125667E-2</v>
      </c>
      <c r="S65" s="2"/>
      <c r="T65" s="6"/>
      <c r="U65" s="2"/>
      <c r="V65" s="7">
        <f t="shared" si="50"/>
        <v>0</v>
      </c>
      <c r="W65" s="2"/>
      <c r="X65" s="6">
        <f t="shared" si="51"/>
        <v>504.4</v>
      </c>
      <c r="Y65" s="2"/>
      <c r="Z65" s="7">
        <f t="shared" si="52"/>
        <v>0</v>
      </c>
    </row>
    <row r="66" spans="1:26" s="53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9" t="s">
        <v>0</v>
      </c>
      <c r="C67" s="10"/>
      <c r="D67" s="4">
        <f>SUM(OSRRefD25x_0)</f>
        <v>23443.33</v>
      </c>
      <c r="E67" s="4"/>
      <c r="F67" s="12">
        <f t="shared" ref="F67:F72" si="53">IF(D$12=0,0,D67/D$12)</f>
        <v>0</v>
      </c>
      <c r="G67" s="4"/>
      <c r="H67" s="4">
        <f>SUM(OSRRefH25x_0)</f>
        <v>14000</v>
      </c>
      <c r="I67" s="4"/>
      <c r="J67" s="12">
        <f t="shared" ref="J67:J72" si="54">IF(H$12=0,0,H67/H$12)</f>
        <v>0</v>
      </c>
      <c r="K67" s="4"/>
      <c r="L67" s="4">
        <f t="shared" ref="L67:L72" si="55">+D67-H67</f>
        <v>9443.3300000000017</v>
      </c>
      <c r="M67" s="4"/>
      <c r="N67" s="12">
        <f t="shared" ref="N67:N72" si="56">IF(H67=0,0,L67/H67)</f>
        <v>0.67452357142857156</v>
      </c>
      <c r="O67" s="10"/>
      <c r="P67" s="4">
        <f>SUM(OSRRefP25x_0)</f>
        <v>112733.83</v>
      </c>
      <c r="Q67" s="4"/>
      <c r="R67" s="12">
        <f t="shared" ref="R67:R72" si="57">IF(P$12=0,0,P67/P$12)</f>
        <v>14.912217602776783</v>
      </c>
      <c r="S67" s="4"/>
      <c r="T67" s="4">
        <f>SUM(OSRRefT25x_0)</f>
        <v>110000</v>
      </c>
      <c r="U67" s="4"/>
      <c r="V67" s="12">
        <f t="shared" ref="V67:V72" si="58">IF(T$12=0,0,T67/T$12)</f>
        <v>9.5652173913043477</v>
      </c>
      <c r="W67" s="4"/>
      <c r="X67" s="4">
        <f t="shared" ref="X67:X72" si="59">+P67-T67</f>
        <v>2733.8300000000017</v>
      </c>
      <c r="Y67" s="4"/>
      <c r="Z67" s="12">
        <f t="shared" ref="Z67:Z72" si="60">IF(T67=0,0,X67/T67)</f>
        <v>2.4853000000000017E-2</v>
      </c>
    </row>
    <row r="68" spans="1:26" s="24" customFormat="1" hidden="1" outlineLevel="1" x14ac:dyDescent="0.25">
      <c r="A68" s="44"/>
      <c r="B68" s="11" t="str">
        <f>CONCATENATE("          ", "4098", " - ", "TAXABLE SALES-GRAD RENTALS")</f>
        <v xml:space="preserve">          4098 - TAXABLE SALES-GRAD RENTALS</v>
      </c>
      <c r="C68" s="11"/>
      <c r="D68" s="2">
        <f>--110</f>
        <v>110</v>
      </c>
      <c r="E68" s="2"/>
      <c r="F68" s="19">
        <f t="shared" si="53"/>
        <v>0</v>
      </c>
      <c r="G68" s="2"/>
      <c r="H68" s="2"/>
      <c r="I68" s="2"/>
      <c r="J68" s="19">
        <f t="shared" si="54"/>
        <v>0</v>
      </c>
      <c r="K68" s="2"/>
      <c r="L68" s="2">
        <f t="shared" si="55"/>
        <v>110</v>
      </c>
      <c r="M68" s="2"/>
      <c r="N68" s="19">
        <f t="shared" si="56"/>
        <v>0</v>
      </c>
      <c r="O68" s="11"/>
      <c r="P68" s="2">
        <f>--2056.85</f>
        <v>2056.85</v>
      </c>
      <c r="Q68" s="2"/>
      <c r="R68" s="19">
        <f t="shared" si="57"/>
        <v>0.27207622393625253</v>
      </c>
      <c r="S68" s="2"/>
      <c r="T68" s="2"/>
      <c r="U68" s="2"/>
      <c r="V68" s="19">
        <f t="shared" si="58"/>
        <v>0</v>
      </c>
      <c r="W68" s="2"/>
      <c r="X68" s="2">
        <f t="shared" si="59"/>
        <v>2056.85</v>
      </c>
      <c r="Y68" s="2"/>
      <c r="Z68" s="19">
        <f t="shared" si="60"/>
        <v>0</v>
      </c>
    </row>
    <row r="69" spans="1:26" s="24" customFormat="1" hidden="1" outlineLevel="1" x14ac:dyDescent="0.25">
      <c r="A69" s="44"/>
      <c r="B69" s="11" t="str">
        <f>CONCATENATE("          ", "4197", " - ", "NON-TAXABLE SALES-RETURNED CHE")</f>
        <v xml:space="preserve">          4197 - NON-TAXABLE SALES-RETURNED CHE</v>
      </c>
      <c r="C69" s="11"/>
      <c r="D69" s="2">
        <f t="shared" ref="D69:D71" si="61">0</f>
        <v>0</v>
      </c>
      <c r="E69" s="2"/>
      <c r="F69" s="19">
        <f t="shared" si="53"/>
        <v>0</v>
      </c>
      <c r="G69" s="2"/>
      <c r="H69" s="2"/>
      <c r="I69" s="2"/>
      <c r="J69" s="19">
        <f t="shared" si="54"/>
        <v>0</v>
      </c>
      <c r="K69" s="2"/>
      <c r="L69" s="2">
        <f t="shared" si="55"/>
        <v>0</v>
      </c>
      <c r="M69" s="2"/>
      <c r="N69" s="19">
        <f t="shared" si="56"/>
        <v>0</v>
      </c>
      <c r="O69" s="11"/>
      <c r="P69" s="2">
        <f>--30</f>
        <v>30</v>
      </c>
      <c r="Q69" s="2"/>
      <c r="R69" s="19">
        <f t="shared" si="57"/>
        <v>3.9683432034847343E-3</v>
      </c>
      <c r="S69" s="2"/>
      <c r="T69" s="2"/>
      <c r="U69" s="2"/>
      <c r="V69" s="19">
        <f t="shared" si="58"/>
        <v>0</v>
      </c>
      <c r="W69" s="2"/>
      <c r="X69" s="2">
        <f t="shared" si="59"/>
        <v>30</v>
      </c>
      <c r="Y69" s="2"/>
      <c r="Z69" s="19">
        <f t="shared" si="60"/>
        <v>0</v>
      </c>
    </row>
    <row r="70" spans="1:26" s="24" customFormat="1" hidden="1" outlineLevel="1" x14ac:dyDescent="0.25">
      <c r="A70" s="44"/>
      <c r="B70" s="11" t="str">
        <f>CONCATENATE("          ", "4198", " - ", "NON-TAXABLE SALES-GRAD RENTALS")</f>
        <v xml:space="preserve">          4198 - NON-TAXABLE SALES-GRAD RENTALS</v>
      </c>
      <c r="C70" s="11"/>
      <c r="D70" s="2">
        <f t="shared" si="61"/>
        <v>0</v>
      </c>
      <c r="E70" s="2"/>
      <c r="F70" s="19">
        <f t="shared" si="53"/>
        <v>0</v>
      </c>
      <c r="G70" s="2"/>
      <c r="H70" s="2"/>
      <c r="I70" s="2"/>
      <c r="J70" s="19">
        <f t="shared" si="54"/>
        <v>0</v>
      </c>
      <c r="K70" s="2"/>
      <c r="L70" s="2">
        <f t="shared" si="55"/>
        <v>0</v>
      </c>
      <c r="M70" s="2"/>
      <c r="N70" s="19">
        <f t="shared" si="56"/>
        <v>0</v>
      </c>
      <c r="O70" s="11"/>
      <c r="P70" s="2">
        <f>--3732.1</f>
        <v>3732.1</v>
      </c>
      <c r="Q70" s="2"/>
      <c r="R70" s="19">
        <f t="shared" si="57"/>
        <v>0.49367512232417926</v>
      </c>
      <c r="S70" s="2"/>
      <c r="T70" s="2"/>
      <c r="U70" s="2"/>
      <c r="V70" s="19">
        <f t="shared" si="58"/>
        <v>0</v>
      </c>
      <c r="W70" s="2"/>
      <c r="X70" s="2">
        <f t="shared" si="59"/>
        <v>3732.1</v>
      </c>
      <c r="Y70" s="2"/>
      <c r="Z70" s="19">
        <f t="shared" si="60"/>
        <v>0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 t="shared" si="61"/>
        <v>0</v>
      </c>
      <c r="E71" s="2"/>
      <c r="F71" s="19">
        <f t="shared" si="53"/>
        <v>0</v>
      </c>
      <c r="G71" s="2"/>
      <c r="H71" s="2">
        <v>14000</v>
      </c>
      <c r="I71" s="2"/>
      <c r="J71" s="19">
        <f t="shared" si="54"/>
        <v>0</v>
      </c>
      <c r="K71" s="2"/>
      <c r="L71" s="2">
        <f t="shared" si="55"/>
        <v>-14000</v>
      </c>
      <c r="M71" s="2"/>
      <c r="N71" s="19">
        <f t="shared" si="56"/>
        <v>-1</v>
      </c>
      <c r="O71" s="11"/>
      <c r="P71" s="2">
        <f>--22475</f>
        <v>22475</v>
      </c>
      <c r="Q71" s="2"/>
      <c r="R71" s="19">
        <f t="shared" si="57"/>
        <v>2.9729504499439803</v>
      </c>
      <c r="S71" s="2"/>
      <c r="T71" s="2">
        <v>110000</v>
      </c>
      <c r="U71" s="2"/>
      <c r="V71" s="19">
        <f t="shared" si="58"/>
        <v>9.5652173913043477</v>
      </c>
      <c r="W71" s="2"/>
      <c r="X71" s="2">
        <f t="shared" si="59"/>
        <v>-87525</v>
      </c>
      <c r="Y71" s="2"/>
      <c r="Z71" s="19">
        <f t="shared" si="60"/>
        <v>-0.79568181818181816</v>
      </c>
    </row>
    <row r="72" spans="1:26" s="24" customFormat="1" hidden="1" outlineLevel="1" x14ac:dyDescent="0.25">
      <c r="A72" s="44"/>
      <c r="B72" s="11" t="str">
        <f>CONCATENATE("          ", "9163", " - ", "MISC. INCOME")</f>
        <v xml:space="preserve">          9163 - MISC. INCOME</v>
      </c>
      <c r="C72" s="11"/>
      <c r="D72" s="2">
        <f>--23333.33</f>
        <v>23333.33</v>
      </c>
      <c r="E72" s="2"/>
      <c r="F72" s="19">
        <f t="shared" si="53"/>
        <v>0</v>
      </c>
      <c r="G72" s="2"/>
      <c r="H72" s="2"/>
      <c r="I72" s="2"/>
      <c r="J72" s="19">
        <f t="shared" si="54"/>
        <v>0</v>
      </c>
      <c r="K72" s="2"/>
      <c r="L72" s="2">
        <f t="shared" si="55"/>
        <v>23333.33</v>
      </c>
      <c r="M72" s="2"/>
      <c r="N72" s="19">
        <f t="shared" si="56"/>
        <v>0</v>
      </c>
      <c r="O72" s="11"/>
      <c r="P72" s="2">
        <f>--84439.88</f>
        <v>84439.88</v>
      </c>
      <c r="Q72" s="2"/>
      <c r="R72" s="19">
        <f t="shared" si="57"/>
        <v>11.169547463368886</v>
      </c>
      <c r="S72" s="2"/>
      <c r="T72" s="2"/>
      <c r="U72" s="2"/>
      <c r="V72" s="19">
        <f t="shared" si="58"/>
        <v>0</v>
      </c>
      <c r="W72" s="2"/>
      <c r="X72" s="2">
        <f t="shared" si="59"/>
        <v>84439.88</v>
      </c>
      <c r="Y72" s="2"/>
      <c r="Z72" s="19">
        <f t="shared" si="60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1">
        <f>+D27-D29+D67</f>
        <v>16559.100000000002</v>
      </c>
      <c r="E74" s="14"/>
      <c r="F74" s="22">
        <f>IF(D$12=0,0,D74/D$12)</f>
        <v>0</v>
      </c>
      <c r="G74" s="14"/>
      <c r="H74" s="21">
        <f>+H27-H29+H67</f>
        <v>14624.452223884611</v>
      </c>
      <c r="I74" s="14"/>
      <c r="J74" s="22">
        <f>IF(H$12=0,0,H74/H$12)</f>
        <v>0</v>
      </c>
      <c r="K74" s="15"/>
      <c r="L74" s="21">
        <f>+D74-H74</f>
        <v>1934.647776115391</v>
      </c>
      <c r="M74" s="15"/>
      <c r="N74" s="22">
        <f>IF(H74=0,0,L74/H74)</f>
        <v>0.13228856346193468</v>
      </c>
      <c r="O74" s="29"/>
      <c r="P74" s="21">
        <f>+P27-P29+P67</f>
        <v>120754.28000000001</v>
      </c>
      <c r="Q74" s="14"/>
      <c r="R74" s="22">
        <f>IF(P$12=0,0,P74/P$12)</f>
        <v>15.973147544323089</v>
      </c>
      <c r="S74" s="14"/>
      <c r="T74" s="21">
        <f>+T27-T29+T67</f>
        <v>154113.57465499034</v>
      </c>
      <c r="U74" s="14"/>
      <c r="V74" s="22">
        <f>IF(T$12=0,0,T74/T$12)</f>
        <v>13.401180404781769</v>
      </c>
      <c r="W74" s="15"/>
      <c r="X74" s="21">
        <f>+P74-T74</f>
        <v>-33359.294654990328</v>
      </c>
      <c r="Y74" s="15"/>
      <c r="Z74" s="22">
        <f>IF(T74=0,0,X74/T74)</f>
        <v>-0.21645915831665594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-17.88</v>
      </c>
      <c r="E76" s="4"/>
      <c r="F76" s="12">
        <f>IF(D$12=0,0,D76/D$12)</f>
        <v>0</v>
      </c>
      <c r="G76" s="4"/>
      <c r="H76" s="4">
        <v>-33</v>
      </c>
      <c r="I76" s="4"/>
      <c r="J76" s="12">
        <f>IF(H$12=0,0,H76/H$12)</f>
        <v>0</v>
      </c>
      <c r="K76" s="4"/>
      <c r="L76" s="4">
        <f>+D76-H76</f>
        <v>15.120000000000001</v>
      </c>
      <c r="M76" s="4"/>
      <c r="N76" s="12">
        <f>IF(H76=0,0,L76/H76)</f>
        <v>-0.45818181818181819</v>
      </c>
      <c r="O76" s="10"/>
      <c r="P76" s="4">
        <v>770.5</v>
      </c>
      <c r="Q76" s="4"/>
      <c r="R76" s="12">
        <f>IF(P$12=0,0,P76/P$12)</f>
        <v>0.10192028127616626</v>
      </c>
      <c r="S76" s="4"/>
      <c r="T76" s="4">
        <v>1383</v>
      </c>
      <c r="U76" s="4"/>
      <c r="V76" s="12">
        <f>IF(T$12=0,0,T76/T$12)</f>
        <v>0.12026086956521739</v>
      </c>
      <c r="W76" s="4"/>
      <c r="X76" s="4">
        <f>+P76-T76</f>
        <v>-612.5</v>
      </c>
      <c r="Y76" s="4"/>
      <c r="Z76" s="12">
        <f>IF(T76=0,0,X76/T76)</f>
        <v>-0.44287780187997106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1">
        <f>+D74-D76</f>
        <v>16576.980000000003</v>
      </c>
      <c r="E78" s="14"/>
      <c r="F78" s="32">
        <f>IF(D$12=0,0,D78/D$12)</f>
        <v>0</v>
      </c>
      <c r="G78" s="14"/>
      <c r="H78" s="31">
        <f>+H74-H76</f>
        <v>14657.452223884611</v>
      </c>
      <c r="I78" s="14"/>
      <c r="J78" s="32">
        <f>IF(H$12=0,0,H78/H$12)</f>
        <v>0</v>
      </c>
      <c r="K78" s="15"/>
      <c r="L78" s="31">
        <f>D78-H78</f>
        <v>1919.527776115392</v>
      </c>
      <c r="M78" s="15"/>
      <c r="N78" s="32">
        <f>IF(H78=0,0,L78/H78)</f>
        <v>0.13095916990181167</v>
      </c>
      <c r="O78" s="29"/>
      <c r="P78" s="31">
        <f>+P74-P76</f>
        <v>119983.78000000001</v>
      </c>
      <c r="Q78" s="14"/>
      <c r="R78" s="32">
        <f>IF(P$12=0,0,P78/P$12)</f>
        <v>15.871227263046922</v>
      </c>
      <c r="S78" s="14"/>
      <c r="T78" s="31">
        <f>+T74-T76</f>
        <v>152730.57465499034</v>
      </c>
      <c r="U78" s="14"/>
      <c r="V78" s="32">
        <f>IF(T$12=0,0,T78/T$12)</f>
        <v>13.280919535216551</v>
      </c>
      <c r="W78" s="15"/>
      <c r="X78" s="31">
        <f>P78-T78</f>
        <v>-32746.794654990328</v>
      </c>
      <c r="Y78" s="15"/>
      <c r="Z78" s="32">
        <f>IF(T78=0,0,X78/T78)</f>
        <v>-0.21440890096147067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3">
        <f>SUM(D78:D80)</f>
        <v>16576.980000000003</v>
      </c>
      <c r="E81" s="14"/>
      <c r="F81" s="30">
        <f>IF(D$12=0,0,D81/D$12)</f>
        <v>0</v>
      </c>
      <c r="G81" s="14"/>
      <c r="H81" s="33">
        <f>SUM(H78:H80)</f>
        <v>14657.452223884611</v>
      </c>
      <c r="I81" s="14"/>
      <c r="J81" s="30">
        <f>IF(H$12=0,0,H81/H$12)</f>
        <v>0</v>
      </c>
      <c r="K81" s="15"/>
      <c r="L81" s="33">
        <f>+D81-H81</f>
        <v>1919.527776115392</v>
      </c>
      <c r="M81" s="15"/>
      <c r="N81" s="30">
        <f>IF(H81=0,0,L81/H81)</f>
        <v>0.13095916990181167</v>
      </c>
      <c r="O81" s="29"/>
      <c r="P81" s="33">
        <f>SUM(P78:P80)</f>
        <v>119983.78000000001</v>
      </c>
      <c r="Q81" s="14"/>
      <c r="R81" s="30">
        <f>IF(P$12=0,0,P81/P$12)</f>
        <v>15.871227263046922</v>
      </c>
      <c r="S81" s="14"/>
      <c r="T81" s="33">
        <f>SUM(T78:T80)</f>
        <v>152730.57465499034</v>
      </c>
      <c r="U81" s="14"/>
      <c r="V81" s="30">
        <f>IF(T$12=0,0,T81/T$12)</f>
        <v>13.280919535216551</v>
      </c>
      <c r="W81" s="15"/>
      <c r="X81" s="33">
        <f>+P81-T81</f>
        <v>-32746.794654990328</v>
      </c>
      <c r="Y81" s="15"/>
      <c r="Z81" s="30">
        <f>IF(T81=0,0,X81/T81)</f>
        <v>-0.21440890096147067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9">
        <v>43908.494841747684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63" t="s">
        <v>314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7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125526.55999999998</v>
      </c>
      <c r="E12" s="4"/>
      <c r="F12" s="12"/>
      <c r="G12" s="4"/>
      <c r="H12" s="4">
        <f>SUM(OSRRefH13x_0)</f>
        <v>178652</v>
      </c>
      <c r="I12" s="4"/>
      <c r="J12" s="12"/>
      <c r="K12" s="4"/>
      <c r="L12" s="4">
        <f t="shared" ref="L12:L38" si="0">+D12-H12</f>
        <v>-53125.440000000017</v>
      </c>
      <c r="M12" s="4"/>
      <c r="N12" s="12">
        <f t="shared" ref="N12:N38" si="1">IF(H12=0,0,L12/H12)</f>
        <v>-0.29736829142690829</v>
      </c>
      <c r="O12" s="10"/>
      <c r="P12" s="4">
        <f>SUM(OSRRefP13x_0)</f>
        <v>1924032.5800000008</v>
      </c>
      <c r="Q12" s="4"/>
      <c r="R12" s="12"/>
      <c r="S12" s="4"/>
      <c r="T12" s="4">
        <f>SUM(OSRRefT13x_0)</f>
        <v>1894551</v>
      </c>
      <c r="U12" s="4"/>
      <c r="V12" s="12"/>
      <c r="W12" s="4"/>
      <c r="X12" s="4">
        <f t="shared" ref="X12:X38" si="2">+P12-T12</f>
        <v>29481.580000000773</v>
      </c>
      <c r="Y12" s="4"/>
      <c r="Z12" s="12">
        <f t="shared" ref="Z12:Z38" si="3">IF(T12=0,0,X12/T12)</f>
        <v>1.5561249076958484E-2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157213</v>
      </c>
      <c r="I13" s="2"/>
      <c r="J13" s="19"/>
      <c r="K13" s="2"/>
      <c r="L13" s="2">
        <f t="shared" si="0"/>
        <v>-157213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1667203</v>
      </c>
      <c r="U13" s="2"/>
      <c r="V13" s="19"/>
      <c r="W13" s="2"/>
      <c r="X13" s="2">
        <f t="shared" si="2"/>
        <v>-1667203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--24733.17</f>
        <v>24733.17</v>
      </c>
      <c r="E14" s="2"/>
      <c r="F14" s="19"/>
      <c r="G14" s="2"/>
      <c r="H14" s="2"/>
      <c r="I14" s="2"/>
      <c r="J14" s="19"/>
      <c r="K14" s="2"/>
      <c r="L14" s="2">
        <f t="shared" si="0"/>
        <v>24733.17</v>
      </c>
      <c r="M14" s="2"/>
      <c r="N14" s="19">
        <f t="shared" si="1"/>
        <v>0</v>
      </c>
      <c r="O14" s="11"/>
      <c r="P14" s="2">
        <f>--296222.17</f>
        <v>296222.17</v>
      </c>
      <c r="Q14" s="2"/>
      <c r="R14" s="19"/>
      <c r="S14" s="2"/>
      <c r="T14" s="2"/>
      <c r="U14" s="2"/>
      <c r="V14" s="19"/>
      <c r="W14" s="2"/>
      <c r="X14" s="2">
        <f t="shared" si="2"/>
        <v>296222.17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--76432.07</f>
        <v>76432.070000000007</v>
      </c>
      <c r="E15" s="2"/>
      <c r="F15" s="19"/>
      <c r="G15" s="2"/>
      <c r="H15" s="2"/>
      <c r="I15" s="2"/>
      <c r="J15" s="19"/>
      <c r="K15" s="2"/>
      <c r="L15" s="2">
        <f t="shared" si="0"/>
        <v>76432.070000000007</v>
      </c>
      <c r="M15" s="2"/>
      <c r="N15" s="19">
        <f t="shared" si="1"/>
        <v>0</v>
      </c>
      <c r="O15" s="11"/>
      <c r="P15" s="2">
        <f>--1583545.55</f>
        <v>1583545.55</v>
      </c>
      <c r="Q15" s="2"/>
      <c r="R15" s="19"/>
      <c r="S15" s="2"/>
      <c r="T15" s="2"/>
      <c r="U15" s="2"/>
      <c r="V15" s="19"/>
      <c r="W15" s="2"/>
      <c r="X15" s="2">
        <f t="shared" si="2"/>
        <v>1583545.55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--10917.85</f>
        <v>10917.85</v>
      </c>
      <c r="E16" s="2"/>
      <c r="F16" s="19"/>
      <c r="G16" s="2"/>
      <c r="H16" s="2"/>
      <c r="I16" s="2"/>
      <c r="J16" s="19"/>
      <c r="K16" s="2"/>
      <c r="L16" s="2">
        <f t="shared" si="0"/>
        <v>10917.85</v>
      </c>
      <c r="M16" s="2"/>
      <c r="N16" s="19">
        <f t="shared" si="1"/>
        <v>0</v>
      </c>
      <c r="O16" s="11"/>
      <c r="P16" s="2">
        <f>--95247.08</f>
        <v>95247.08</v>
      </c>
      <c r="Q16" s="2"/>
      <c r="R16" s="19"/>
      <c r="S16" s="2"/>
      <c r="T16" s="2"/>
      <c r="U16" s="2"/>
      <c r="V16" s="19"/>
      <c r="W16" s="2"/>
      <c r="X16" s="2">
        <f t="shared" si="2"/>
        <v>95247.08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--149.99</f>
        <v>149.99</v>
      </c>
      <c r="E18" s="2"/>
      <c r="F18" s="19"/>
      <c r="G18" s="2"/>
      <c r="H18" s="2"/>
      <c r="I18" s="2"/>
      <c r="J18" s="19"/>
      <c r="K18" s="2"/>
      <c r="L18" s="2">
        <f t="shared" si="0"/>
        <v>149.99</v>
      </c>
      <c r="M18" s="2"/>
      <c r="N18" s="19">
        <f t="shared" si="1"/>
        <v>0</v>
      </c>
      <c r="O18" s="11"/>
      <c r="P18" s="2">
        <f>--4557.93</f>
        <v>4557.93</v>
      </c>
      <c r="Q18" s="2"/>
      <c r="R18" s="19"/>
      <c r="S18" s="2"/>
      <c r="T18" s="2"/>
      <c r="U18" s="2"/>
      <c r="V18" s="19"/>
      <c r="W18" s="2"/>
      <c r="X18" s="2">
        <f t="shared" si="2"/>
        <v>4557.93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--5856.22</f>
        <v>5856.22</v>
      </c>
      <c r="E19" s="2"/>
      <c r="F19" s="19"/>
      <c r="G19" s="2"/>
      <c r="H19" s="2"/>
      <c r="I19" s="2"/>
      <c r="J19" s="19"/>
      <c r="K19" s="2"/>
      <c r="L19" s="2">
        <f t="shared" si="0"/>
        <v>5856.22</v>
      </c>
      <c r="M19" s="2"/>
      <c r="N19" s="19">
        <f t="shared" si="1"/>
        <v>0</v>
      </c>
      <c r="O19" s="11"/>
      <c r="P19" s="2">
        <f>--46217.33</f>
        <v>46217.33</v>
      </c>
      <c r="Q19" s="2"/>
      <c r="R19" s="19"/>
      <c r="S19" s="2"/>
      <c r="T19" s="2"/>
      <c r="U19" s="2"/>
      <c r="V19" s="19"/>
      <c r="W19" s="2"/>
      <c r="X19" s="2">
        <f t="shared" si="2"/>
        <v>46217.33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--38.96</f>
        <v>38.96</v>
      </c>
      <c r="E20" s="2"/>
      <c r="F20" s="19"/>
      <c r="G20" s="2"/>
      <c r="H20" s="2"/>
      <c r="I20" s="2"/>
      <c r="J20" s="19"/>
      <c r="K20" s="2"/>
      <c r="L20" s="2">
        <f t="shared" si="0"/>
        <v>38.96</v>
      </c>
      <c r="M20" s="2"/>
      <c r="N20" s="19">
        <f t="shared" si="1"/>
        <v>0</v>
      </c>
      <c r="O20" s="11"/>
      <c r="P20" s="2">
        <f>--1094.84</f>
        <v>1094.8399999999999</v>
      </c>
      <c r="Q20" s="2"/>
      <c r="R20" s="19"/>
      <c r="S20" s="2"/>
      <c r="T20" s="2"/>
      <c r="U20" s="2"/>
      <c r="V20" s="19"/>
      <c r="W20" s="2"/>
      <c r="X20" s="2">
        <f t="shared" si="2"/>
        <v>1094.8399999999999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21439</v>
      </c>
      <c r="I21" s="2"/>
      <c r="J21" s="19"/>
      <c r="K21" s="2"/>
      <c r="L21" s="2">
        <f t="shared" si="0"/>
        <v>-21439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227348</v>
      </c>
      <c r="U21" s="2"/>
      <c r="V21" s="19"/>
      <c r="W21" s="2"/>
      <c r="X21" s="2">
        <f t="shared" si="2"/>
        <v>-227348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--257.96</f>
        <v>257.95999999999998</v>
      </c>
      <c r="E22" s="2"/>
      <c r="F22" s="19"/>
      <c r="G22" s="2"/>
      <c r="H22" s="2"/>
      <c r="I22" s="2"/>
      <c r="J22" s="19"/>
      <c r="K22" s="2"/>
      <c r="L22" s="2">
        <f t="shared" si="0"/>
        <v>257.95999999999998</v>
      </c>
      <c r="M22" s="2"/>
      <c r="N22" s="19">
        <f t="shared" si="1"/>
        <v>0</v>
      </c>
      <c r="O22" s="11"/>
      <c r="P22" s="2">
        <f>--2064.38</f>
        <v>2064.38</v>
      </c>
      <c r="Q22" s="2"/>
      <c r="R22" s="19"/>
      <c r="S22" s="2"/>
      <c r="T22" s="2"/>
      <c r="U22" s="2"/>
      <c r="V22" s="19"/>
      <c r="W22" s="2"/>
      <c r="X22" s="2">
        <f t="shared" si="2"/>
        <v>2064.38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--10906.99</f>
        <v>10906.99</v>
      </c>
      <c r="E23" s="2"/>
      <c r="F23" s="19"/>
      <c r="G23" s="2"/>
      <c r="H23" s="2"/>
      <c r="I23" s="2"/>
      <c r="J23" s="19"/>
      <c r="K23" s="2"/>
      <c r="L23" s="2">
        <f t="shared" si="0"/>
        <v>10906.99</v>
      </c>
      <c r="M23" s="2"/>
      <c r="N23" s="19">
        <f t="shared" si="1"/>
        <v>0</v>
      </c>
      <c r="O23" s="11"/>
      <c r="P23" s="2">
        <f>--97878.96</f>
        <v>97878.96</v>
      </c>
      <c r="Q23" s="2"/>
      <c r="R23" s="19"/>
      <c r="S23" s="2"/>
      <c r="T23" s="2"/>
      <c r="U23" s="2"/>
      <c r="V23" s="19"/>
      <c r="W23" s="2"/>
      <c r="X23" s="2">
        <f t="shared" si="2"/>
        <v>97878.96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--1706.87</f>
        <v>1706.87</v>
      </c>
      <c r="E24" s="2"/>
      <c r="F24" s="19"/>
      <c r="G24" s="2"/>
      <c r="H24" s="2"/>
      <c r="I24" s="2"/>
      <c r="J24" s="19"/>
      <c r="K24" s="2"/>
      <c r="L24" s="2">
        <f t="shared" si="0"/>
        <v>1706.87</v>
      </c>
      <c r="M24" s="2"/>
      <c r="N24" s="19">
        <f t="shared" si="1"/>
        <v>0</v>
      </c>
      <c r="O24" s="11"/>
      <c r="P24" s="2">
        <f>--6056.31</f>
        <v>6056.31</v>
      </c>
      <c r="Q24" s="2"/>
      <c r="R24" s="19"/>
      <c r="S24" s="2"/>
      <c r="T24" s="2"/>
      <c r="U24" s="2"/>
      <c r="V24" s="19"/>
      <c r="W24" s="2"/>
      <c r="X24" s="2">
        <f t="shared" si="2"/>
        <v>6056.31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--817.97</f>
        <v>817.97</v>
      </c>
      <c r="E26" s="2"/>
      <c r="F26" s="19"/>
      <c r="G26" s="2"/>
      <c r="H26" s="2"/>
      <c r="I26" s="2"/>
      <c r="J26" s="19"/>
      <c r="K26" s="2"/>
      <c r="L26" s="2">
        <f t="shared" si="0"/>
        <v>817.97</v>
      </c>
      <c r="M26" s="2"/>
      <c r="N26" s="19">
        <f t="shared" si="1"/>
        <v>0</v>
      </c>
      <c r="O26" s="11"/>
      <c r="P26" s="2">
        <f>--12145.79</f>
        <v>12145.79</v>
      </c>
      <c r="Q26" s="2"/>
      <c r="R26" s="19"/>
      <c r="S26" s="2"/>
      <c r="T26" s="2"/>
      <c r="U26" s="2"/>
      <c r="V26" s="19"/>
      <c r="W26" s="2"/>
      <c r="X26" s="2">
        <f t="shared" si="2"/>
        <v>12145.79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--519.9</f>
        <v>519.9</v>
      </c>
      <c r="E27" s="2"/>
      <c r="F27" s="19"/>
      <c r="G27" s="2"/>
      <c r="H27" s="2"/>
      <c r="I27" s="2"/>
      <c r="J27" s="19"/>
      <c r="K27" s="2"/>
      <c r="L27" s="2">
        <f t="shared" si="0"/>
        <v>519.9</v>
      </c>
      <c r="M27" s="2"/>
      <c r="N27" s="19">
        <f t="shared" si="1"/>
        <v>0</v>
      </c>
      <c r="O27" s="11"/>
      <c r="P27" s="2">
        <f>--2500.18</f>
        <v>2500.1799999999998</v>
      </c>
      <c r="Q27" s="2"/>
      <c r="R27" s="19"/>
      <c r="S27" s="2"/>
      <c r="T27" s="2"/>
      <c r="U27" s="2"/>
      <c r="V27" s="19"/>
      <c r="W27" s="2"/>
      <c r="X27" s="2">
        <f t="shared" si="2"/>
        <v>2500.1799999999998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-1117.89</f>
        <v>-1117.8900000000001</v>
      </c>
      <c r="E29" s="2"/>
      <c r="F29" s="19"/>
      <c r="G29" s="2"/>
      <c r="H29" s="2"/>
      <c r="I29" s="2"/>
      <c r="J29" s="19"/>
      <c r="K29" s="2"/>
      <c r="L29" s="2">
        <f t="shared" si="0"/>
        <v>-1117.8900000000001</v>
      </c>
      <c r="M29" s="2"/>
      <c r="N29" s="19">
        <f t="shared" si="1"/>
        <v>0</v>
      </c>
      <c r="O29" s="11"/>
      <c r="P29" s="2">
        <f>-7567.73</f>
        <v>-7567.73</v>
      </c>
      <c r="Q29" s="2"/>
      <c r="R29" s="19"/>
      <c r="S29" s="2"/>
      <c r="T29" s="2"/>
      <c r="U29" s="2"/>
      <c r="V29" s="19"/>
      <c r="W29" s="2"/>
      <c r="X29" s="2">
        <f t="shared" si="2"/>
        <v>-7567.73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-4341.94</f>
        <v>-4341.9399999999996</v>
      </c>
      <c r="E30" s="2"/>
      <c r="F30" s="19"/>
      <c r="G30" s="2"/>
      <c r="H30" s="2"/>
      <c r="I30" s="2"/>
      <c r="J30" s="19"/>
      <c r="K30" s="2"/>
      <c r="L30" s="2">
        <f t="shared" si="0"/>
        <v>-4341.9399999999996</v>
      </c>
      <c r="M30" s="2"/>
      <c r="N30" s="19">
        <f t="shared" si="1"/>
        <v>0</v>
      </c>
      <c r="O30" s="11"/>
      <c r="P30" s="2">
        <f>-207225.13</f>
        <v>-207225.13</v>
      </c>
      <c r="Q30" s="2"/>
      <c r="R30" s="19"/>
      <c r="S30" s="2"/>
      <c r="T30" s="2"/>
      <c r="U30" s="2"/>
      <c r="V30" s="19"/>
      <c r="W30" s="2"/>
      <c r="X30" s="2">
        <f t="shared" si="2"/>
        <v>-207225.13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-910.69</f>
        <v>-910.69</v>
      </c>
      <c r="E31" s="2"/>
      <c r="F31" s="19"/>
      <c r="G31" s="2"/>
      <c r="H31" s="2"/>
      <c r="I31" s="2"/>
      <c r="J31" s="19"/>
      <c r="K31" s="2"/>
      <c r="L31" s="2">
        <f t="shared" si="0"/>
        <v>-910.69</v>
      </c>
      <c r="M31" s="2"/>
      <c r="N31" s="19">
        <f t="shared" si="1"/>
        <v>0</v>
      </c>
      <c r="O31" s="11"/>
      <c r="P31" s="2">
        <f>-5825.41</f>
        <v>-5825.41</v>
      </c>
      <c r="Q31" s="2"/>
      <c r="R31" s="19"/>
      <c r="S31" s="2"/>
      <c r="T31" s="2"/>
      <c r="U31" s="2"/>
      <c r="V31" s="19"/>
      <c r="W31" s="2"/>
      <c r="X31" s="2">
        <f t="shared" si="2"/>
        <v>-5825.41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>-149.99</f>
        <v>-149.99</v>
      </c>
      <c r="E33" s="2"/>
      <c r="F33" s="19"/>
      <c r="G33" s="2"/>
      <c r="H33" s="2"/>
      <c r="I33" s="2"/>
      <c r="J33" s="19"/>
      <c r="K33" s="2"/>
      <c r="L33" s="2">
        <f t="shared" si="0"/>
        <v>-149.99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-290.88</f>
        <v>-290.88</v>
      </c>
      <c r="E34" s="2"/>
      <c r="F34" s="19"/>
      <c r="G34" s="2"/>
      <c r="H34" s="2"/>
      <c r="I34" s="2"/>
      <c r="J34" s="19"/>
      <c r="K34" s="2"/>
      <c r="L34" s="2">
        <f t="shared" si="0"/>
        <v>-290.88</v>
      </c>
      <c r="M34" s="2"/>
      <c r="N34" s="19">
        <f t="shared" si="1"/>
        <v>0</v>
      </c>
      <c r="O34" s="11"/>
      <c r="P34" s="2">
        <f>-3582.89</f>
        <v>-3582.89</v>
      </c>
      <c r="Q34" s="2"/>
      <c r="R34" s="19"/>
      <c r="S34" s="2"/>
      <c r="T34" s="2"/>
      <c r="U34" s="2"/>
      <c r="V34" s="19"/>
      <c r="W34" s="2"/>
      <c r="X34" s="2">
        <f t="shared" si="2"/>
        <v>-3582.89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4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83912.250000000015</v>
      </c>
      <c r="E40" s="4"/>
      <c r="F40" s="12">
        <f t="shared" ref="F40:F54" si="5">IF(D$12=0,0,D40/D$12)</f>
        <v>0.66848203280644369</v>
      </c>
      <c r="G40" s="4"/>
      <c r="H40" s="4">
        <f>SUM(OSRRefH16x_0)</f>
        <v>139520</v>
      </c>
      <c r="I40" s="4"/>
      <c r="J40" s="12">
        <f t="shared" ref="J40:J54" si="6">IF(H$12=0,0,H40/H$12)</f>
        <v>0.78095963101448629</v>
      </c>
      <c r="K40" s="4"/>
      <c r="L40" s="4">
        <f t="shared" ref="L40:L54" si="7">+D40-H40</f>
        <v>-55607.749999999985</v>
      </c>
      <c r="M40" s="4"/>
      <c r="N40" s="12">
        <f t="shared" ref="N40:N54" si="8">IF(H40=0,0,L40/H40)</f>
        <v>-0.39856472190366959</v>
      </c>
      <c r="O40" s="10"/>
      <c r="P40" s="4">
        <f>SUM(OSRRefP16x_0)</f>
        <v>1672221.5300000003</v>
      </c>
      <c r="Q40" s="4"/>
      <c r="R40" s="12">
        <f t="shared" ref="R40:R54" si="9">IF(P$12=0,0,P40/P$12)</f>
        <v>0.86912329208063599</v>
      </c>
      <c r="S40" s="4"/>
      <c r="T40" s="4">
        <f>SUM(OSRRefT16x_0)</f>
        <v>1479574</v>
      </c>
      <c r="U40" s="4"/>
      <c r="V40" s="12">
        <f t="shared" ref="V40:V54" si="10">IF(T$12=0,0,T40/T$12)</f>
        <v>0.78096287721998514</v>
      </c>
      <c r="W40" s="4"/>
      <c r="X40" s="4">
        <f t="shared" ref="X40:X54" si="11">+P40-T40</f>
        <v>192647.53000000026</v>
      </c>
      <c r="Y40" s="4"/>
      <c r="Z40" s="12">
        <f t="shared" ref="Z40:Z54" si="12">IF(T40=0,0,X40/T40)</f>
        <v>0.13020472784734002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5"/>
        <v>0</v>
      </c>
      <c r="G41" s="2"/>
      <c r="H41" s="2">
        <v>139520</v>
      </c>
      <c r="I41" s="2"/>
      <c r="J41" s="19">
        <f t="shared" si="6"/>
        <v>0.78095963101448629</v>
      </c>
      <c r="K41" s="2"/>
      <c r="L41" s="2">
        <f t="shared" si="7"/>
        <v>-139520</v>
      </c>
      <c r="M41" s="2"/>
      <c r="N41" s="19">
        <f t="shared" si="8"/>
        <v>-1</v>
      </c>
      <c r="O41" s="11"/>
      <c r="P41" s="2"/>
      <c r="Q41" s="2"/>
      <c r="R41" s="19">
        <f t="shared" si="9"/>
        <v>0</v>
      </c>
      <c r="S41" s="2"/>
      <c r="T41" s="2">
        <v>1479574</v>
      </c>
      <c r="U41" s="2"/>
      <c r="V41" s="19">
        <f t="shared" si="10"/>
        <v>0.78096287721998514</v>
      </c>
      <c r="W41" s="2"/>
      <c r="X41" s="2">
        <f t="shared" si="11"/>
        <v>-1479574</v>
      </c>
      <c r="Y41" s="2"/>
      <c r="Z41" s="19">
        <f t="shared" si="12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7374.68</v>
      </c>
      <c r="E42" s="2"/>
      <c r="F42" s="19">
        <f t="shared" si="5"/>
        <v>5.8749956981215781E-2</v>
      </c>
      <c r="G42" s="2"/>
      <c r="H42" s="2"/>
      <c r="I42" s="2"/>
      <c r="J42" s="19">
        <f t="shared" si="6"/>
        <v>0</v>
      </c>
      <c r="K42" s="2"/>
      <c r="L42" s="2">
        <f t="shared" si="7"/>
        <v>7374.68</v>
      </c>
      <c r="M42" s="2"/>
      <c r="N42" s="19">
        <f t="shared" si="8"/>
        <v>0</v>
      </c>
      <c r="O42" s="11"/>
      <c r="P42" s="2">
        <v>227130.27000000002</v>
      </c>
      <c r="Q42" s="2"/>
      <c r="R42" s="19">
        <f t="shared" si="9"/>
        <v>0.11804907690284534</v>
      </c>
      <c r="S42" s="2"/>
      <c r="T42" s="2"/>
      <c r="U42" s="2"/>
      <c r="V42" s="19">
        <f t="shared" si="10"/>
        <v>0</v>
      </c>
      <c r="W42" s="2"/>
      <c r="X42" s="2">
        <f t="shared" si="11"/>
        <v>227130.27000000002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43635.82</v>
      </c>
      <c r="E43" s="2"/>
      <c r="F43" s="19">
        <f t="shared" si="5"/>
        <v>0.34762220839956104</v>
      </c>
      <c r="G43" s="2"/>
      <c r="H43" s="2"/>
      <c r="I43" s="2"/>
      <c r="J43" s="19">
        <f t="shared" si="6"/>
        <v>0</v>
      </c>
      <c r="K43" s="2"/>
      <c r="L43" s="2">
        <f t="shared" si="7"/>
        <v>43635.82</v>
      </c>
      <c r="M43" s="2"/>
      <c r="N43" s="19">
        <f t="shared" si="8"/>
        <v>0</v>
      </c>
      <c r="O43" s="11"/>
      <c r="P43" s="2">
        <v>1210948.9800000002</v>
      </c>
      <c r="Q43" s="2"/>
      <c r="R43" s="19">
        <f t="shared" si="9"/>
        <v>0.62938070414587244</v>
      </c>
      <c r="S43" s="2"/>
      <c r="T43" s="2"/>
      <c r="U43" s="2"/>
      <c r="V43" s="19">
        <f t="shared" si="10"/>
        <v>0</v>
      </c>
      <c r="W43" s="2"/>
      <c r="X43" s="2">
        <f t="shared" si="11"/>
        <v>1210948.9800000002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6218.67</v>
      </c>
      <c r="E44" s="2"/>
      <c r="F44" s="19">
        <f t="shared" si="5"/>
        <v>4.9540670914585735E-2</v>
      </c>
      <c r="G44" s="2"/>
      <c r="H44" s="2"/>
      <c r="I44" s="2"/>
      <c r="J44" s="19">
        <f t="shared" si="6"/>
        <v>0</v>
      </c>
      <c r="K44" s="2"/>
      <c r="L44" s="2">
        <f t="shared" si="7"/>
        <v>6218.67</v>
      </c>
      <c r="M44" s="2"/>
      <c r="N44" s="19">
        <f t="shared" si="8"/>
        <v>0</v>
      </c>
      <c r="O44" s="11"/>
      <c r="P44" s="2">
        <v>71116.739999999991</v>
      </c>
      <c r="Q44" s="2"/>
      <c r="R44" s="19">
        <f t="shared" si="9"/>
        <v>3.6962336677271841E-2</v>
      </c>
      <c r="S44" s="2"/>
      <c r="T44" s="2"/>
      <c r="U44" s="2"/>
      <c r="V44" s="19">
        <f t="shared" si="10"/>
        <v>0</v>
      </c>
      <c r="W44" s="2"/>
      <c r="X44" s="2">
        <f t="shared" si="11"/>
        <v>71116.739999999991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2728</v>
      </c>
      <c r="Q45" s="2"/>
      <c r="R45" s="19">
        <f t="shared" si="9"/>
        <v>1.417855408664649E-3</v>
      </c>
      <c r="S45" s="2"/>
      <c r="T45" s="2"/>
      <c r="U45" s="2"/>
      <c r="V45" s="19">
        <f t="shared" si="10"/>
        <v>0</v>
      </c>
      <c r="W45" s="2"/>
      <c r="X45" s="2">
        <f t="shared" si="11"/>
        <v>2728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1301.73</v>
      </c>
      <c r="E46" s="2"/>
      <c r="F46" s="19">
        <f t="shared" si="5"/>
        <v>1.0370155925566671E-2</v>
      </c>
      <c r="G46" s="2"/>
      <c r="H46" s="2"/>
      <c r="I46" s="2"/>
      <c r="J46" s="19">
        <f t="shared" si="6"/>
        <v>0</v>
      </c>
      <c r="K46" s="2"/>
      <c r="L46" s="2">
        <f t="shared" si="7"/>
        <v>1301.73</v>
      </c>
      <c r="M46" s="2"/>
      <c r="N46" s="19">
        <f t="shared" si="8"/>
        <v>0</v>
      </c>
      <c r="O46" s="11"/>
      <c r="P46" s="2">
        <v>9162.39</v>
      </c>
      <c r="Q46" s="2"/>
      <c r="R46" s="19">
        <f t="shared" si="9"/>
        <v>4.7620763261711479E-3</v>
      </c>
      <c r="S46" s="2"/>
      <c r="T46" s="2"/>
      <c r="U46" s="2"/>
      <c r="V46" s="19">
        <f t="shared" si="10"/>
        <v>0</v>
      </c>
      <c r="W46" s="2"/>
      <c r="X46" s="2">
        <f t="shared" si="11"/>
        <v>9162.39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4070.58</v>
      </c>
      <c r="E47" s="2"/>
      <c r="F47" s="19">
        <f t="shared" si="5"/>
        <v>3.2428037540421728E-2</v>
      </c>
      <c r="G47" s="2"/>
      <c r="H47" s="2"/>
      <c r="I47" s="2"/>
      <c r="J47" s="19">
        <f t="shared" si="6"/>
        <v>0</v>
      </c>
      <c r="K47" s="2"/>
      <c r="L47" s="2">
        <f t="shared" si="7"/>
        <v>4070.58</v>
      </c>
      <c r="M47" s="2"/>
      <c r="N47" s="19">
        <f t="shared" si="8"/>
        <v>0</v>
      </c>
      <c r="O47" s="11"/>
      <c r="P47" s="2">
        <v>29002.1</v>
      </c>
      <c r="Q47" s="2"/>
      <c r="R47" s="19">
        <f t="shared" si="9"/>
        <v>1.5073601300451985E-2</v>
      </c>
      <c r="S47" s="2"/>
      <c r="T47" s="2"/>
      <c r="U47" s="2"/>
      <c r="V47" s="19">
        <f t="shared" si="10"/>
        <v>0</v>
      </c>
      <c r="W47" s="2"/>
      <c r="X47" s="2">
        <f t="shared" si="11"/>
        <v>29002.1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>
        <v>6.9</v>
      </c>
      <c r="E48" s="2"/>
      <c r="F48" s="19">
        <f t="shared" si="5"/>
        <v>5.4968446518410137E-5</v>
      </c>
      <c r="G48" s="2"/>
      <c r="H48" s="2"/>
      <c r="I48" s="2"/>
      <c r="J48" s="19">
        <f t="shared" si="6"/>
        <v>0</v>
      </c>
      <c r="K48" s="2"/>
      <c r="L48" s="2">
        <f t="shared" si="7"/>
        <v>6.9</v>
      </c>
      <c r="M48" s="2"/>
      <c r="N48" s="19">
        <f t="shared" si="8"/>
        <v>0</v>
      </c>
      <c r="O48" s="11"/>
      <c r="P48" s="2">
        <v>95.65</v>
      </c>
      <c r="Q48" s="2"/>
      <c r="R48" s="19">
        <f t="shared" si="9"/>
        <v>4.9713295395444897E-5</v>
      </c>
      <c r="S48" s="2"/>
      <c r="T48" s="2"/>
      <c r="U48" s="2"/>
      <c r="V48" s="19">
        <f t="shared" si="10"/>
        <v>0</v>
      </c>
      <c r="W48" s="2"/>
      <c r="X48" s="2">
        <f t="shared" si="11"/>
        <v>95.65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-62692</v>
      </c>
      <c r="E49" s="2"/>
      <c r="F49" s="19">
        <f t="shared" si="5"/>
        <v>-0.49943215204814034</v>
      </c>
      <c r="G49" s="2"/>
      <c r="H49" s="2"/>
      <c r="I49" s="2"/>
      <c r="J49" s="19">
        <f t="shared" si="6"/>
        <v>0</v>
      </c>
      <c r="K49" s="2"/>
      <c r="L49" s="2">
        <f t="shared" si="7"/>
        <v>-62692</v>
      </c>
      <c r="M49" s="2"/>
      <c r="N49" s="19">
        <f t="shared" si="8"/>
        <v>0</v>
      </c>
      <c r="O49" s="11"/>
      <c r="P49" s="2">
        <v>-1550621</v>
      </c>
      <c r="Q49" s="2"/>
      <c r="R49" s="19">
        <f t="shared" si="9"/>
        <v>-0.80592242362132938</v>
      </c>
      <c r="S49" s="2"/>
      <c r="T49" s="2"/>
      <c r="U49" s="2"/>
      <c r="V49" s="19">
        <f t="shared" si="10"/>
        <v>0</v>
      </c>
      <c r="W49" s="2"/>
      <c r="X49" s="2">
        <f t="shared" si="11"/>
        <v>-1550621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83913</v>
      </c>
      <c r="E50" s="2"/>
      <c r="F50" s="19">
        <f t="shared" si="5"/>
        <v>0.66848800763758687</v>
      </c>
      <c r="G50" s="2"/>
      <c r="H50" s="2"/>
      <c r="I50" s="2"/>
      <c r="J50" s="19">
        <f t="shared" si="6"/>
        <v>0</v>
      </c>
      <c r="K50" s="2"/>
      <c r="L50" s="2">
        <f t="shared" si="7"/>
        <v>83913</v>
      </c>
      <c r="M50" s="2"/>
      <c r="N50" s="19">
        <f t="shared" si="8"/>
        <v>0</v>
      </c>
      <c r="O50" s="11"/>
      <c r="P50" s="2">
        <v>1672220</v>
      </c>
      <c r="Q50" s="2"/>
      <c r="R50" s="19">
        <f t="shared" si="9"/>
        <v>0.86912249687580623</v>
      </c>
      <c r="S50" s="2"/>
      <c r="T50" s="2"/>
      <c r="U50" s="2"/>
      <c r="V50" s="19">
        <f t="shared" si="10"/>
        <v>0</v>
      </c>
      <c r="W50" s="2"/>
      <c r="X50" s="2">
        <f t="shared" si="11"/>
        <v>1672220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105.75</v>
      </c>
      <c r="Q51" s="2"/>
      <c r="R51" s="19">
        <f t="shared" si="9"/>
        <v>5.4962686754503898E-5</v>
      </c>
      <c r="S51" s="2"/>
      <c r="T51" s="2"/>
      <c r="U51" s="2"/>
      <c r="V51" s="19">
        <f t="shared" si="10"/>
        <v>0</v>
      </c>
      <c r="W51" s="2"/>
      <c r="X51" s="2">
        <f t="shared" si="11"/>
        <v>105.75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4.84</v>
      </c>
      <c r="Q52" s="2"/>
      <c r="R52" s="19">
        <f t="shared" si="9"/>
        <v>2.5155499185985706E-6</v>
      </c>
      <c r="S52" s="2"/>
      <c r="T52" s="2"/>
      <c r="U52" s="2"/>
      <c r="V52" s="19">
        <f t="shared" si="10"/>
        <v>0</v>
      </c>
      <c r="W52" s="2"/>
      <c r="X52" s="2">
        <f t="shared" si="11"/>
        <v>4.84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>
        <v>8.3800000000000008</v>
      </c>
      <c r="E53" s="2"/>
      <c r="F53" s="19">
        <f t="shared" si="5"/>
        <v>6.6758779974532891E-5</v>
      </c>
      <c r="G53" s="2"/>
      <c r="H53" s="2"/>
      <c r="I53" s="2"/>
      <c r="J53" s="19">
        <f t="shared" si="6"/>
        <v>0</v>
      </c>
      <c r="K53" s="2"/>
      <c r="L53" s="2">
        <f t="shared" si="7"/>
        <v>8.3800000000000008</v>
      </c>
      <c r="M53" s="2"/>
      <c r="N53" s="19">
        <f t="shared" si="8"/>
        <v>0</v>
      </c>
      <c r="O53" s="11"/>
      <c r="P53" s="2">
        <v>57.5</v>
      </c>
      <c r="Q53" s="2"/>
      <c r="R53" s="19">
        <f t="shared" si="9"/>
        <v>2.9885148826325994E-5</v>
      </c>
      <c r="S53" s="2"/>
      <c r="T53" s="2"/>
      <c r="U53" s="2"/>
      <c r="V53" s="19">
        <f t="shared" si="10"/>
        <v>0</v>
      </c>
      <c r="W53" s="2"/>
      <c r="X53" s="2">
        <f t="shared" si="11"/>
        <v>57.5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74.489999999999995</v>
      </c>
      <c r="E54" s="2"/>
      <c r="F54" s="19">
        <f t="shared" si="5"/>
        <v>5.9342022915309721E-4</v>
      </c>
      <c r="G54" s="2"/>
      <c r="H54" s="2"/>
      <c r="I54" s="2"/>
      <c r="J54" s="19">
        <f t="shared" si="6"/>
        <v>0</v>
      </c>
      <c r="K54" s="2"/>
      <c r="L54" s="2">
        <f t="shared" si="7"/>
        <v>74.489999999999995</v>
      </c>
      <c r="M54" s="2"/>
      <c r="N54" s="19">
        <f t="shared" si="8"/>
        <v>0</v>
      </c>
      <c r="O54" s="11"/>
      <c r="P54" s="2">
        <v>270.31</v>
      </c>
      <c r="Q54" s="2"/>
      <c r="R54" s="19">
        <f t="shared" si="9"/>
        <v>1.404913839868553E-4</v>
      </c>
      <c r="S54" s="2"/>
      <c r="T54" s="2"/>
      <c r="U54" s="2"/>
      <c r="V54" s="19">
        <f t="shared" si="10"/>
        <v>0</v>
      </c>
      <c r="W54" s="2"/>
      <c r="X54" s="2">
        <f t="shared" si="11"/>
        <v>270.31</v>
      </c>
      <c r="Y54" s="2"/>
      <c r="Z54" s="19">
        <f t="shared" si="12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1">
        <f>D12-D40</f>
        <v>41614.309999999969</v>
      </c>
      <c r="E56" s="14"/>
      <c r="F56" s="22">
        <f>IF(D$12=0,0,D56/D$12)</f>
        <v>0.33151796719355631</v>
      </c>
      <c r="G56" s="14"/>
      <c r="H56" s="21">
        <f>H12-H40</f>
        <v>39132</v>
      </c>
      <c r="I56" s="14"/>
      <c r="J56" s="22">
        <f>IF(H$12=0,0,H56/H$12)</f>
        <v>0.21904036898551374</v>
      </c>
      <c r="K56" s="15"/>
      <c r="L56" s="21">
        <f>+D56-H56</f>
        <v>2482.3099999999686</v>
      </c>
      <c r="M56" s="15"/>
      <c r="N56" s="22">
        <f>IF(H56=0,0,L56/H56)</f>
        <v>6.3434273740160696E-2</v>
      </c>
      <c r="O56" s="29"/>
      <c r="P56" s="21">
        <f>P12-P40</f>
        <v>251811.05000000051</v>
      </c>
      <c r="Q56" s="14"/>
      <c r="R56" s="22">
        <f>IF(P$12=0,0,P56/P$12)</f>
        <v>0.13087670791936404</v>
      </c>
      <c r="S56" s="14"/>
      <c r="T56" s="21">
        <f>T12-T40</f>
        <v>414977</v>
      </c>
      <c r="U56" s="14"/>
      <c r="V56" s="22">
        <f>IF(T$12=0,0,T56/T$12)</f>
        <v>0.21903712278001489</v>
      </c>
      <c r="W56" s="15"/>
      <c r="X56" s="21">
        <f>+P56-T56</f>
        <v>-163165.94999999949</v>
      </c>
      <c r="Y56" s="15"/>
      <c r="Z56" s="22">
        <f>IF(T56=0,0,X56/T56)</f>
        <v>-0.39319275526113373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0">
        <f>SUM(OSRRefD22x_0)</f>
        <v>14433.640000000001</v>
      </c>
      <c r="E58" s="20"/>
      <c r="F58" s="34">
        <f t="shared" ref="F58:F69" si="13">IF(D$12=0,0,D58/D$12)</f>
        <v>0.1149847490443457</v>
      </c>
      <c r="G58" s="20"/>
      <c r="H58" s="20">
        <f>SUM(OSRRefH22x_0)</f>
        <v>17343.113898116924</v>
      </c>
      <c r="I58" s="20"/>
      <c r="J58" s="34">
        <f t="shared" ref="J58:J69" si="14">IF(H$12=0,0,H58/H$12)</f>
        <v>9.7077636399911141E-2</v>
      </c>
      <c r="K58" s="4"/>
      <c r="L58" s="20">
        <f t="shared" ref="L58:L69" si="15">+D58-H58</f>
        <v>-2909.473898116923</v>
      </c>
      <c r="M58" s="4"/>
      <c r="N58" s="34">
        <f t="shared" ref="N58:N69" si="16">IF(H58=0,0,L58/H58)</f>
        <v>-0.16775960275696666</v>
      </c>
      <c r="O58" s="10"/>
      <c r="P58" s="20">
        <f>SUM(OSRRefP22x_0)</f>
        <v>160499.60000000003</v>
      </c>
      <c r="Q58" s="20"/>
      <c r="R58" s="34">
        <f t="shared" ref="R58:R69" si="17">IF(P$12=0,0,P58/P$12)</f>
        <v>8.3418337957665956E-2</v>
      </c>
      <c r="S58" s="20"/>
      <c r="T58" s="20">
        <f>SUM(OSRRefT22x_0)</f>
        <v>132690.15256847307</v>
      </c>
      <c r="U58" s="20"/>
      <c r="V58" s="34">
        <f t="shared" ref="V58:V69" si="18">IF(T$12=0,0,T58/T$12)</f>
        <v>7.0037783394837655E-2</v>
      </c>
      <c r="W58" s="4"/>
      <c r="X58" s="20">
        <f t="shared" ref="X58:X69" si="19">+P58-T58</f>
        <v>27809.447431526962</v>
      </c>
      <c r="Y58" s="4"/>
      <c r="Z58" s="34">
        <f t="shared" ref="Z58:Z69" si="20">IF(T58=0,0,X58/T58)</f>
        <v>0.20958184833781277</v>
      </c>
    </row>
    <row r="59" spans="1:26" s="27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3042.6499999999992</v>
      </c>
      <c r="E59" s="1"/>
      <c r="F59" s="5">
        <f t="shared" si="13"/>
        <v>2.423909330423776E-2</v>
      </c>
      <c r="G59" s="1"/>
      <c r="H59" s="1">
        <f>SUM(OSRRefH22_0x_0)</f>
        <v>2456.1270073476921</v>
      </c>
      <c r="I59" s="1"/>
      <c r="J59" s="5">
        <f t="shared" si="14"/>
        <v>1.3748108094774714E-2</v>
      </c>
      <c r="K59" s="1"/>
      <c r="L59" s="1">
        <f t="shared" si="15"/>
        <v>586.52299265230704</v>
      </c>
      <c r="M59" s="1"/>
      <c r="N59" s="5">
        <f t="shared" si="16"/>
        <v>0.23879994434232374</v>
      </c>
      <c r="O59" s="13"/>
      <c r="P59" s="1">
        <f>SUM(OSRRefP22_0x_0)</f>
        <v>24441.55</v>
      </c>
      <c r="Q59" s="1"/>
      <c r="R59" s="5">
        <f t="shared" si="17"/>
        <v>1.2703293205149358E-2</v>
      </c>
      <c r="S59" s="1"/>
      <c r="T59" s="1">
        <f>SUM(OSRRefT22_0x_0)</f>
        <v>20796.001899242307</v>
      </c>
      <c r="U59" s="1"/>
      <c r="V59" s="5">
        <f t="shared" si="18"/>
        <v>1.0976744304715106E-2</v>
      </c>
      <c r="W59" s="1"/>
      <c r="X59" s="1">
        <f t="shared" si="19"/>
        <v>3645.5481007576927</v>
      </c>
      <c r="Y59" s="1"/>
      <c r="Z59" s="5">
        <f t="shared" si="20"/>
        <v>0.17530043122810623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6">
        <v>649.87</v>
      </c>
      <c r="E60" s="2"/>
      <c r="F60" s="7">
        <f t="shared" si="13"/>
        <v>5.1771513534665499E-3</v>
      </c>
      <c r="G60" s="2"/>
      <c r="H60" s="6">
        <v>368.84942751692296</v>
      </c>
      <c r="I60" s="2"/>
      <c r="J60" s="7">
        <f t="shared" si="14"/>
        <v>2.0646252351886516E-3</v>
      </c>
      <c r="K60" s="2"/>
      <c r="L60" s="6">
        <f t="shared" si="15"/>
        <v>281.02057248307705</v>
      </c>
      <c r="M60" s="2"/>
      <c r="N60" s="7">
        <f t="shared" si="16"/>
        <v>0.76188425823213113</v>
      </c>
      <c r="O60" s="11"/>
      <c r="P60" s="6">
        <v>5475.38</v>
      </c>
      <c r="Q60" s="2"/>
      <c r="R60" s="7">
        <f t="shared" si="17"/>
        <v>2.8457834118380669E-3</v>
      </c>
      <c r="S60" s="2"/>
      <c r="T60" s="6">
        <v>3915.5496898730771</v>
      </c>
      <c r="U60" s="2"/>
      <c r="V60" s="7">
        <f t="shared" si="18"/>
        <v>2.0667428271253069E-3</v>
      </c>
      <c r="W60" s="2"/>
      <c r="X60" s="6">
        <f t="shared" si="19"/>
        <v>1559.830310126923</v>
      </c>
      <c r="Y60" s="2"/>
      <c r="Z60" s="7">
        <f t="shared" si="20"/>
        <v>0.39836815611385717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6">
        <v>213.71</v>
      </c>
      <c r="E61" s="2"/>
      <c r="F61" s="7">
        <f t="shared" si="13"/>
        <v>1.7025082181810769E-3</v>
      </c>
      <c r="G61" s="2"/>
      <c r="H61" s="6">
        <v>216.894434961538</v>
      </c>
      <c r="I61" s="2"/>
      <c r="J61" s="7">
        <f t="shared" si="14"/>
        <v>1.214061051438204E-3</v>
      </c>
      <c r="K61" s="2"/>
      <c r="L61" s="6">
        <f t="shared" si="15"/>
        <v>-3.1844349615379883</v>
      </c>
      <c r="M61" s="2"/>
      <c r="N61" s="7">
        <f t="shared" si="16"/>
        <v>-1.4681957893952815E-2</v>
      </c>
      <c r="O61" s="11"/>
      <c r="P61" s="6">
        <v>1366.89</v>
      </c>
      <c r="Q61" s="2"/>
      <c r="R61" s="7">
        <f t="shared" si="17"/>
        <v>7.1042975789942166E-4</v>
      </c>
      <c r="S61" s="2"/>
      <c r="T61" s="6">
        <v>1602.2198480384591</v>
      </c>
      <c r="U61" s="2"/>
      <c r="V61" s="7">
        <f t="shared" si="18"/>
        <v>8.4569897988413041E-4</v>
      </c>
      <c r="W61" s="2"/>
      <c r="X61" s="6">
        <f t="shared" si="19"/>
        <v>-235.32984803845898</v>
      </c>
      <c r="Y61" s="2"/>
      <c r="Z61" s="7">
        <f t="shared" si="20"/>
        <v>-0.14687737661380551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6">
        <v>1376.77</v>
      </c>
      <c r="E62" s="2"/>
      <c r="F62" s="7">
        <f t="shared" si="13"/>
        <v>1.0967957697558192E-2</v>
      </c>
      <c r="G62" s="2"/>
      <c r="H62" s="6">
        <v>1186.2</v>
      </c>
      <c r="I62" s="2"/>
      <c r="J62" s="7">
        <f t="shared" si="14"/>
        <v>6.6397241564606054E-3</v>
      </c>
      <c r="K62" s="2"/>
      <c r="L62" s="6">
        <f t="shared" si="15"/>
        <v>190.56999999999994</v>
      </c>
      <c r="M62" s="2"/>
      <c r="N62" s="7">
        <f t="shared" si="16"/>
        <v>0.16065587590625521</v>
      </c>
      <c r="O62" s="11"/>
      <c r="P62" s="6">
        <v>9188.36</v>
      </c>
      <c r="Q62" s="2"/>
      <c r="R62" s="7">
        <f t="shared" si="17"/>
        <v>4.775574018606274E-3</v>
      </c>
      <c r="S62" s="2"/>
      <c r="T62" s="6">
        <v>9489.6</v>
      </c>
      <c r="U62" s="2"/>
      <c r="V62" s="7">
        <f t="shared" si="18"/>
        <v>5.0088912887539059E-3</v>
      </c>
      <c r="W62" s="2"/>
      <c r="X62" s="6">
        <f t="shared" si="19"/>
        <v>-301.23999999999978</v>
      </c>
      <c r="Y62" s="2"/>
      <c r="Z62" s="7">
        <f t="shared" si="20"/>
        <v>-3.1744225257123566E-2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6">
        <v>29.24</v>
      </c>
      <c r="E63" s="2"/>
      <c r="F63" s="7">
        <f t="shared" si="13"/>
        <v>2.3293875017366844E-4</v>
      </c>
      <c r="G63" s="2"/>
      <c r="H63" s="6">
        <v>29.680291100000002</v>
      </c>
      <c r="I63" s="2"/>
      <c r="J63" s="7">
        <f t="shared" si="14"/>
        <v>1.6613467019680722E-4</v>
      </c>
      <c r="K63" s="2"/>
      <c r="L63" s="6">
        <f t="shared" si="15"/>
        <v>-0.44029110000000315</v>
      </c>
      <c r="M63" s="2"/>
      <c r="N63" s="7">
        <f t="shared" si="16"/>
        <v>-1.4834460299481468E-2</v>
      </c>
      <c r="O63" s="11"/>
      <c r="P63" s="6">
        <v>215.49</v>
      </c>
      <c r="Q63" s="2"/>
      <c r="R63" s="7">
        <f t="shared" si="17"/>
        <v>1.1199914296669546E-4</v>
      </c>
      <c r="S63" s="2"/>
      <c r="T63" s="6">
        <v>219.25113709999999</v>
      </c>
      <c r="U63" s="2"/>
      <c r="V63" s="7">
        <f t="shared" si="18"/>
        <v>1.157272288262496E-4</v>
      </c>
      <c r="W63" s="2"/>
      <c r="X63" s="6">
        <f t="shared" si="19"/>
        <v>-3.7611370999999849</v>
      </c>
      <c r="Y63" s="2"/>
      <c r="Z63" s="7">
        <f t="shared" si="20"/>
        <v>-1.7154470210499012E-2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6">
        <v>268.89</v>
      </c>
      <c r="E64" s="2"/>
      <c r="F64" s="7">
        <f t="shared" si="13"/>
        <v>2.1420964614978695E-3</v>
      </c>
      <c r="G64" s="2"/>
      <c r="H64" s="6">
        <v>294.022912615385</v>
      </c>
      <c r="I64" s="2"/>
      <c r="J64" s="7">
        <f t="shared" si="14"/>
        <v>1.6457857321238217E-3</v>
      </c>
      <c r="K64" s="2"/>
      <c r="L64" s="6">
        <f t="shared" si="15"/>
        <v>-25.13291261538501</v>
      </c>
      <c r="M64" s="2"/>
      <c r="N64" s="7">
        <f t="shared" si="16"/>
        <v>-8.5479435571273604E-2</v>
      </c>
      <c r="O64" s="11"/>
      <c r="P64" s="6">
        <v>1955.36</v>
      </c>
      <c r="Q64" s="2"/>
      <c r="R64" s="7">
        <f t="shared" si="17"/>
        <v>1.0162821671138224E-3</v>
      </c>
      <c r="S64" s="2"/>
      <c r="T64" s="6">
        <v>2572.7004853846179</v>
      </c>
      <c r="U64" s="2"/>
      <c r="V64" s="7">
        <f t="shared" si="18"/>
        <v>1.3579473370654144E-3</v>
      </c>
      <c r="W64" s="2"/>
      <c r="X64" s="6">
        <f t="shared" si="19"/>
        <v>-617.34048538461798</v>
      </c>
      <c r="Y64" s="2"/>
      <c r="Z64" s="7">
        <f t="shared" si="20"/>
        <v>-0.23995816415152027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3"/>
        <v>0</v>
      </c>
      <c r="G65" s="2"/>
      <c r="H65" s="6">
        <v>0</v>
      </c>
      <c r="I65" s="2"/>
      <c r="J65" s="7">
        <f t="shared" si="14"/>
        <v>0</v>
      </c>
      <c r="K65" s="2"/>
      <c r="L65" s="6">
        <f t="shared" si="15"/>
        <v>0</v>
      </c>
      <c r="M65" s="2"/>
      <c r="N65" s="7">
        <f t="shared" si="16"/>
        <v>0</v>
      </c>
      <c r="O65" s="11"/>
      <c r="P65" s="6"/>
      <c r="Q65" s="2"/>
      <c r="R65" s="7">
        <f t="shared" si="17"/>
        <v>0</v>
      </c>
      <c r="S65" s="2"/>
      <c r="T65" s="6">
        <v>0</v>
      </c>
      <c r="U65" s="2"/>
      <c r="V65" s="7">
        <f t="shared" si="18"/>
        <v>0</v>
      </c>
      <c r="W65" s="2"/>
      <c r="X65" s="6">
        <f t="shared" si="19"/>
        <v>0</v>
      </c>
      <c r="Y65" s="2"/>
      <c r="Z65" s="7">
        <f t="shared" si="20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6">
        <v>94.62</v>
      </c>
      <c r="E66" s="2"/>
      <c r="F66" s="7">
        <f t="shared" si="13"/>
        <v>7.5378469703941552E-4</v>
      </c>
      <c r="G66" s="2"/>
      <c r="H66" s="6"/>
      <c r="I66" s="2"/>
      <c r="J66" s="7">
        <f t="shared" si="14"/>
        <v>0</v>
      </c>
      <c r="K66" s="2"/>
      <c r="L66" s="6">
        <f t="shared" si="15"/>
        <v>94.62</v>
      </c>
      <c r="M66" s="2"/>
      <c r="N66" s="7">
        <f t="shared" si="16"/>
        <v>0</v>
      </c>
      <c r="O66" s="11"/>
      <c r="P66" s="6">
        <v>1289.98</v>
      </c>
      <c r="Q66" s="2"/>
      <c r="R66" s="7">
        <f t="shared" si="17"/>
        <v>6.7045642231276532E-4</v>
      </c>
      <c r="S66" s="2"/>
      <c r="T66" s="6"/>
      <c r="U66" s="2"/>
      <c r="V66" s="7">
        <f t="shared" si="18"/>
        <v>0</v>
      </c>
      <c r="W66" s="2"/>
      <c r="X66" s="6">
        <f t="shared" si="19"/>
        <v>1289.98</v>
      </c>
      <c r="Y66" s="2"/>
      <c r="Z66" s="7">
        <f t="shared" si="20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6">
        <v>67.989999999999995</v>
      </c>
      <c r="E67" s="2"/>
      <c r="F67" s="7">
        <f t="shared" si="13"/>
        <v>5.4163835924444994E-4</v>
      </c>
      <c r="G67" s="2"/>
      <c r="H67" s="6">
        <v>170.943553846154</v>
      </c>
      <c r="I67" s="2"/>
      <c r="J67" s="7">
        <f t="shared" si="14"/>
        <v>9.5685216983943083E-4</v>
      </c>
      <c r="K67" s="2"/>
      <c r="L67" s="6">
        <f t="shared" si="15"/>
        <v>-102.95355384615401</v>
      </c>
      <c r="M67" s="2"/>
      <c r="N67" s="7">
        <f t="shared" si="16"/>
        <v>-0.60226637114851533</v>
      </c>
      <c r="O67" s="11"/>
      <c r="P67" s="6">
        <v>1667.07</v>
      </c>
      <c r="Q67" s="2"/>
      <c r="R67" s="7">
        <f t="shared" si="17"/>
        <v>8.6644582702440477E-4</v>
      </c>
      <c r="S67" s="2"/>
      <c r="T67" s="6">
        <v>1495.7560961538459</v>
      </c>
      <c r="U67" s="2"/>
      <c r="V67" s="7">
        <f t="shared" si="18"/>
        <v>7.8950426573570515E-4</v>
      </c>
      <c r="W67" s="2"/>
      <c r="X67" s="6">
        <f t="shared" si="19"/>
        <v>171.31390384615406</v>
      </c>
      <c r="Y67" s="2"/>
      <c r="Z67" s="7">
        <f t="shared" si="20"/>
        <v>0.11453331481427143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6">
        <v>177.56</v>
      </c>
      <c r="E68" s="2"/>
      <c r="F68" s="7">
        <f t="shared" si="13"/>
        <v>1.4145213570737542E-3</v>
      </c>
      <c r="G68" s="2"/>
      <c r="H68" s="6">
        <v>189.536387307692</v>
      </c>
      <c r="I68" s="2"/>
      <c r="J68" s="7">
        <f t="shared" si="14"/>
        <v>1.0609250795271924E-3</v>
      </c>
      <c r="K68" s="2"/>
      <c r="L68" s="6">
        <f t="shared" si="15"/>
        <v>-11.976387307691994</v>
      </c>
      <c r="M68" s="2"/>
      <c r="N68" s="7">
        <f t="shared" si="16"/>
        <v>-6.3187799861615032E-2</v>
      </c>
      <c r="O68" s="11"/>
      <c r="P68" s="6">
        <v>1983.24</v>
      </c>
      <c r="Q68" s="2"/>
      <c r="R68" s="7">
        <f t="shared" si="17"/>
        <v>1.0307725662317003E-3</v>
      </c>
      <c r="S68" s="2"/>
      <c r="T68" s="6">
        <v>1500.9246426923048</v>
      </c>
      <c r="U68" s="2"/>
      <c r="V68" s="7">
        <f t="shared" si="18"/>
        <v>7.9223237732439235E-4</v>
      </c>
      <c r="W68" s="2"/>
      <c r="X68" s="6">
        <f t="shared" si="19"/>
        <v>482.31535730769519</v>
      </c>
      <c r="Y68" s="2"/>
      <c r="Z68" s="7">
        <f t="shared" si="20"/>
        <v>0.32134548503550131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6">
        <v>164</v>
      </c>
      <c r="E69" s="2"/>
      <c r="F69" s="7">
        <f t="shared" si="13"/>
        <v>1.3064964100027916E-3</v>
      </c>
      <c r="G69" s="2"/>
      <c r="H69" s="6"/>
      <c r="I69" s="2"/>
      <c r="J69" s="7">
        <f t="shared" si="14"/>
        <v>0</v>
      </c>
      <c r="K69" s="2"/>
      <c r="L69" s="6">
        <f t="shared" si="15"/>
        <v>164</v>
      </c>
      <c r="M69" s="2"/>
      <c r="N69" s="7">
        <f t="shared" si="16"/>
        <v>0</v>
      </c>
      <c r="O69" s="11"/>
      <c r="P69" s="6">
        <v>1299.78</v>
      </c>
      <c r="Q69" s="2"/>
      <c r="R69" s="7">
        <f t="shared" si="17"/>
        <v>6.7554989115620873E-4</v>
      </c>
      <c r="S69" s="2"/>
      <c r="T69" s="6"/>
      <c r="U69" s="2"/>
      <c r="V69" s="7">
        <f t="shared" si="18"/>
        <v>0</v>
      </c>
      <c r="W69" s="2"/>
      <c r="X69" s="6">
        <f t="shared" si="19"/>
        <v>1299.78</v>
      </c>
      <c r="Y69" s="2"/>
      <c r="Z69" s="7">
        <f t="shared" si="20"/>
        <v>0</v>
      </c>
    </row>
    <row r="70" spans="1:26" s="27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11381.29</v>
      </c>
      <c r="E70" s="1"/>
      <c r="F70" s="5">
        <f t="shared" ref="F70:F80" si="21">IF(D$12=0,0,D70/D$12)</f>
        <v>9.0668381257321184E-2</v>
      </c>
      <c r="G70" s="1"/>
      <c r="H70" s="1">
        <f>SUM(OSRRefH22_1x_0)</f>
        <v>11141.986890769231</v>
      </c>
      <c r="I70" s="1"/>
      <c r="J70" s="5">
        <f t="shared" ref="J70:J80" si="22">IF(H$12=0,0,H70/H$12)</f>
        <v>6.2366986603951992E-2</v>
      </c>
      <c r="K70" s="1"/>
      <c r="L70" s="1">
        <f t="shared" ref="L70:L80" si="23">+D70-H70</f>
        <v>239.30310923077013</v>
      </c>
      <c r="M70" s="1"/>
      <c r="N70" s="5">
        <f t="shared" ref="N70:N80" si="24">IF(H70=0,0,L70/H70)</f>
        <v>2.1477597449789217E-2</v>
      </c>
      <c r="O70" s="13"/>
      <c r="P70" s="1">
        <f>SUM(OSRRefP22_1x_0)</f>
        <v>80697.22</v>
      </c>
      <c r="Q70" s="1"/>
      <c r="R70" s="5">
        <f t="shared" ref="R70:R80" si="25">IF(P$12=0,0,P70/P$12)</f>
        <v>4.19417118186221E-2</v>
      </c>
      <c r="S70" s="1"/>
      <c r="T70" s="1">
        <f>SUM(OSRRefT22_1x_0)</f>
        <v>81934.150669230759</v>
      </c>
      <c r="U70" s="1"/>
      <c r="V70" s="5">
        <f t="shared" ref="V70:V80" si="26">IF(T$12=0,0,T70/T$12)</f>
        <v>4.3247265800303483E-2</v>
      </c>
      <c r="W70" s="1"/>
      <c r="X70" s="1">
        <f t="shared" ref="X70:X80" si="27">+P70-T70</f>
        <v>-1236.9306692307582</v>
      </c>
      <c r="Y70" s="1"/>
      <c r="Z70" s="5">
        <f t="shared" ref="Z70:Z80" si="28">IF(T70=0,0,X70/T70)</f>
        <v>-1.5096643574475601E-2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1"/>
        <v>0</v>
      </c>
      <c r="G71" s="2"/>
      <c r="H71" s="6">
        <v>3145.3613907692297</v>
      </c>
      <c r="I71" s="2"/>
      <c r="J71" s="7">
        <f t="shared" si="22"/>
        <v>1.7606079925045506E-2</v>
      </c>
      <c r="K71" s="2"/>
      <c r="L71" s="6">
        <f t="shared" si="23"/>
        <v>-3145.3613907692297</v>
      </c>
      <c r="M71" s="2"/>
      <c r="N71" s="7">
        <f t="shared" si="24"/>
        <v>-1</v>
      </c>
      <c r="O71" s="11"/>
      <c r="P71" s="6"/>
      <c r="Q71" s="2"/>
      <c r="R71" s="7">
        <f t="shared" si="25"/>
        <v>0</v>
      </c>
      <c r="S71" s="2"/>
      <c r="T71" s="6">
        <v>27521.912169230767</v>
      </c>
      <c r="U71" s="2"/>
      <c r="V71" s="7">
        <f t="shared" si="26"/>
        <v>1.4526878489536975E-2</v>
      </c>
      <c r="W71" s="2"/>
      <c r="X71" s="6">
        <f t="shared" si="27"/>
        <v>-27521.912169230767</v>
      </c>
      <c r="Y71" s="2"/>
      <c r="Z71" s="7">
        <f t="shared" si="28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6">
        <v>3797.56</v>
      </c>
      <c r="E72" s="2"/>
      <c r="F72" s="7">
        <f t="shared" si="21"/>
        <v>3.0253039675428056E-2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3797.56</v>
      </c>
      <c r="M72" s="2"/>
      <c r="N72" s="7">
        <f t="shared" si="24"/>
        <v>0</v>
      </c>
      <c r="O72" s="11"/>
      <c r="P72" s="6">
        <v>27336.26</v>
      </c>
      <c r="Q72" s="2"/>
      <c r="R72" s="7">
        <f t="shared" si="25"/>
        <v>1.4207794755741604E-2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27336.26</v>
      </c>
      <c r="Y72" s="2"/>
      <c r="Z72" s="7">
        <f t="shared" si="28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1"/>
        <v>0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0</v>
      </c>
      <c r="M73" s="2"/>
      <c r="N73" s="7">
        <f t="shared" si="24"/>
        <v>0</v>
      </c>
      <c r="O73" s="11"/>
      <c r="P73" s="6"/>
      <c r="Q73" s="2"/>
      <c r="R73" s="7">
        <f t="shared" si="25"/>
        <v>0</v>
      </c>
      <c r="S73" s="2"/>
      <c r="T73" s="6">
        <v>0</v>
      </c>
      <c r="U73" s="2"/>
      <c r="V73" s="7">
        <f t="shared" si="26"/>
        <v>0</v>
      </c>
      <c r="W73" s="2"/>
      <c r="X73" s="6">
        <f t="shared" si="27"/>
        <v>0</v>
      </c>
      <c r="Y73" s="2"/>
      <c r="Z73" s="7">
        <f t="shared" si="28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1"/>
        <v>0</v>
      </c>
      <c r="G74" s="2"/>
      <c r="H74" s="6">
        <v>1400.8</v>
      </c>
      <c r="I74" s="2"/>
      <c r="J74" s="7">
        <f t="shared" si="22"/>
        <v>7.840942166894297E-3</v>
      </c>
      <c r="K74" s="2"/>
      <c r="L74" s="6">
        <f t="shared" si="23"/>
        <v>-1400.8</v>
      </c>
      <c r="M74" s="2"/>
      <c r="N74" s="7">
        <f t="shared" si="24"/>
        <v>-1</v>
      </c>
      <c r="O74" s="11"/>
      <c r="P74" s="6"/>
      <c r="Q74" s="2"/>
      <c r="R74" s="7">
        <f t="shared" si="25"/>
        <v>0</v>
      </c>
      <c r="S74" s="2"/>
      <c r="T74" s="6">
        <v>11869.72</v>
      </c>
      <c r="U74" s="2"/>
      <c r="V74" s="7">
        <f t="shared" si="26"/>
        <v>6.2651889550611193E-3</v>
      </c>
      <c r="W74" s="2"/>
      <c r="X74" s="6">
        <f t="shared" si="27"/>
        <v>-11869.72</v>
      </c>
      <c r="Y74" s="2"/>
      <c r="Z74" s="7">
        <f t="shared" si="28"/>
        <v>-1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>
        <v>4177.5600000000004</v>
      </c>
      <c r="E75" s="2"/>
      <c r="F75" s="7">
        <f t="shared" si="21"/>
        <v>3.3280287454702823E-2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4177.5600000000004</v>
      </c>
      <c r="M75" s="2"/>
      <c r="N75" s="7">
        <f t="shared" si="24"/>
        <v>0</v>
      </c>
      <c r="O75" s="11"/>
      <c r="P75" s="6">
        <v>27300.59</v>
      </c>
      <c r="Q75" s="2"/>
      <c r="R75" s="7">
        <f t="shared" si="25"/>
        <v>1.4189255568634908E-2</v>
      </c>
      <c r="S75" s="2"/>
      <c r="T75" s="6">
        <v>0</v>
      </c>
      <c r="U75" s="2"/>
      <c r="V75" s="7">
        <f t="shared" si="26"/>
        <v>0</v>
      </c>
      <c r="W75" s="2"/>
      <c r="X75" s="6">
        <f t="shared" si="27"/>
        <v>27300.59</v>
      </c>
      <c r="Y75" s="2"/>
      <c r="Z75" s="7">
        <f t="shared" si="28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>
        <v>467.77</v>
      </c>
      <c r="E76" s="2"/>
      <c r="F76" s="7">
        <f t="shared" si="21"/>
        <v>3.7264623518719867E-3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467.77</v>
      </c>
      <c r="M76" s="2"/>
      <c r="N76" s="7">
        <f t="shared" si="24"/>
        <v>0</v>
      </c>
      <c r="O76" s="11"/>
      <c r="P76" s="6">
        <v>9008.99</v>
      </c>
      <c r="Q76" s="2"/>
      <c r="R76" s="7">
        <f t="shared" si="25"/>
        <v>4.6823479465196976E-3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9008.99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2938.4</v>
      </c>
      <c r="E77" s="2"/>
      <c r="F77" s="7">
        <f t="shared" si="21"/>
        <v>2.3408591775318312E-2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2938.4</v>
      </c>
      <c r="M77" s="2"/>
      <c r="N77" s="7">
        <f t="shared" si="24"/>
        <v>0</v>
      </c>
      <c r="O77" s="11"/>
      <c r="P77" s="6">
        <v>17051.38</v>
      </c>
      <c r="Q77" s="2"/>
      <c r="R77" s="7">
        <f t="shared" si="25"/>
        <v>8.8623135477258891E-3</v>
      </c>
      <c r="S77" s="2"/>
      <c r="T77" s="6">
        <v>9378.75</v>
      </c>
      <c r="U77" s="2"/>
      <c r="V77" s="7">
        <f t="shared" si="26"/>
        <v>4.9503813832406729E-3</v>
      </c>
      <c r="W77" s="2"/>
      <c r="X77" s="6">
        <f t="shared" si="27"/>
        <v>7672.630000000001</v>
      </c>
      <c r="Y77" s="2"/>
      <c r="Z77" s="7">
        <f t="shared" si="28"/>
        <v>0.81808663201386123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1"/>
        <v>0</v>
      </c>
      <c r="G78" s="2"/>
      <c r="H78" s="6">
        <v>6595.8255000000008</v>
      </c>
      <c r="I78" s="2"/>
      <c r="J78" s="7">
        <f t="shared" si="22"/>
        <v>3.6919964512012182E-2</v>
      </c>
      <c r="K78" s="2"/>
      <c r="L78" s="6">
        <f t="shared" si="23"/>
        <v>-6595.8255000000008</v>
      </c>
      <c r="M78" s="2"/>
      <c r="N78" s="7">
        <f t="shared" si="24"/>
        <v>-1</v>
      </c>
      <c r="O78" s="11"/>
      <c r="P78" s="6"/>
      <c r="Q78" s="2"/>
      <c r="R78" s="7">
        <f t="shared" si="25"/>
        <v>0</v>
      </c>
      <c r="S78" s="2"/>
      <c r="T78" s="6">
        <v>33163.768499999998</v>
      </c>
      <c r="U78" s="2"/>
      <c r="V78" s="7">
        <f t="shared" si="26"/>
        <v>1.7504816972464716E-2</v>
      </c>
      <c r="W78" s="2"/>
      <c r="X78" s="6">
        <f t="shared" si="27"/>
        <v>-33163.768499999998</v>
      </c>
      <c r="Y78" s="2"/>
      <c r="Z78" s="7">
        <f t="shared" si="28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1"/>
        <v>0</v>
      </c>
      <c r="G79" s="2"/>
      <c r="H79" s="6">
        <v>0</v>
      </c>
      <c r="I79" s="2"/>
      <c r="J79" s="7">
        <f t="shared" si="22"/>
        <v>0</v>
      </c>
      <c r="K79" s="2"/>
      <c r="L79" s="6">
        <f t="shared" si="23"/>
        <v>0</v>
      </c>
      <c r="M79" s="2"/>
      <c r="N79" s="7">
        <f t="shared" si="24"/>
        <v>0</v>
      </c>
      <c r="O79" s="11"/>
      <c r="P79" s="6"/>
      <c r="Q79" s="2"/>
      <c r="R79" s="7">
        <f t="shared" si="25"/>
        <v>0</v>
      </c>
      <c r="S79" s="2"/>
      <c r="T79" s="6">
        <v>0</v>
      </c>
      <c r="U79" s="2"/>
      <c r="V79" s="7">
        <f t="shared" si="26"/>
        <v>0</v>
      </c>
      <c r="W79" s="2"/>
      <c r="X79" s="6">
        <f t="shared" si="27"/>
        <v>0</v>
      </c>
      <c r="Y79" s="2"/>
      <c r="Z79" s="7">
        <f t="shared" si="28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1"/>
        <v>0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0</v>
      </c>
      <c r="M80" s="2"/>
      <c r="N80" s="7">
        <f t="shared" si="24"/>
        <v>0</v>
      </c>
      <c r="O80" s="11"/>
      <c r="P80" s="6"/>
      <c r="Q80" s="2"/>
      <c r="R80" s="7">
        <f t="shared" si="25"/>
        <v>0</v>
      </c>
      <c r="S80" s="2"/>
      <c r="T80" s="6">
        <v>0</v>
      </c>
      <c r="U80" s="2"/>
      <c r="V80" s="7">
        <f t="shared" si="26"/>
        <v>0</v>
      </c>
      <c r="W80" s="2"/>
      <c r="X80" s="6">
        <f t="shared" si="27"/>
        <v>0</v>
      </c>
      <c r="Y80" s="2"/>
      <c r="Z80" s="7">
        <f t="shared" si="28"/>
        <v>0</v>
      </c>
    </row>
    <row r="81" spans="1:26" s="27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72.400000000000006</v>
      </c>
      <c r="E81" s="1"/>
      <c r="F81" s="5">
        <f t="shared" ref="F81:F97" si="29">IF(D$12=0,0,D81/D$12)</f>
        <v>5.7677036636708608E-4</v>
      </c>
      <c r="G81" s="1"/>
      <c r="H81" s="1">
        <f>SUM(OSRRefH22_2x_0)</f>
        <v>250</v>
      </c>
      <c r="I81" s="1"/>
      <c r="J81" s="5">
        <f t="shared" ref="J81:J97" si="30">IF(H$12=0,0,H81/H$12)</f>
        <v>1.3993686048854757E-3</v>
      </c>
      <c r="K81" s="1"/>
      <c r="L81" s="1">
        <f t="shared" ref="L81:L97" si="31">+D81-H81</f>
        <v>-177.6</v>
      </c>
      <c r="M81" s="1"/>
      <c r="N81" s="5">
        <f t="shared" ref="N81:N97" si="32">IF(H81=0,0,L81/H81)</f>
        <v>-0.71040000000000003</v>
      </c>
      <c r="O81" s="13"/>
      <c r="P81" s="1">
        <f>SUM(OSRRefP22_2x_0)</f>
        <v>1721.23</v>
      </c>
      <c r="Q81" s="1"/>
      <c r="R81" s="5">
        <f t="shared" ref="R81:R97" si="33">IF(P$12=0,0,P81/P$12)</f>
        <v>8.945950385102103E-4</v>
      </c>
      <c r="S81" s="1"/>
      <c r="T81" s="1">
        <f>SUM(OSRRefT22_2x_0)</f>
        <v>2000</v>
      </c>
      <c r="U81" s="1"/>
      <c r="V81" s="5">
        <f t="shared" ref="V81:V97" si="34">IF(T$12=0,0,T81/T$12)</f>
        <v>1.0556590981187627E-3</v>
      </c>
      <c r="W81" s="1"/>
      <c r="X81" s="1">
        <f t="shared" ref="X81:X97" si="35">+P81-T81</f>
        <v>-278.77</v>
      </c>
      <c r="Y81" s="1"/>
      <c r="Z81" s="5">
        <f t="shared" ref="Z81:Z97" si="36">IF(T81=0,0,X81/T81)</f>
        <v>-0.13938499999999998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6">
        <v>72.400000000000006</v>
      </c>
      <c r="E82" s="2"/>
      <c r="F82" s="7">
        <f t="shared" si="29"/>
        <v>5.7677036636708608E-4</v>
      </c>
      <c r="G82" s="2"/>
      <c r="H82" s="6">
        <v>250</v>
      </c>
      <c r="I82" s="2"/>
      <c r="J82" s="7">
        <f t="shared" si="30"/>
        <v>1.3993686048854757E-3</v>
      </c>
      <c r="K82" s="2"/>
      <c r="L82" s="6">
        <f t="shared" si="31"/>
        <v>-177.6</v>
      </c>
      <c r="M82" s="2"/>
      <c r="N82" s="7">
        <f t="shared" si="32"/>
        <v>-0.71040000000000003</v>
      </c>
      <c r="O82" s="11"/>
      <c r="P82" s="6">
        <v>1721.23</v>
      </c>
      <c r="Q82" s="2"/>
      <c r="R82" s="7">
        <f t="shared" si="33"/>
        <v>8.945950385102103E-4</v>
      </c>
      <c r="S82" s="2"/>
      <c r="T82" s="6">
        <v>2000</v>
      </c>
      <c r="U82" s="2"/>
      <c r="V82" s="7">
        <f t="shared" si="34"/>
        <v>1.0556590981187627E-3</v>
      </c>
      <c r="W82" s="2"/>
      <c r="X82" s="6">
        <f t="shared" si="35"/>
        <v>-278.77</v>
      </c>
      <c r="Y82" s="2"/>
      <c r="Z82" s="7">
        <f t="shared" si="36"/>
        <v>-0.13938499999999998</v>
      </c>
    </row>
    <row r="83" spans="1:26" s="27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29"/>
        <v>2.2341088611047737E-3</v>
      </c>
      <c r="G83" s="1"/>
      <c r="H83" s="1">
        <f>SUM(OSRRefH22_3x_0)</f>
        <v>0</v>
      </c>
      <c r="I83" s="1"/>
      <c r="J83" s="5">
        <f t="shared" si="30"/>
        <v>0</v>
      </c>
      <c r="K83" s="1"/>
      <c r="L83" s="1">
        <f t="shared" si="31"/>
        <v>280.44</v>
      </c>
      <c r="M83" s="1"/>
      <c r="N83" s="5">
        <f t="shared" si="32"/>
        <v>0</v>
      </c>
      <c r="O83" s="13"/>
      <c r="P83" s="1">
        <f>SUM(OSRRefP22_3x_0)</f>
        <v>2243.52</v>
      </c>
      <c r="Q83" s="1"/>
      <c r="R83" s="5">
        <f t="shared" si="33"/>
        <v>1.166050940779807E-3</v>
      </c>
      <c r="S83" s="1"/>
      <c r="T83" s="1">
        <f>SUM(OSRRefT22_3x_0)</f>
        <v>0</v>
      </c>
      <c r="U83" s="1"/>
      <c r="V83" s="5">
        <f t="shared" si="34"/>
        <v>0</v>
      </c>
      <c r="W83" s="1"/>
      <c r="X83" s="1">
        <f t="shared" si="35"/>
        <v>2243.52</v>
      </c>
      <c r="Y83" s="1"/>
      <c r="Z83" s="5">
        <f t="shared" si="36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29"/>
        <v>2.2341088611047737E-3</v>
      </c>
      <c r="G84" s="2"/>
      <c r="H84" s="6"/>
      <c r="I84" s="2"/>
      <c r="J84" s="7">
        <f t="shared" si="30"/>
        <v>0</v>
      </c>
      <c r="K84" s="2"/>
      <c r="L84" s="6">
        <f t="shared" si="31"/>
        <v>280.44</v>
      </c>
      <c r="M84" s="2"/>
      <c r="N84" s="7">
        <f t="shared" si="32"/>
        <v>0</v>
      </c>
      <c r="O84" s="11"/>
      <c r="P84" s="6">
        <v>2243.52</v>
      </c>
      <c r="Q84" s="2"/>
      <c r="R84" s="7">
        <f t="shared" si="33"/>
        <v>1.166050940779807E-3</v>
      </c>
      <c r="S84" s="2"/>
      <c r="T84" s="6"/>
      <c r="U84" s="2"/>
      <c r="V84" s="7">
        <f t="shared" si="34"/>
        <v>0</v>
      </c>
      <c r="W84" s="2"/>
      <c r="X84" s="6">
        <f t="shared" si="35"/>
        <v>2243.52</v>
      </c>
      <c r="Y84" s="2"/>
      <c r="Z84" s="7">
        <f t="shared" si="36"/>
        <v>0</v>
      </c>
    </row>
    <row r="85" spans="1:26" s="27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-924.3</v>
      </c>
      <c r="E85" s="1"/>
      <c r="F85" s="5">
        <f t="shared" si="29"/>
        <v>-7.3633819010096354E-3</v>
      </c>
      <c r="G85" s="1"/>
      <c r="H85" s="1">
        <f>SUM(OSRRefH22_4x_0)</f>
        <v>2500</v>
      </c>
      <c r="I85" s="1"/>
      <c r="J85" s="5">
        <f t="shared" si="30"/>
        <v>1.3993686048854757E-2</v>
      </c>
      <c r="K85" s="1"/>
      <c r="L85" s="1">
        <f t="shared" si="31"/>
        <v>-3424.3</v>
      </c>
      <c r="M85" s="1"/>
      <c r="N85" s="5">
        <f t="shared" si="32"/>
        <v>-1.36972</v>
      </c>
      <c r="O85" s="13"/>
      <c r="P85" s="1">
        <f>SUM(OSRRefP22_4x_0)</f>
        <v>49786.87</v>
      </c>
      <c r="Q85" s="1"/>
      <c r="R85" s="5">
        <f t="shared" si="33"/>
        <v>2.587631338342513E-2</v>
      </c>
      <c r="S85" s="1"/>
      <c r="T85" s="1">
        <f>SUM(OSRRefT22_4x_0)</f>
        <v>20000</v>
      </c>
      <c r="U85" s="1"/>
      <c r="V85" s="5">
        <f t="shared" si="34"/>
        <v>1.0556590981187627E-2</v>
      </c>
      <c r="W85" s="1"/>
      <c r="X85" s="1">
        <f t="shared" si="35"/>
        <v>29786.870000000003</v>
      </c>
      <c r="Y85" s="1"/>
      <c r="Z85" s="5">
        <f t="shared" si="36"/>
        <v>1.4893435000000002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6">
        <v>-924.3</v>
      </c>
      <c r="E86" s="2"/>
      <c r="F86" s="7">
        <f t="shared" si="29"/>
        <v>-7.3633819010096354E-3</v>
      </c>
      <c r="G86" s="2"/>
      <c r="H86" s="6">
        <v>2500</v>
      </c>
      <c r="I86" s="2"/>
      <c r="J86" s="7">
        <f t="shared" si="30"/>
        <v>1.3993686048854757E-2</v>
      </c>
      <c r="K86" s="2"/>
      <c r="L86" s="6">
        <f t="shared" si="31"/>
        <v>-3424.3</v>
      </c>
      <c r="M86" s="2"/>
      <c r="N86" s="7">
        <f t="shared" si="32"/>
        <v>-1.36972</v>
      </c>
      <c r="O86" s="11"/>
      <c r="P86" s="6">
        <v>49786.87</v>
      </c>
      <c r="Q86" s="2"/>
      <c r="R86" s="7">
        <f t="shared" si="33"/>
        <v>2.587631338342513E-2</v>
      </c>
      <c r="S86" s="2"/>
      <c r="T86" s="6">
        <v>20000</v>
      </c>
      <c r="U86" s="2"/>
      <c r="V86" s="7">
        <f t="shared" si="34"/>
        <v>1.0556590981187627E-2</v>
      </c>
      <c r="W86" s="2"/>
      <c r="X86" s="6">
        <f t="shared" si="35"/>
        <v>29786.870000000003</v>
      </c>
      <c r="Y86" s="2"/>
      <c r="Z86" s="7">
        <f t="shared" si="36"/>
        <v>1.4893435000000002</v>
      </c>
    </row>
    <row r="87" spans="1:26" s="27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29"/>
        <v>0</v>
      </c>
      <c r="G87" s="1"/>
      <c r="H87" s="1">
        <f>SUM(OSRRefH22_5x_0)</f>
        <v>40</v>
      </c>
      <c r="I87" s="1"/>
      <c r="J87" s="5">
        <f t="shared" si="30"/>
        <v>2.2389897678167609E-4</v>
      </c>
      <c r="K87" s="1"/>
      <c r="L87" s="1">
        <f t="shared" si="31"/>
        <v>-40</v>
      </c>
      <c r="M87" s="1"/>
      <c r="N87" s="5">
        <f t="shared" si="32"/>
        <v>-1</v>
      </c>
      <c r="O87" s="13"/>
      <c r="P87" s="1">
        <f>SUM(OSRRefP22_5x_0)</f>
        <v>0</v>
      </c>
      <c r="Q87" s="1"/>
      <c r="R87" s="5">
        <f t="shared" si="33"/>
        <v>0</v>
      </c>
      <c r="S87" s="1"/>
      <c r="T87" s="1">
        <f>SUM(OSRRefT22_5x_0)</f>
        <v>320</v>
      </c>
      <c r="U87" s="1"/>
      <c r="V87" s="5">
        <f t="shared" si="34"/>
        <v>1.6890545569900203E-4</v>
      </c>
      <c r="W87" s="1"/>
      <c r="X87" s="1">
        <f t="shared" si="35"/>
        <v>-320</v>
      </c>
      <c r="Y87" s="1"/>
      <c r="Z87" s="5">
        <f t="shared" si="36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29"/>
        <v>0</v>
      </c>
      <c r="G88" s="2"/>
      <c r="H88" s="6">
        <v>40</v>
      </c>
      <c r="I88" s="2"/>
      <c r="J88" s="7">
        <f t="shared" si="30"/>
        <v>2.2389897678167609E-4</v>
      </c>
      <c r="K88" s="2"/>
      <c r="L88" s="6">
        <f t="shared" si="31"/>
        <v>-40</v>
      </c>
      <c r="M88" s="2"/>
      <c r="N88" s="7">
        <f t="shared" si="32"/>
        <v>-1</v>
      </c>
      <c r="O88" s="11"/>
      <c r="P88" s="6"/>
      <c r="Q88" s="2"/>
      <c r="R88" s="7">
        <f t="shared" si="33"/>
        <v>0</v>
      </c>
      <c r="S88" s="2"/>
      <c r="T88" s="6">
        <v>320</v>
      </c>
      <c r="U88" s="2"/>
      <c r="V88" s="7">
        <f t="shared" si="34"/>
        <v>1.6890545569900203E-4</v>
      </c>
      <c r="W88" s="2"/>
      <c r="X88" s="6">
        <f t="shared" si="35"/>
        <v>-320</v>
      </c>
      <c r="Y88" s="2"/>
      <c r="Z88" s="7">
        <f t="shared" si="36"/>
        <v>-1</v>
      </c>
    </row>
    <row r="89" spans="1:26" s="27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8.11</v>
      </c>
      <c r="E89" s="1"/>
      <c r="F89" s="5">
        <f t="shared" si="29"/>
        <v>6.4607840762942922E-5</v>
      </c>
      <c r="G89" s="1"/>
      <c r="H89" s="1">
        <f>SUM(OSRRefH22_6x_0)</f>
        <v>25</v>
      </c>
      <c r="I89" s="1"/>
      <c r="J89" s="5">
        <f t="shared" si="30"/>
        <v>1.3993686048854756E-4</v>
      </c>
      <c r="K89" s="1"/>
      <c r="L89" s="1">
        <f t="shared" si="31"/>
        <v>-16.89</v>
      </c>
      <c r="M89" s="1"/>
      <c r="N89" s="5">
        <f t="shared" si="32"/>
        <v>-0.67559999999999998</v>
      </c>
      <c r="O89" s="13"/>
      <c r="P89" s="1">
        <f>SUM(OSRRefP22_6x_0)</f>
        <v>49.72</v>
      </c>
      <c r="Q89" s="1"/>
      <c r="R89" s="5">
        <f t="shared" si="33"/>
        <v>2.5841558254694407E-5</v>
      </c>
      <c r="S89" s="1"/>
      <c r="T89" s="1">
        <f>SUM(OSRRefT22_6x_0)</f>
        <v>200</v>
      </c>
      <c r="U89" s="1"/>
      <c r="V89" s="5">
        <f t="shared" si="34"/>
        <v>1.0556590981187627E-4</v>
      </c>
      <c r="W89" s="1"/>
      <c r="X89" s="1">
        <f t="shared" si="35"/>
        <v>-150.28</v>
      </c>
      <c r="Y89" s="1"/>
      <c r="Z89" s="5">
        <f t="shared" si="36"/>
        <v>-0.75139999999999996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6">
        <v>8.11</v>
      </c>
      <c r="E90" s="2"/>
      <c r="F90" s="7">
        <f t="shared" si="29"/>
        <v>6.4607840762942922E-5</v>
      </c>
      <c r="G90" s="2"/>
      <c r="H90" s="6">
        <v>25</v>
      </c>
      <c r="I90" s="2"/>
      <c r="J90" s="7">
        <f t="shared" si="30"/>
        <v>1.3993686048854756E-4</v>
      </c>
      <c r="K90" s="2"/>
      <c r="L90" s="6">
        <f t="shared" si="31"/>
        <v>-16.89</v>
      </c>
      <c r="M90" s="2"/>
      <c r="N90" s="7">
        <f t="shared" si="32"/>
        <v>-0.67559999999999998</v>
      </c>
      <c r="O90" s="11"/>
      <c r="P90" s="6">
        <v>49.72</v>
      </c>
      <c r="Q90" s="2"/>
      <c r="R90" s="7">
        <f t="shared" si="33"/>
        <v>2.5841558254694407E-5</v>
      </c>
      <c r="S90" s="2"/>
      <c r="T90" s="6">
        <v>200</v>
      </c>
      <c r="U90" s="2"/>
      <c r="V90" s="7">
        <f t="shared" si="34"/>
        <v>1.0556590981187627E-4</v>
      </c>
      <c r="W90" s="2"/>
      <c r="X90" s="6">
        <f t="shared" si="35"/>
        <v>-150.28</v>
      </c>
      <c r="Y90" s="2"/>
      <c r="Z90" s="7">
        <f t="shared" si="36"/>
        <v>-0.75139999999999996</v>
      </c>
    </row>
    <row r="91" spans="1:26" s="27" customFormat="1" outlineLevel="1" collapsed="1" x14ac:dyDescent="0.25">
      <c r="A91" s="26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0</v>
      </c>
      <c r="E91" s="1"/>
      <c r="F91" s="5">
        <f t="shared" si="29"/>
        <v>0</v>
      </c>
      <c r="G91" s="1"/>
      <c r="H91" s="1">
        <f>SUM(OSRRefH22_7x_0)</f>
        <v>0</v>
      </c>
      <c r="I91" s="1"/>
      <c r="J91" s="5">
        <f t="shared" si="30"/>
        <v>0</v>
      </c>
      <c r="K91" s="1"/>
      <c r="L91" s="1">
        <f t="shared" si="31"/>
        <v>0</v>
      </c>
      <c r="M91" s="1"/>
      <c r="N91" s="5">
        <f t="shared" si="32"/>
        <v>0</v>
      </c>
      <c r="O91" s="13"/>
      <c r="P91" s="1">
        <f>SUM(OSRRefP22_7x_0)</f>
        <v>197.18</v>
      </c>
      <c r="Q91" s="1"/>
      <c r="R91" s="5">
        <f t="shared" si="33"/>
        <v>1.0248267209695582E-4</v>
      </c>
      <c r="S91" s="1"/>
      <c r="T91" s="1">
        <f>SUM(OSRRefT22_7x_0)</f>
        <v>0</v>
      </c>
      <c r="U91" s="1"/>
      <c r="V91" s="5">
        <f t="shared" si="34"/>
        <v>0</v>
      </c>
      <c r="W91" s="1"/>
      <c r="X91" s="1">
        <f t="shared" si="35"/>
        <v>197.18</v>
      </c>
      <c r="Y91" s="1"/>
      <c r="Z91" s="5">
        <f t="shared" si="36"/>
        <v>0</v>
      </c>
    </row>
    <row r="92" spans="1:26" s="24" customFormat="1" hidden="1" outlineLevel="2" x14ac:dyDescent="0.25">
      <c r="A92" s="25"/>
      <c r="B92" s="11" t="str">
        <f>CONCATENATE("          ", "6375", " - ", "OUTSIDE REPAIRS &amp; MAINTENANCE")</f>
        <v xml:space="preserve">          6375 - OUTSIDE REPAIRS &amp; MAINTENANCE</v>
      </c>
      <c r="C92" s="11"/>
      <c r="D92" s="6"/>
      <c r="E92" s="2"/>
      <c r="F92" s="7">
        <f t="shared" si="29"/>
        <v>0</v>
      </c>
      <c r="G92" s="2"/>
      <c r="H92" s="6"/>
      <c r="I92" s="2"/>
      <c r="J92" s="7">
        <f t="shared" si="30"/>
        <v>0</v>
      </c>
      <c r="K92" s="2"/>
      <c r="L92" s="6">
        <f t="shared" si="31"/>
        <v>0</v>
      </c>
      <c r="M92" s="2"/>
      <c r="N92" s="7">
        <f t="shared" si="32"/>
        <v>0</v>
      </c>
      <c r="O92" s="11"/>
      <c r="P92" s="6">
        <v>197.18</v>
      </c>
      <c r="Q92" s="2"/>
      <c r="R92" s="7">
        <f t="shared" si="33"/>
        <v>1.0248267209695582E-4</v>
      </c>
      <c r="S92" s="2"/>
      <c r="T92" s="6"/>
      <c r="U92" s="2"/>
      <c r="V92" s="7">
        <f t="shared" si="34"/>
        <v>0</v>
      </c>
      <c r="W92" s="2"/>
      <c r="X92" s="6">
        <f t="shared" si="35"/>
        <v>197.18</v>
      </c>
      <c r="Y92" s="2"/>
      <c r="Z92" s="7">
        <f t="shared" si="36"/>
        <v>0</v>
      </c>
    </row>
    <row r="93" spans="1:26" s="27" customFormat="1" outlineLevel="1" collapsed="1" x14ac:dyDescent="0.25">
      <c r="A93" s="26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113.5</v>
      </c>
      <c r="E93" s="1"/>
      <c r="F93" s="5">
        <f t="shared" si="29"/>
        <v>9.0419111302022473E-4</v>
      </c>
      <c r="G93" s="1"/>
      <c r="H93" s="1">
        <f>SUM(OSRRefH22_8x_0)</f>
        <v>0</v>
      </c>
      <c r="I93" s="1"/>
      <c r="J93" s="5">
        <f t="shared" si="30"/>
        <v>0</v>
      </c>
      <c r="K93" s="1"/>
      <c r="L93" s="1">
        <f t="shared" si="31"/>
        <v>113.5</v>
      </c>
      <c r="M93" s="1"/>
      <c r="N93" s="5">
        <f t="shared" si="32"/>
        <v>0</v>
      </c>
      <c r="O93" s="13"/>
      <c r="P93" s="1">
        <f>SUM(OSRRefP22_8x_0)</f>
        <v>-4886.5</v>
      </c>
      <c r="Q93" s="1"/>
      <c r="R93" s="5">
        <f t="shared" si="33"/>
        <v>-2.5397179085189909E-3</v>
      </c>
      <c r="S93" s="1"/>
      <c r="T93" s="1">
        <f>SUM(OSRRefT22_8x_0)</f>
        <v>0</v>
      </c>
      <c r="U93" s="1"/>
      <c r="V93" s="5">
        <f t="shared" si="34"/>
        <v>0</v>
      </c>
      <c r="W93" s="1"/>
      <c r="X93" s="1">
        <f t="shared" si="35"/>
        <v>-4886.5</v>
      </c>
      <c r="Y93" s="1"/>
      <c r="Z93" s="5">
        <f t="shared" si="36"/>
        <v>0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6">
        <v>113.5</v>
      </c>
      <c r="E94" s="2"/>
      <c r="F94" s="7">
        <f t="shared" si="29"/>
        <v>9.0419111302022473E-4</v>
      </c>
      <c r="G94" s="2"/>
      <c r="H94" s="6"/>
      <c r="I94" s="2"/>
      <c r="J94" s="7">
        <f t="shared" si="30"/>
        <v>0</v>
      </c>
      <c r="K94" s="2"/>
      <c r="L94" s="6">
        <f t="shared" si="31"/>
        <v>113.5</v>
      </c>
      <c r="M94" s="2"/>
      <c r="N94" s="7">
        <f t="shared" si="32"/>
        <v>0</v>
      </c>
      <c r="O94" s="11"/>
      <c r="P94" s="6">
        <v>-4886.5</v>
      </c>
      <c r="Q94" s="2"/>
      <c r="R94" s="7">
        <f t="shared" si="33"/>
        <v>-2.5397179085189909E-3</v>
      </c>
      <c r="S94" s="2"/>
      <c r="T94" s="6"/>
      <c r="U94" s="2"/>
      <c r="V94" s="7">
        <f t="shared" si="34"/>
        <v>0</v>
      </c>
      <c r="W94" s="2"/>
      <c r="X94" s="6">
        <f t="shared" si="35"/>
        <v>-4886.5</v>
      </c>
      <c r="Y94" s="2"/>
      <c r="Z94" s="7">
        <f t="shared" si="36"/>
        <v>0</v>
      </c>
    </row>
    <row r="95" spans="1:26" s="27" customFormat="1" outlineLevel="1" collapsed="1" x14ac:dyDescent="0.25">
      <c r="A95" s="26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62.69</v>
      </c>
      <c r="E95" s="1"/>
      <c r="F95" s="5">
        <f t="shared" si="29"/>
        <v>4.9941621916509149E-4</v>
      </c>
      <c r="G95" s="1"/>
      <c r="H95" s="1">
        <f>SUM(OSRRefH22_9x_0)</f>
        <v>275</v>
      </c>
      <c r="I95" s="1"/>
      <c r="J95" s="5">
        <f t="shared" si="30"/>
        <v>1.5393054653740233E-3</v>
      </c>
      <c r="K95" s="1"/>
      <c r="L95" s="1">
        <f t="shared" si="31"/>
        <v>-212.31</v>
      </c>
      <c r="M95" s="1"/>
      <c r="N95" s="5">
        <f t="shared" si="32"/>
        <v>-0.77203636363636363</v>
      </c>
      <c r="O95" s="13"/>
      <c r="P95" s="1">
        <f>SUM(OSRRefP22_9x_0)</f>
        <v>3076.32</v>
      </c>
      <c r="Q95" s="1"/>
      <c r="R95" s="5">
        <f t="shared" si="33"/>
        <v>1.5988918441287511E-3</v>
      </c>
      <c r="S95" s="1"/>
      <c r="T95" s="1">
        <f>SUM(OSRRefT22_9x_0)</f>
        <v>2200</v>
      </c>
      <c r="U95" s="1"/>
      <c r="V95" s="5">
        <f t="shared" si="34"/>
        <v>1.1612250079306389E-3</v>
      </c>
      <c r="W95" s="1"/>
      <c r="X95" s="1">
        <f t="shared" si="35"/>
        <v>876.32000000000016</v>
      </c>
      <c r="Y95" s="1"/>
      <c r="Z95" s="5">
        <f t="shared" si="36"/>
        <v>0.39832727272727281</v>
      </c>
    </row>
    <row r="96" spans="1:26" s="24" customFormat="1" hidden="1" outlineLevel="2" x14ac:dyDescent="0.25">
      <c r="A96" s="25"/>
      <c r="B96" s="11" t="str">
        <f>CONCATENATE("          ", "6241", " - ", "OFFICE EXPENSE")</f>
        <v xml:space="preserve">          6241 - OFFICE EXPENSE</v>
      </c>
      <c r="C96" s="11"/>
      <c r="D96" s="6">
        <v>62.69</v>
      </c>
      <c r="E96" s="2"/>
      <c r="F96" s="7">
        <f t="shared" si="29"/>
        <v>4.9941621916509149E-4</v>
      </c>
      <c r="G96" s="2"/>
      <c r="H96" s="6">
        <v>275</v>
      </c>
      <c r="I96" s="2"/>
      <c r="J96" s="7">
        <f t="shared" si="30"/>
        <v>1.5393054653740233E-3</v>
      </c>
      <c r="K96" s="2"/>
      <c r="L96" s="6">
        <f t="shared" si="31"/>
        <v>-212.31</v>
      </c>
      <c r="M96" s="2"/>
      <c r="N96" s="7">
        <f t="shared" si="32"/>
        <v>-0.77203636363636363</v>
      </c>
      <c r="O96" s="11"/>
      <c r="P96" s="6">
        <v>1066.94</v>
      </c>
      <c r="Q96" s="2"/>
      <c r="R96" s="7">
        <f t="shared" si="33"/>
        <v>5.5453322936974364E-4</v>
      </c>
      <c r="S96" s="2"/>
      <c r="T96" s="6">
        <v>2200</v>
      </c>
      <c r="U96" s="2"/>
      <c r="V96" s="7">
        <f t="shared" si="34"/>
        <v>1.1612250079306389E-3</v>
      </c>
      <c r="W96" s="2"/>
      <c r="X96" s="6">
        <f t="shared" si="35"/>
        <v>-1133.06</v>
      </c>
      <c r="Y96" s="2"/>
      <c r="Z96" s="7">
        <f t="shared" si="36"/>
        <v>-0.51502727272727267</v>
      </c>
    </row>
    <row r="97" spans="1:26" s="24" customFormat="1" hidden="1" outlineLevel="2" x14ac:dyDescent="0.25">
      <c r="A97" s="25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29"/>
        <v>0</v>
      </c>
      <c r="G97" s="2"/>
      <c r="H97" s="6"/>
      <c r="I97" s="2"/>
      <c r="J97" s="7">
        <f t="shared" si="30"/>
        <v>0</v>
      </c>
      <c r="K97" s="2"/>
      <c r="L97" s="6">
        <f t="shared" si="31"/>
        <v>0</v>
      </c>
      <c r="M97" s="2"/>
      <c r="N97" s="7">
        <f t="shared" si="32"/>
        <v>0</v>
      </c>
      <c r="O97" s="11"/>
      <c r="P97" s="6">
        <v>2009.38</v>
      </c>
      <c r="Q97" s="2"/>
      <c r="R97" s="7">
        <f t="shared" si="33"/>
        <v>1.0443586147590076E-3</v>
      </c>
      <c r="S97" s="2"/>
      <c r="T97" s="6"/>
      <c r="U97" s="2"/>
      <c r="V97" s="7">
        <f t="shared" si="34"/>
        <v>0</v>
      </c>
      <c r="W97" s="2"/>
      <c r="X97" s="6">
        <f t="shared" si="35"/>
        <v>2009.38</v>
      </c>
      <c r="Y97" s="2"/>
      <c r="Z97" s="7">
        <f t="shared" si="36"/>
        <v>0</v>
      </c>
    </row>
    <row r="98" spans="1:26" s="27" customFormat="1" outlineLevel="1" collapsed="1" x14ac:dyDescent="0.25">
      <c r="A98" s="26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255.8</v>
      </c>
      <c r="E98" s="1"/>
      <c r="F98" s="5">
        <f t="shared" ref="F98:F100" si="37">IF(D$12=0,0,D98/D$12)</f>
        <v>2.0378157419433788E-3</v>
      </c>
      <c r="G98" s="1"/>
      <c r="H98" s="1">
        <f>SUM(OSRRefH22_10x_0)</f>
        <v>280</v>
      </c>
      <c r="I98" s="1"/>
      <c r="J98" s="5">
        <f t="shared" ref="J98:J100" si="38">IF(H$12=0,0,H98/H$12)</f>
        <v>1.5672928374717327E-3</v>
      </c>
      <c r="K98" s="1"/>
      <c r="L98" s="1">
        <f t="shared" ref="L98:L100" si="39">+D98-H98</f>
        <v>-24.199999999999989</v>
      </c>
      <c r="M98" s="1"/>
      <c r="N98" s="5">
        <f t="shared" ref="N98:N100" si="40">IF(H98=0,0,L98/H98)</f>
        <v>-8.6428571428571382E-2</v>
      </c>
      <c r="O98" s="13"/>
      <c r="P98" s="1">
        <f>SUM(OSRRefP22_10x_0)</f>
        <v>2045.85</v>
      </c>
      <c r="Q98" s="1"/>
      <c r="R98" s="5">
        <f t="shared" ref="R98:R100" si="41">IF(P$12=0,0,P98/P$12)</f>
        <v>1.0633135952406788E-3</v>
      </c>
      <c r="S98" s="1"/>
      <c r="T98" s="1">
        <f>SUM(OSRRefT22_10x_0)</f>
        <v>2240</v>
      </c>
      <c r="U98" s="1"/>
      <c r="V98" s="5">
        <f t="shared" ref="V98:V100" si="42">IF(T$12=0,0,T98/T$12)</f>
        <v>1.1823381898930143E-3</v>
      </c>
      <c r="W98" s="1"/>
      <c r="X98" s="1">
        <f t="shared" ref="X98:X100" si="43">+P98-T98</f>
        <v>-194.15000000000009</v>
      </c>
      <c r="Y98" s="1"/>
      <c r="Z98" s="5">
        <f t="shared" ref="Z98:Z100" si="44">IF(T98=0,0,X98/T98)</f>
        <v>-8.6674107142857185E-2</v>
      </c>
    </row>
    <row r="99" spans="1:26" s="24" customFormat="1" hidden="1" outlineLevel="2" x14ac:dyDescent="0.25">
      <c r="A99" s="25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37"/>
        <v>0</v>
      </c>
      <c r="G99" s="2"/>
      <c r="H99" s="6">
        <v>280</v>
      </c>
      <c r="I99" s="2"/>
      <c r="J99" s="7">
        <f t="shared" si="38"/>
        <v>1.5672928374717327E-3</v>
      </c>
      <c r="K99" s="2"/>
      <c r="L99" s="6">
        <f t="shared" si="39"/>
        <v>-280</v>
      </c>
      <c r="M99" s="2"/>
      <c r="N99" s="7">
        <f t="shared" si="40"/>
        <v>-1</v>
      </c>
      <c r="O99" s="11"/>
      <c r="P99" s="6"/>
      <c r="Q99" s="2"/>
      <c r="R99" s="7">
        <f t="shared" si="41"/>
        <v>0</v>
      </c>
      <c r="S99" s="2"/>
      <c r="T99" s="6">
        <v>2240</v>
      </c>
      <c r="U99" s="2"/>
      <c r="V99" s="7">
        <f t="shared" si="42"/>
        <v>1.1823381898930143E-3</v>
      </c>
      <c r="W99" s="2"/>
      <c r="X99" s="6">
        <f t="shared" si="43"/>
        <v>-2240</v>
      </c>
      <c r="Y99" s="2"/>
      <c r="Z99" s="7">
        <f t="shared" si="44"/>
        <v>-1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6">
        <v>255.8</v>
      </c>
      <c r="E100" s="2"/>
      <c r="F100" s="7">
        <f t="shared" si="37"/>
        <v>2.0378157419433788E-3</v>
      </c>
      <c r="G100" s="2"/>
      <c r="H100" s="6"/>
      <c r="I100" s="2"/>
      <c r="J100" s="7">
        <f t="shared" si="38"/>
        <v>0</v>
      </c>
      <c r="K100" s="2"/>
      <c r="L100" s="6">
        <f t="shared" si="39"/>
        <v>255.8</v>
      </c>
      <c r="M100" s="2"/>
      <c r="N100" s="7">
        <f t="shared" si="40"/>
        <v>0</v>
      </c>
      <c r="O100" s="11"/>
      <c r="P100" s="6">
        <v>2045.85</v>
      </c>
      <c r="Q100" s="2"/>
      <c r="R100" s="7">
        <f t="shared" si="41"/>
        <v>1.0633135952406788E-3</v>
      </c>
      <c r="S100" s="2"/>
      <c r="T100" s="6"/>
      <c r="U100" s="2"/>
      <c r="V100" s="7">
        <f t="shared" si="42"/>
        <v>0</v>
      </c>
      <c r="W100" s="2"/>
      <c r="X100" s="6">
        <f t="shared" si="43"/>
        <v>2045.85</v>
      </c>
      <c r="Y100" s="2"/>
      <c r="Z100" s="7">
        <f t="shared" si="44"/>
        <v>0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141.06</v>
      </c>
      <c r="E101" s="1"/>
      <c r="F101" s="5">
        <f t="shared" ref="F101:F104" si="45">IF(D$12=0,0,D101/D$12)</f>
        <v>1.123746241432889E-3</v>
      </c>
      <c r="G101" s="1"/>
      <c r="H101" s="1">
        <f>SUM(OSRRefH22_11x_0)</f>
        <v>375</v>
      </c>
      <c r="I101" s="1"/>
      <c r="J101" s="5">
        <f t="shared" ref="J101:J104" si="46">IF(H$12=0,0,H101/H$12)</f>
        <v>2.0990529073282136E-3</v>
      </c>
      <c r="K101" s="1"/>
      <c r="L101" s="1">
        <f t="shared" ref="L101:L104" si="47">+D101-H101</f>
        <v>-233.94</v>
      </c>
      <c r="M101" s="1"/>
      <c r="N101" s="5">
        <f t="shared" ref="N101:N104" si="48">IF(H101=0,0,L101/H101)</f>
        <v>-0.62383999999999995</v>
      </c>
      <c r="O101" s="13"/>
      <c r="P101" s="1">
        <f>SUM(OSRRefP22_11x_0)</f>
        <v>1304.7</v>
      </c>
      <c r="Q101" s="1"/>
      <c r="R101" s="5">
        <f t="shared" ref="R101:R104" si="49">IF(P$12=0,0,P101/P$12)</f>
        <v>6.7810702041230483E-4</v>
      </c>
      <c r="S101" s="1"/>
      <c r="T101" s="1">
        <f>SUM(OSRRefT22_11x_0)</f>
        <v>3000</v>
      </c>
      <c r="U101" s="1"/>
      <c r="V101" s="5">
        <f t="shared" ref="V101:V104" si="50">IF(T$12=0,0,T101/T$12)</f>
        <v>1.5834886471781441E-3</v>
      </c>
      <c r="W101" s="1"/>
      <c r="X101" s="1">
        <f t="shared" ref="X101:X104" si="51">+P101-T101</f>
        <v>-1695.3</v>
      </c>
      <c r="Y101" s="1"/>
      <c r="Z101" s="5">
        <f t="shared" ref="Z101:Z104" si="52">IF(T101=0,0,X101/T101)</f>
        <v>-0.56509999999999994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6">
        <v>141.06</v>
      </c>
      <c r="E102" s="2"/>
      <c r="F102" s="7">
        <f t="shared" si="45"/>
        <v>1.123746241432889E-3</v>
      </c>
      <c r="G102" s="2"/>
      <c r="H102" s="6">
        <v>375</v>
      </c>
      <c r="I102" s="2"/>
      <c r="J102" s="7">
        <f t="shared" si="46"/>
        <v>2.0990529073282136E-3</v>
      </c>
      <c r="K102" s="2"/>
      <c r="L102" s="6">
        <f t="shared" si="47"/>
        <v>-233.94</v>
      </c>
      <c r="M102" s="2"/>
      <c r="N102" s="7">
        <f t="shared" si="48"/>
        <v>-0.62383999999999995</v>
      </c>
      <c r="O102" s="11"/>
      <c r="P102" s="6">
        <v>1304.7</v>
      </c>
      <c r="Q102" s="2"/>
      <c r="R102" s="7">
        <f t="shared" si="49"/>
        <v>6.7810702041230483E-4</v>
      </c>
      <c r="S102" s="2"/>
      <c r="T102" s="6">
        <v>3000</v>
      </c>
      <c r="U102" s="2"/>
      <c r="V102" s="7">
        <f t="shared" si="50"/>
        <v>1.5834886471781441E-3</v>
      </c>
      <c r="W102" s="2"/>
      <c r="X102" s="6">
        <f t="shared" si="51"/>
        <v>-1695.3</v>
      </c>
      <c r="Y102" s="2"/>
      <c r="Z102" s="7">
        <f t="shared" si="52"/>
        <v>-0.56509999999999994</v>
      </c>
    </row>
    <row r="103" spans="1:26" s="27" customFormat="1" outlineLevel="1" collapsed="1" x14ac:dyDescent="0.25">
      <c r="A103" s="26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5"/>
        <v>0</v>
      </c>
      <c r="G103" s="1"/>
      <c r="H103" s="1">
        <f>SUM(OSRRefH22_12x_0)</f>
        <v>0</v>
      </c>
      <c r="I103" s="1"/>
      <c r="J103" s="5">
        <f t="shared" si="46"/>
        <v>0</v>
      </c>
      <c r="K103" s="1"/>
      <c r="L103" s="1">
        <f t="shared" si="47"/>
        <v>0</v>
      </c>
      <c r="M103" s="1"/>
      <c r="N103" s="5">
        <f t="shared" si="48"/>
        <v>0</v>
      </c>
      <c r="O103" s="13"/>
      <c r="P103" s="1">
        <f>SUM(OSRRefP22_12x_0)</f>
        <v>-178.06</v>
      </c>
      <c r="Q103" s="1"/>
      <c r="R103" s="5">
        <f t="shared" si="49"/>
        <v>-9.2545210435054028E-5</v>
      </c>
      <c r="S103" s="1"/>
      <c r="T103" s="1">
        <f>SUM(OSRRefT22_12x_0)</f>
        <v>0</v>
      </c>
      <c r="U103" s="1"/>
      <c r="V103" s="5">
        <f t="shared" si="50"/>
        <v>0</v>
      </c>
      <c r="W103" s="1"/>
      <c r="X103" s="1">
        <f t="shared" si="51"/>
        <v>-178.06</v>
      </c>
      <c r="Y103" s="1"/>
      <c r="Z103" s="5">
        <f t="shared" si="52"/>
        <v>0</v>
      </c>
    </row>
    <row r="104" spans="1:26" s="24" customFormat="1" hidden="1" outlineLevel="2" x14ac:dyDescent="0.25">
      <c r="A104" s="25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45"/>
        <v>0</v>
      </c>
      <c r="G104" s="2"/>
      <c r="H104" s="6"/>
      <c r="I104" s="2"/>
      <c r="J104" s="7">
        <f t="shared" si="46"/>
        <v>0</v>
      </c>
      <c r="K104" s="2"/>
      <c r="L104" s="6">
        <f t="shared" si="47"/>
        <v>0</v>
      </c>
      <c r="M104" s="2"/>
      <c r="N104" s="7">
        <f t="shared" si="48"/>
        <v>0</v>
      </c>
      <c r="O104" s="11"/>
      <c r="P104" s="6">
        <v>-178.06</v>
      </c>
      <c r="Q104" s="2"/>
      <c r="R104" s="7">
        <f t="shared" si="49"/>
        <v>-9.2545210435054028E-5</v>
      </c>
      <c r="S104" s="2"/>
      <c r="T104" s="6"/>
      <c r="U104" s="2"/>
      <c r="V104" s="7">
        <f t="shared" si="50"/>
        <v>0</v>
      </c>
      <c r="W104" s="2"/>
      <c r="X104" s="6">
        <f t="shared" si="51"/>
        <v>-178.06</v>
      </c>
      <c r="Y104" s="2"/>
      <c r="Z104" s="7">
        <f t="shared" si="52"/>
        <v>0</v>
      </c>
    </row>
    <row r="105" spans="1:26" s="53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9" t="s">
        <v>0</v>
      </c>
      <c r="C106" s="10"/>
      <c r="D106" s="4">
        <f>SUM(OSRRefD25x_0)</f>
        <v>847.31999999999994</v>
      </c>
      <c r="E106" s="4"/>
      <c r="F106" s="12">
        <f t="shared" ref="F106:F110" si="53">IF(D$12=0,0,D106/D$12)</f>
        <v>6.7501252324607642E-3</v>
      </c>
      <c r="G106" s="4"/>
      <c r="H106" s="4">
        <f>SUM(OSRRefH25x_0)</f>
        <v>2025</v>
      </c>
      <c r="I106" s="4"/>
      <c r="J106" s="12">
        <f t="shared" ref="J106:J110" si="54">IF(H$12=0,0,H106/H$12)</f>
        <v>1.1334885699572353E-2</v>
      </c>
      <c r="K106" s="4"/>
      <c r="L106" s="4">
        <f t="shared" ref="L106:L110" si="55">+D106-H106</f>
        <v>-1177.68</v>
      </c>
      <c r="M106" s="4"/>
      <c r="N106" s="12">
        <f t="shared" ref="N106:N110" si="56">IF(H106=0,0,L106/H106)</f>
        <v>-0.5815703703703704</v>
      </c>
      <c r="O106" s="10"/>
      <c r="P106" s="4">
        <f>SUM(OSRRefP25x_0)</f>
        <v>14067.130000000001</v>
      </c>
      <c r="Q106" s="4"/>
      <c r="R106" s="12">
        <f t="shared" ref="R106:R110" si="57">IF(P$12=0,0,P106/P$12)</f>
        <v>7.3112743236395696E-3</v>
      </c>
      <c r="S106" s="4"/>
      <c r="T106" s="4">
        <f>SUM(OSRRefT25x_0)</f>
        <v>15525</v>
      </c>
      <c r="U106" s="4"/>
      <c r="V106" s="12">
        <f t="shared" ref="V106:V110" si="58">IF(T$12=0,0,T106/T$12)</f>
        <v>8.1945537491468958E-3</v>
      </c>
      <c r="W106" s="4"/>
      <c r="X106" s="4">
        <f t="shared" ref="X106:X110" si="59">+P106-T106</f>
        <v>-1457.869999999999</v>
      </c>
      <c r="Y106" s="4"/>
      <c r="Z106" s="12">
        <f t="shared" ref="Z106:Z110" si="60">IF(T106=0,0,X106/T106)</f>
        <v>-9.3904669887278511E-2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--681.93</f>
        <v>681.93</v>
      </c>
      <c r="E107" s="2"/>
      <c r="F107" s="19">
        <f t="shared" si="53"/>
        <v>5.4325554687390462E-3</v>
      </c>
      <c r="G107" s="2"/>
      <c r="H107" s="2"/>
      <c r="I107" s="2"/>
      <c r="J107" s="19">
        <f t="shared" si="54"/>
        <v>0</v>
      </c>
      <c r="K107" s="2"/>
      <c r="L107" s="2">
        <f t="shared" si="55"/>
        <v>681.93</v>
      </c>
      <c r="M107" s="2"/>
      <c r="N107" s="19">
        <f t="shared" si="56"/>
        <v>0</v>
      </c>
      <c r="O107" s="11"/>
      <c r="P107" s="2">
        <f>--15792.86</f>
        <v>15792.86</v>
      </c>
      <c r="Q107" s="2"/>
      <c r="R107" s="19">
        <f t="shared" si="57"/>
        <v>8.2082081998840137E-3</v>
      </c>
      <c r="S107" s="2"/>
      <c r="T107" s="2"/>
      <c r="U107" s="2"/>
      <c r="V107" s="19">
        <f t="shared" si="58"/>
        <v>0</v>
      </c>
      <c r="W107" s="2"/>
      <c r="X107" s="2">
        <f t="shared" si="59"/>
        <v>15792.86</v>
      </c>
      <c r="Y107" s="2"/>
      <c r="Z107" s="19">
        <f t="shared" si="60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 t="shared" ref="D108:D109" si="61">0</f>
        <v>0</v>
      </c>
      <c r="E108" s="2"/>
      <c r="F108" s="19">
        <f t="shared" si="53"/>
        <v>0</v>
      </c>
      <c r="G108" s="2"/>
      <c r="H108" s="2"/>
      <c r="I108" s="2"/>
      <c r="J108" s="19">
        <f t="shared" si="54"/>
        <v>0</v>
      </c>
      <c r="K108" s="2"/>
      <c r="L108" s="2">
        <f t="shared" si="55"/>
        <v>0</v>
      </c>
      <c r="M108" s="2"/>
      <c r="N108" s="19">
        <f t="shared" si="56"/>
        <v>0</v>
      </c>
      <c r="O108" s="11"/>
      <c r="P108" s="2">
        <f>-7889</f>
        <v>-7889</v>
      </c>
      <c r="Q108" s="2"/>
      <c r="R108" s="19">
        <f t="shared" si="57"/>
        <v>-4.1002424189719262E-3</v>
      </c>
      <c r="S108" s="2"/>
      <c r="T108" s="2"/>
      <c r="U108" s="2"/>
      <c r="V108" s="19">
        <f t="shared" si="58"/>
        <v>0</v>
      </c>
      <c r="W108" s="2"/>
      <c r="X108" s="2">
        <f t="shared" si="59"/>
        <v>-7889</v>
      </c>
      <c r="Y108" s="2"/>
      <c r="Z108" s="19">
        <f t="shared" si="60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 t="shared" si="61"/>
        <v>0</v>
      </c>
      <c r="E109" s="2"/>
      <c r="F109" s="19">
        <f t="shared" si="53"/>
        <v>0</v>
      </c>
      <c r="G109" s="2"/>
      <c r="H109" s="2"/>
      <c r="I109" s="2"/>
      <c r="J109" s="19">
        <f t="shared" si="54"/>
        <v>0</v>
      </c>
      <c r="K109" s="2"/>
      <c r="L109" s="2">
        <f t="shared" si="55"/>
        <v>0</v>
      </c>
      <c r="M109" s="2"/>
      <c r="N109" s="19">
        <f t="shared" si="56"/>
        <v>0</v>
      </c>
      <c r="O109" s="11"/>
      <c r="P109" s="2">
        <f>-56.72</f>
        <v>-56.72</v>
      </c>
      <c r="Q109" s="2"/>
      <c r="R109" s="19">
        <f t="shared" si="57"/>
        <v>-2.9479750285725398E-5</v>
      </c>
      <c r="S109" s="2"/>
      <c r="T109" s="2"/>
      <c r="U109" s="2"/>
      <c r="V109" s="19">
        <f t="shared" si="58"/>
        <v>0</v>
      </c>
      <c r="W109" s="2"/>
      <c r="X109" s="2">
        <f t="shared" si="59"/>
        <v>-56.72</v>
      </c>
      <c r="Y109" s="2"/>
      <c r="Z109" s="19">
        <f t="shared" si="60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--165.39</f>
        <v>165.39</v>
      </c>
      <c r="E110" s="2"/>
      <c r="F110" s="19">
        <f t="shared" si="53"/>
        <v>1.3175697637217176E-3</v>
      </c>
      <c r="G110" s="2"/>
      <c r="H110" s="2">
        <v>2025</v>
      </c>
      <c r="I110" s="2"/>
      <c r="J110" s="19">
        <f t="shared" si="54"/>
        <v>1.1334885699572353E-2</v>
      </c>
      <c r="K110" s="2"/>
      <c r="L110" s="2">
        <f t="shared" si="55"/>
        <v>-1859.6100000000001</v>
      </c>
      <c r="M110" s="2"/>
      <c r="N110" s="19">
        <f t="shared" si="56"/>
        <v>-0.91832592592592599</v>
      </c>
      <c r="O110" s="11"/>
      <c r="P110" s="2">
        <f>--6219.99</f>
        <v>6219.99</v>
      </c>
      <c r="Q110" s="2"/>
      <c r="R110" s="19">
        <f t="shared" si="57"/>
        <v>3.2327882930132073E-3</v>
      </c>
      <c r="S110" s="2"/>
      <c r="T110" s="2">
        <v>15525</v>
      </c>
      <c r="U110" s="2"/>
      <c r="V110" s="19">
        <f t="shared" si="58"/>
        <v>8.1945537491468958E-3</v>
      </c>
      <c r="W110" s="2"/>
      <c r="X110" s="2">
        <f t="shared" si="59"/>
        <v>-9305.01</v>
      </c>
      <c r="Y110" s="2"/>
      <c r="Z110" s="19">
        <f t="shared" si="60"/>
        <v>-0.59935652173913045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8" t="s">
        <v>3</v>
      </c>
      <c r="C112" s="28"/>
      <c r="D112" s="21">
        <f>+D56-D58+D106</f>
        <v>28027.989999999969</v>
      </c>
      <c r="E112" s="14"/>
      <c r="F112" s="22">
        <f>IF(D$12=0,0,D112/D$12)</f>
        <v>0.22328334338167136</v>
      </c>
      <c r="G112" s="14"/>
      <c r="H112" s="21">
        <f>+H56-H58+H106</f>
        <v>23813.886101883076</v>
      </c>
      <c r="I112" s="14"/>
      <c r="J112" s="22">
        <f>IF(H$12=0,0,H112/H$12)</f>
        <v>0.13329761828517495</v>
      </c>
      <c r="K112" s="15"/>
      <c r="L112" s="21">
        <f>+D112-H112</f>
        <v>4214.1038981168931</v>
      </c>
      <c r="M112" s="15"/>
      <c r="N112" s="22">
        <f>IF(H112=0,0,L112/H112)</f>
        <v>0.17695994177882896</v>
      </c>
      <c r="O112" s="29"/>
      <c r="P112" s="21">
        <f>+P56-P58+P106</f>
        <v>105378.58000000048</v>
      </c>
      <c r="Q112" s="14"/>
      <c r="R112" s="22">
        <f>IF(P$12=0,0,P112/P$12)</f>
        <v>5.4769644285337642E-2</v>
      </c>
      <c r="S112" s="14"/>
      <c r="T112" s="21">
        <f>+T56-T58+T106</f>
        <v>297811.84743152693</v>
      </c>
      <c r="U112" s="14"/>
      <c r="V112" s="22">
        <f>IF(T$12=0,0,T112/T$12)</f>
        <v>0.15719389313432414</v>
      </c>
      <c r="W112" s="15"/>
      <c r="X112" s="21">
        <f>+P112-T112</f>
        <v>-192433.26743152644</v>
      </c>
      <c r="Y112" s="15"/>
      <c r="Z112" s="22">
        <f>IF(T112=0,0,X112/T112)</f>
        <v>-0.64615719317805453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8538.27</v>
      </c>
      <c r="E114" s="4"/>
      <c r="F114" s="12">
        <f>IF(D$12=0,0,D114/D$12)</f>
        <v>6.8019628674600832E-2</v>
      </c>
      <c r="G114" s="4"/>
      <c r="H114" s="4">
        <v>16553</v>
      </c>
      <c r="I114" s="4"/>
      <c r="J114" s="12">
        <f>IF(H$12=0,0,H114/H$12)</f>
        <v>9.2654994066677113E-2</v>
      </c>
      <c r="K114" s="4"/>
      <c r="L114" s="4">
        <f>+D114-H114</f>
        <v>-8014.73</v>
      </c>
      <c r="M114" s="4"/>
      <c r="N114" s="12">
        <f>IF(H114=0,0,L114/H114)</f>
        <v>-0.48418594816649546</v>
      </c>
      <c r="O114" s="10"/>
      <c r="P114" s="4">
        <v>196096.97</v>
      </c>
      <c r="Q114" s="4"/>
      <c r="R114" s="12">
        <f>IF(P$12=0,0,P114/P$12)</f>
        <v>0.1019197762233319</v>
      </c>
      <c r="S114" s="4"/>
      <c r="T114" s="4">
        <v>227821</v>
      </c>
      <c r="U114" s="4"/>
      <c r="V114" s="12">
        <f>IF(T$12=0,0,T114/T$12)</f>
        <v>0.12025065569625731</v>
      </c>
      <c r="W114" s="4"/>
      <c r="X114" s="4">
        <f>+P114-T114</f>
        <v>-31724.03</v>
      </c>
      <c r="Y114" s="4"/>
      <c r="Z114" s="12">
        <f>IF(T114=0,0,X114/T114)</f>
        <v>-0.13924980576856391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4</v>
      </c>
      <c r="C116" s="28"/>
      <c r="D116" s="31">
        <f>+D112-D114</f>
        <v>19489.719999999968</v>
      </c>
      <c r="E116" s="14"/>
      <c r="F116" s="32">
        <f>IF(D$12=0,0,D116/D$12)</f>
        <v>0.15526371470707054</v>
      </c>
      <c r="G116" s="14"/>
      <c r="H116" s="31">
        <f>+H112-H114</f>
        <v>7260.8861018830758</v>
      </c>
      <c r="I116" s="14"/>
      <c r="J116" s="32">
        <f>IF(H$12=0,0,H116/H$12)</f>
        <v>4.064262421849784E-2</v>
      </c>
      <c r="K116" s="15"/>
      <c r="L116" s="31">
        <f>D116-H116</f>
        <v>12228.833898116893</v>
      </c>
      <c r="M116" s="15"/>
      <c r="N116" s="32">
        <f>IF(H116=0,0,L116/H116)</f>
        <v>1.6842068208376666</v>
      </c>
      <c r="O116" s="29"/>
      <c r="P116" s="31">
        <f>+P112-P114</f>
        <v>-90718.389999999519</v>
      </c>
      <c r="Q116" s="14"/>
      <c r="R116" s="32">
        <f>IF(P$12=0,0,P116/P$12)</f>
        <v>-4.715013193799425E-2</v>
      </c>
      <c r="S116" s="14"/>
      <c r="T116" s="31">
        <f>+T112-T114</f>
        <v>69990.847431526927</v>
      </c>
      <c r="U116" s="14"/>
      <c r="V116" s="32">
        <f>IF(T$12=0,0,T116/T$12)</f>
        <v>3.6943237438066816E-2</v>
      </c>
      <c r="W116" s="15"/>
      <c r="X116" s="31">
        <f>P116-T116</f>
        <v>-160709.23743152645</v>
      </c>
      <c r="Y116" s="15"/>
      <c r="Z116" s="32">
        <f>IF(T116=0,0,X116/T116)</f>
        <v>-2.2961464724191352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5</v>
      </c>
      <c r="C119" s="28"/>
      <c r="D119" s="33">
        <f>SUM(D116:D118)</f>
        <v>19489.719999999968</v>
      </c>
      <c r="E119" s="14"/>
      <c r="F119" s="30">
        <f>IF(D$12=0,0,D119/D$12)</f>
        <v>0.15526371470707054</v>
      </c>
      <c r="G119" s="14"/>
      <c r="H119" s="33">
        <f>SUM(H116:H118)</f>
        <v>7260.8861018830758</v>
      </c>
      <c r="I119" s="14"/>
      <c r="J119" s="30">
        <f>IF(H$12=0,0,H119/H$12)</f>
        <v>4.064262421849784E-2</v>
      </c>
      <c r="K119" s="15"/>
      <c r="L119" s="33">
        <f>+D119-H119</f>
        <v>12228.833898116893</v>
      </c>
      <c r="M119" s="15"/>
      <c r="N119" s="30">
        <f>IF(H119=0,0,L119/H119)</f>
        <v>1.6842068208376666</v>
      </c>
      <c r="O119" s="29"/>
      <c r="P119" s="33">
        <f>SUM(P116:P118)</f>
        <v>-90718.389999999519</v>
      </c>
      <c r="Q119" s="14"/>
      <c r="R119" s="30">
        <f>IF(P$12=0,0,P119/P$12)</f>
        <v>-4.715013193799425E-2</v>
      </c>
      <c r="S119" s="14"/>
      <c r="T119" s="33">
        <f>SUM(T116:T118)</f>
        <v>69990.847431526927</v>
      </c>
      <c r="U119" s="14"/>
      <c r="V119" s="30">
        <f>IF(T$12=0,0,T119/T$12)</f>
        <v>3.6943237438066816E-2</v>
      </c>
      <c r="W119" s="15"/>
      <c r="X119" s="33">
        <f>+P119-T119</f>
        <v>-160709.23743152645</v>
      </c>
      <c r="Y119" s="15"/>
      <c r="Z119" s="30">
        <f>IF(T119=0,0,X119/T119)</f>
        <v>-2.2961464724191352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9">
        <v>43908.494311458337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63" t="s">
        <v>314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57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125526.55999999998</v>
      </c>
      <c r="E12" s="4"/>
      <c r="F12" s="12"/>
      <c r="G12" s="4"/>
      <c r="H12" s="4">
        <f>SUM(OSRRefH13x_0)</f>
        <v>178652</v>
      </c>
      <c r="I12" s="4"/>
      <c r="J12" s="12"/>
      <c r="K12" s="4"/>
      <c r="L12" s="4">
        <f t="shared" ref="L12:L38" si="0">+D12-H12</f>
        <v>-53125.440000000017</v>
      </c>
      <c r="M12" s="4"/>
      <c r="N12" s="12">
        <f t="shared" ref="N12:N38" si="1">IF(H12=0,0,L12/H12)</f>
        <v>-0.29736829142690829</v>
      </c>
      <c r="O12" s="10"/>
      <c r="P12" s="4">
        <f>SUM(OSRRefP13x_0)</f>
        <v>1924032.5800000008</v>
      </c>
      <c r="Q12" s="4"/>
      <c r="R12" s="12"/>
      <c r="S12" s="4"/>
      <c r="T12" s="4">
        <f>SUM(OSRRefT13x_0)</f>
        <v>1894551</v>
      </c>
      <c r="U12" s="4"/>
      <c r="V12" s="12"/>
      <c r="W12" s="4"/>
      <c r="X12" s="4">
        <f t="shared" ref="X12:X38" si="2">+P12-T12</f>
        <v>29481.580000000773</v>
      </c>
      <c r="Y12" s="4"/>
      <c r="Z12" s="12">
        <f t="shared" ref="Z12:Z38" si="3">IF(T12=0,0,X12/T12)</f>
        <v>1.5561249076958484E-2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157213</v>
      </c>
      <c r="I13" s="2"/>
      <c r="J13" s="19"/>
      <c r="K13" s="2"/>
      <c r="L13" s="2">
        <f t="shared" si="0"/>
        <v>-157213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1667203</v>
      </c>
      <c r="U13" s="2"/>
      <c r="V13" s="19"/>
      <c r="W13" s="2"/>
      <c r="X13" s="2">
        <f t="shared" si="2"/>
        <v>-1667203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--24733.17</f>
        <v>24733.17</v>
      </c>
      <c r="E14" s="2"/>
      <c r="F14" s="19"/>
      <c r="G14" s="2"/>
      <c r="H14" s="2"/>
      <c r="I14" s="2"/>
      <c r="J14" s="19"/>
      <c r="K14" s="2"/>
      <c r="L14" s="2">
        <f t="shared" si="0"/>
        <v>24733.17</v>
      </c>
      <c r="M14" s="2"/>
      <c r="N14" s="19">
        <f t="shared" si="1"/>
        <v>0</v>
      </c>
      <c r="O14" s="11"/>
      <c r="P14" s="2">
        <f>--296222.17</f>
        <v>296222.17</v>
      </c>
      <c r="Q14" s="2"/>
      <c r="R14" s="19"/>
      <c r="S14" s="2"/>
      <c r="T14" s="2"/>
      <c r="U14" s="2"/>
      <c r="V14" s="19"/>
      <c r="W14" s="2"/>
      <c r="X14" s="2">
        <f t="shared" si="2"/>
        <v>296222.17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--76432.07</f>
        <v>76432.070000000007</v>
      </c>
      <c r="E15" s="2"/>
      <c r="F15" s="19"/>
      <c r="G15" s="2"/>
      <c r="H15" s="2"/>
      <c r="I15" s="2"/>
      <c r="J15" s="19"/>
      <c r="K15" s="2"/>
      <c r="L15" s="2">
        <f t="shared" si="0"/>
        <v>76432.070000000007</v>
      </c>
      <c r="M15" s="2"/>
      <c r="N15" s="19">
        <f t="shared" si="1"/>
        <v>0</v>
      </c>
      <c r="O15" s="11"/>
      <c r="P15" s="2">
        <f>--1583545.55</f>
        <v>1583545.55</v>
      </c>
      <c r="Q15" s="2"/>
      <c r="R15" s="19"/>
      <c r="S15" s="2"/>
      <c r="T15" s="2"/>
      <c r="U15" s="2"/>
      <c r="V15" s="19"/>
      <c r="W15" s="2"/>
      <c r="X15" s="2">
        <f t="shared" si="2"/>
        <v>1583545.55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--10917.85</f>
        <v>10917.85</v>
      </c>
      <c r="E16" s="2"/>
      <c r="F16" s="19"/>
      <c r="G16" s="2"/>
      <c r="H16" s="2"/>
      <c r="I16" s="2"/>
      <c r="J16" s="19"/>
      <c r="K16" s="2"/>
      <c r="L16" s="2">
        <f t="shared" si="0"/>
        <v>10917.85</v>
      </c>
      <c r="M16" s="2"/>
      <c r="N16" s="19">
        <f t="shared" si="1"/>
        <v>0</v>
      </c>
      <c r="O16" s="11"/>
      <c r="P16" s="2">
        <f>--95247.08</f>
        <v>95247.08</v>
      </c>
      <c r="Q16" s="2"/>
      <c r="R16" s="19"/>
      <c r="S16" s="2"/>
      <c r="T16" s="2"/>
      <c r="U16" s="2"/>
      <c r="V16" s="19"/>
      <c r="W16" s="2"/>
      <c r="X16" s="2">
        <f t="shared" si="2"/>
        <v>95247.08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--149.99</f>
        <v>149.99</v>
      </c>
      <c r="E18" s="2"/>
      <c r="F18" s="19"/>
      <c r="G18" s="2"/>
      <c r="H18" s="2"/>
      <c r="I18" s="2"/>
      <c r="J18" s="19"/>
      <c r="K18" s="2"/>
      <c r="L18" s="2">
        <f t="shared" si="0"/>
        <v>149.99</v>
      </c>
      <c r="M18" s="2"/>
      <c r="N18" s="19">
        <f t="shared" si="1"/>
        <v>0</v>
      </c>
      <c r="O18" s="11"/>
      <c r="P18" s="2">
        <f>--4557.93</f>
        <v>4557.93</v>
      </c>
      <c r="Q18" s="2"/>
      <c r="R18" s="19"/>
      <c r="S18" s="2"/>
      <c r="T18" s="2"/>
      <c r="U18" s="2"/>
      <c r="V18" s="19"/>
      <c r="W18" s="2"/>
      <c r="X18" s="2">
        <f t="shared" si="2"/>
        <v>4557.93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--5856.22</f>
        <v>5856.22</v>
      </c>
      <c r="E19" s="2"/>
      <c r="F19" s="19"/>
      <c r="G19" s="2"/>
      <c r="H19" s="2"/>
      <c r="I19" s="2"/>
      <c r="J19" s="19"/>
      <c r="K19" s="2"/>
      <c r="L19" s="2">
        <f t="shared" si="0"/>
        <v>5856.22</v>
      </c>
      <c r="M19" s="2"/>
      <c r="N19" s="19">
        <f t="shared" si="1"/>
        <v>0</v>
      </c>
      <c r="O19" s="11"/>
      <c r="P19" s="2">
        <f>--46217.33</f>
        <v>46217.33</v>
      </c>
      <c r="Q19" s="2"/>
      <c r="R19" s="19"/>
      <c r="S19" s="2"/>
      <c r="T19" s="2"/>
      <c r="U19" s="2"/>
      <c r="V19" s="19"/>
      <c r="W19" s="2"/>
      <c r="X19" s="2">
        <f t="shared" si="2"/>
        <v>46217.33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--38.96</f>
        <v>38.96</v>
      </c>
      <c r="E20" s="2"/>
      <c r="F20" s="19"/>
      <c r="G20" s="2"/>
      <c r="H20" s="2"/>
      <c r="I20" s="2"/>
      <c r="J20" s="19"/>
      <c r="K20" s="2"/>
      <c r="L20" s="2">
        <f t="shared" si="0"/>
        <v>38.96</v>
      </c>
      <c r="M20" s="2"/>
      <c r="N20" s="19">
        <f t="shared" si="1"/>
        <v>0</v>
      </c>
      <c r="O20" s="11"/>
      <c r="P20" s="2">
        <f>--1094.84</f>
        <v>1094.8399999999999</v>
      </c>
      <c r="Q20" s="2"/>
      <c r="R20" s="19"/>
      <c r="S20" s="2"/>
      <c r="T20" s="2"/>
      <c r="U20" s="2"/>
      <c r="V20" s="19"/>
      <c r="W20" s="2"/>
      <c r="X20" s="2">
        <f t="shared" si="2"/>
        <v>1094.8399999999999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21439</v>
      </c>
      <c r="I21" s="2"/>
      <c r="J21" s="19"/>
      <c r="K21" s="2"/>
      <c r="L21" s="2">
        <f t="shared" si="0"/>
        <v>-21439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227348</v>
      </c>
      <c r="U21" s="2"/>
      <c r="V21" s="19"/>
      <c r="W21" s="2"/>
      <c r="X21" s="2">
        <f t="shared" si="2"/>
        <v>-227348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--257.96</f>
        <v>257.95999999999998</v>
      </c>
      <c r="E22" s="2"/>
      <c r="F22" s="19"/>
      <c r="G22" s="2"/>
      <c r="H22" s="2"/>
      <c r="I22" s="2"/>
      <c r="J22" s="19"/>
      <c r="K22" s="2"/>
      <c r="L22" s="2">
        <f t="shared" si="0"/>
        <v>257.95999999999998</v>
      </c>
      <c r="M22" s="2"/>
      <c r="N22" s="19">
        <f t="shared" si="1"/>
        <v>0</v>
      </c>
      <c r="O22" s="11"/>
      <c r="P22" s="2">
        <f>--2064.38</f>
        <v>2064.38</v>
      </c>
      <c r="Q22" s="2"/>
      <c r="R22" s="19"/>
      <c r="S22" s="2"/>
      <c r="T22" s="2"/>
      <c r="U22" s="2"/>
      <c r="V22" s="19"/>
      <c r="W22" s="2"/>
      <c r="X22" s="2">
        <f t="shared" si="2"/>
        <v>2064.38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--10906.99</f>
        <v>10906.99</v>
      </c>
      <c r="E23" s="2"/>
      <c r="F23" s="19"/>
      <c r="G23" s="2"/>
      <c r="H23" s="2"/>
      <c r="I23" s="2"/>
      <c r="J23" s="19"/>
      <c r="K23" s="2"/>
      <c r="L23" s="2">
        <f t="shared" si="0"/>
        <v>10906.99</v>
      </c>
      <c r="M23" s="2"/>
      <c r="N23" s="19">
        <f t="shared" si="1"/>
        <v>0</v>
      </c>
      <c r="O23" s="11"/>
      <c r="P23" s="2">
        <f>--97878.96</f>
        <v>97878.96</v>
      </c>
      <c r="Q23" s="2"/>
      <c r="R23" s="19"/>
      <c r="S23" s="2"/>
      <c r="T23" s="2"/>
      <c r="U23" s="2"/>
      <c r="V23" s="19"/>
      <c r="W23" s="2"/>
      <c r="X23" s="2">
        <f t="shared" si="2"/>
        <v>97878.96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--1706.87</f>
        <v>1706.87</v>
      </c>
      <c r="E24" s="2"/>
      <c r="F24" s="19"/>
      <c r="G24" s="2"/>
      <c r="H24" s="2"/>
      <c r="I24" s="2"/>
      <c r="J24" s="19"/>
      <c r="K24" s="2"/>
      <c r="L24" s="2">
        <f t="shared" si="0"/>
        <v>1706.87</v>
      </c>
      <c r="M24" s="2"/>
      <c r="N24" s="19">
        <f t="shared" si="1"/>
        <v>0</v>
      </c>
      <c r="O24" s="11"/>
      <c r="P24" s="2">
        <f>--6056.31</f>
        <v>6056.31</v>
      </c>
      <c r="Q24" s="2"/>
      <c r="R24" s="19"/>
      <c r="S24" s="2"/>
      <c r="T24" s="2"/>
      <c r="U24" s="2"/>
      <c r="V24" s="19"/>
      <c r="W24" s="2"/>
      <c r="X24" s="2">
        <f t="shared" si="2"/>
        <v>6056.31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--817.97</f>
        <v>817.97</v>
      </c>
      <c r="E26" s="2"/>
      <c r="F26" s="19"/>
      <c r="G26" s="2"/>
      <c r="H26" s="2"/>
      <c r="I26" s="2"/>
      <c r="J26" s="19"/>
      <c r="K26" s="2"/>
      <c r="L26" s="2">
        <f t="shared" si="0"/>
        <v>817.97</v>
      </c>
      <c r="M26" s="2"/>
      <c r="N26" s="19">
        <f t="shared" si="1"/>
        <v>0</v>
      </c>
      <c r="O26" s="11"/>
      <c r="P26" s="2">
        <f>--12145.79</f>
        <v>12145.79</v>
      </c>
      <c r="Q26" s="2"/>
      <c r="R26" s="19"/>
      <c r="S26" s="2"/>
      <c r="T26" s="2"/>
      <c r="U26" s="2"/>
      <c r="V26" s="19"/>
      <c r="W26" s="2"/>
      <c r="X26" s="2">
        <f t="shared" si="2"/>
        <v>12145.79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--519.9</f>
        <v>519.9</v>
      </c>
      <c r="E27" s="2"/>
      <c r="F27" s="19"/>
      <c r="G27" s="2"/>
      <c r="H27" s="2"/>
      <c r="I27" s="2"/>
      <c r="J27" s="19"/>
      <c r="K27" s="2"/>
      <c r="L27" s="2">
        <f t="shared" si="0"/>
        <v>519.9</v>
      </c>
      <c r="M27" s="2"/>
      <c r="N27" s="19">
        <f t="shared" si="1"/>
        <v>0</v>
      </c>
      <c r="O27" s="11"/>
      <c r="P27" s="2">
        <f>--2500.18</f>
        <v>2500.1799999999998</v>
      </c>
      <c r="Q27" s="2"/>
      <c r="R27" s="19"/>
      <c r="S27" s="2"/>
      <c r="T27" s="2"/>
      <c r="U27" s="2"/>
      <c r="V27" s="19"/>
      <c r="W27" s="2"/>
      <c r="X27" s="2">
        <f t="shared" si="2"/>
        <v>2500.1799999999998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-1117.89</f>
        <v>-1117.8900000000001</v>
      </c>
      <c r="E29" s="2"/>
      <c r="F29" s="19"/>
      <c r="G29" s="2"/>
      <c r="H29" s="2"/>
      <c r="I29" s="2"/>
      <c r="J29" s="19"/>
      <c r="K29" s="2"/>
      <c r="L29" s="2">
        <f t="shared" si="0"/>
        <v>-1117.8900000000001</v>
      </c>
      <c r="M29" s="2"/>
      <c r="N29" s="19">
        <f t="shared" si="1"/>
        <v>0</v>
      </c>
      <c r="O29" s="11"/>
      <c r="P29" s="2">
        <f>-7567.73</f>
        <v>-7567.73</v>
      </c>
      <c r="Q29" s="2"/>
      <c r="R29" s="19"/>
      <c r="S29" s="2"/>
      <c r="T29" s="2"/>
      <c r="U29" s="2"/>
      <c r="V29" s="19"/>
      <c r="W29" s="2"/>
      <c r="X29" s="2">
        <f t="shared" si="2"/>
        <v>-7567.73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-4341.94</f>
        <v>-4341.9399999999996</v>
      </c>
      <c r="E30" s="2"/>
      <c r="F30" s="19"/>
      <c r="G30" s="2"/>
      <c r="H30" s="2"/>
      <c r="I30" s="2"/>
      <c r="J30" s="19"/>
      <c r="K30" s="2"/>
      <c r="L30" s="2">
        <f t="shared" si="0"/>
        <v>-4341.9399999999996</v>
      </c>
      <c r="M30" s="2"/>
      <c r="N30" s="19">
        <f t="shared" si="1"/>
        <v>0</v>
      </c>
      <c r="O30" s="11"/>
      <c r="P30" s="2">
        <f>-207225.13</f>
        <v>-207225.13</v>
      </c>
      <c r="Q30" s="2"/>
      <c r="R30" s="19"/>
      <c r="S30" s="2"/>
      <c r="T30" s="2"/>
      <c r="U30" s="2"/>
      <c r="V30" s="19"/>
      <c r="W30" s="2"/>
      <c r="X30" s="2">
        <f t="shared" si="2"/>
        <v>-207225.13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-910.69</f>
        <v>-910.69</v>
      </c>
      <c r="E31" s="2"/>
      <c r="F31" s="19"/>
      <c r="G31" s="2"/>
      <c r="H31" s="2"/>
      <c r="I31" s="2"/>
      <c r="J31" s="19"/>
      <c r="K31" s="2"/>
      <c r="L31" s="2">
        <f t="shared" si="0"/>
        <v>-910.69</v>
      </c>
      <c r="M31" s="2"/>
      <c r="N31" s="19">
        <f t="shared" si="1"/>
        <v>0</v>
      </c>
      <c r="O31" s="11"/>
      <c r="P31" s="2">
        <f>-5825.41</f>
        <v>-5825.41</v>
      </c>
      <c r="Q31" s="2"/>
      <c r="R31" s="19"/>
      <c r="S31" s="2"/>
      <c r="T31" s="2"/>
      <c r="U31" s="2"/>
      <c r="V31" s="19"/>
      <c r="W31" s="2"/>
      <c r="X31" s="2">
        <f t="shared" si="2"/>
        <v>-5825.41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>-149.99</f>
        <v>-149.99</v>
      </c>
      <c r="E33" s="2"/>
      <c r="F33" s="19"/>
      <c r="G33" s="2"/>
      <c r="H33" s="2"/>
      <c r="I33" s="2"/>
      <c r="J33" s="19"/>
      <c r="K33" s="2"/>
      <c r="L33" s="2">
        <f t="shared" si="0"/>
        <v>-149.99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-290.88</f>
        <v>-290.88</v>
      </c>
      <c r="E34" s="2"/>
      <c r="F34" s="19"/>
      <c r="G34" s="2"/>
      <c r="H34" s="2"/>
      <c r="I34" s="2"/>
      <c r="J34" s="19"/>
      <c r="K34" s="2"/>
      <c r="L34" s="2">
        <f t="shared" si="0"/>
        <v>-290.88</v>
      </c>
      <c r="M34" s="2"/>
      <c r="N34" s="19">
        <f t="shared" si="1"/>
        <v>0</v>
      </c>
      <c r="O34" s="11"/>
      <c r="P34" s="2">
        <f>-3582.89</f>
        <v>-3582.89</v>
      </c>
      <c r="Q34" s="2"/>
      <c r="R34" s="19"/>
      <c r="S34" s="2"/>
      <c r="T34" s="2"/>
      <c r="U34" s="2"/>
      <c r="V34" s="19"/>
      <c r="W34" s="2"/>
      <c r="X34" s="2">
        <f t="shared" si="2"/>
        <v>-3582.89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4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83912.250000000015</v>
      </c>
      <c r="E40" s="4"/>
      <c r="F40" s="12">
        <f t="shared" ref="F40:F54" si="5">IF(D$12=0,0,D40/D$12)</f>
        <v>0.66848203280644369</v>
      </c>
      <c r="G40" s="4"/>
      <c r="H40" s="4">
        <f>SUM(OSRRefH16x_0)</f>
        <v>139520</v>
      </c>
      <c r="I40" s="4"/>
      <c r="J40" s="12">
        <f t="shared" ref="J40:J54" si="6">IF(H$12=0,0,H40/H$12)</f>
        <v>0.78095963101448629</v>
      </c>
      <c r="K40" s="4"/>
      <c r="L40" s="4">
        <f t="shared" ref="L40:L54" si="7">+D40-H40</f>
        <v>-55607.749999999985</v>
      </c>
      <c r="M40" s="4"/>
      <c r="N40" s="12">
        <f t="shared" ref="N40:N54" si="8">IF(H40=0,0,L40/H40)</f>
        <v>-0.39856472190366959</v>
      </c>
      <c r="O40" s="10"/>
      <c r="P40" s="4">
        <f>SUM(OSRRefP16x_0)</f>
        <v>1672221.5300000003</v>
      </c>
      <c r="Q40" s="4"/>
      <c r="R40" s="12">
        <f t="shared" ref="R40:R54" si="9">IF(P$12=0,0,P40/P$12)</f>
        <v>0.86912329208063599</v>
      </c>
      <c r="S40" s="4"/>
      <c r="T40" s="4">
        <f>SUM(OSRRefT16x_0)</f>
        <v>1479574</v>
      </c>
      <c r="U40" s="4"/>
      <c r="V40" s="12">
        <f t="shared" ref="V40:V54" si="10">IF(T$12=0,0,T40/T$12)</f>
        <v>0.78096287721998514</v>
      </c>
      <c r="W40" s="4"/>
      <c r="X40" s="4">
        <f t="shared" ref="X40:X54" si="11">+P40-T40</f>
        <v>192647.53000000026</v>
      </c>
      <c r="Y40" s="4"/>
      <c r="Z40" s="12">
        <f t="shared" ref="Z40:Z54" si="12">IF(T40=0,0,X40/T40)</f>
        <v>0.13020472784734002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5"/>
        <v>0</v>
      </c>
      <c r="G41" s="2"/>
      <c r="H41" s="2">
        <v>139520</v>
      </c>
      <c r="I41" s="2"/>
      <c r="J41" s="19">
        <f t="shared" si="6"/>
        <v>0.78095963101448629</v>
      </c>
      <c r="K41" s="2"/>
      <c r="L41" s="2">
        <f t="shared" si="7"/>
        <v>-139520</v>
      </c>
      <c r="M41" s="2"/>
      <c r="N41" s="19">
        <f t="shared" si="8"/>
        <v>-1</v>
      </c>
      <c r="O41" s="11"/>
      <c r="P41" s="2"/>
      <c r="Q41" s="2"/>
      <c r="R41" s="19">
        <f t="shared" si="9"/>
        <v>0</v>
      </c>
      <c r="S41" s="2"/>
      <c r="T41" s="2">
        <v>1479574</v>
      </c>
      <c r="U41" s="2"/>
      <c r="V41" s="19">
        <f t="shared" si="10"/>
        <v>0.78096287721998514</v>
      </c>
      <c r="W41" s="2"/>
      <c r="X41" s="2">
        <f t="shared" si="11"/>
        <v>-1479574</v>
      </c>
      <c r="Y41" s="2"/>
      <c r="Z41" s="19">
        <f t="shared" si="12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7374.68</v>
      </c>
      <c r="E42" s="2"/>
      <c r="F42" s="19">
        <f t="shared" si="5"/>
        <v>5.8749956981215781E-2</v>
      </c>
      <c r="G42" s="2"/>
      <c r="H42" s="2"/>
      <c r="I42" s="2"/>
      <c r="J42" s="19">
        <f t="shared" si="6"/>
        <v>0</v>
      </c>
      <c r="K42" s="2"/>
      <c r="L42" s="2">
        <f t="shared" si="7"/>
        <v>7374.68</v>
      </c>
      <c r="M42" s="2"/>
      <c r="N42" s="19">
        <f t="shared" si="8"/>
        <v>0</v>
      </c>
      <c r="O42" s="11"/>
      <c r="P42" s="2">
        <v>227130.27000000002</v>
      </c>
      <c r="Q42" s="2"/>
      <c r="R42" s="19">
        <f t="shared" si="9"/>
        <v>0.11804907690284534</v>
      </c>
      <c r="S42" s="2"/>
      <c r="T42" s="2"/>
      <c r="U42" s="2"/>
      <c r="V42" s="19">
        <f t="shared" si="10"/>
        <v>0</v>
      </c>
      <c r="W42" s="2"/>
      <c r="X42" s="2">
        <f t="shared" si="11"/>
        <v>227130.27000000002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43635.82</v>
      </c>
      <c r="E43" s="2"/>
      <c r="F43" s="19">
        <f t="shared" si="5"/>
        <v>0.34762220839956104</v>
      </c>
      <c r="G43" s="2"/>
      <c r="H43" s="2"/>
      <c r="I43" s="2"/>
      <c r="J43" s="19">
        <f t="shared" si="6"/>
        <v>0</v>
      </c>
      <c r="K43" s="2"/>
      <c r="L43" s="2">
        <f t="shared" si="7"/>
        <v>43635.82</v>
      </c>
      <c r="M43" s="2"/>
      <c r="N43" s="19">
        <f t="shared" si="8"/>
        <v>0</v>
      </c>
      <c r="O43" s="11"/>
      <c r="P43" s="2">
        <v>1210948.9800000002</v>
      </c>
      <c r="Q43" s="2"/>
      <c r="R43" s="19">
        <f t="shared" si="9"/>
        <v>0.62938070414587244</v>
      </c>
      <c r="S43" s="2"/>
      <c r="T43" s="2"/>
      <c r="U43" s="2"/>
      <c r="V43" s="19">
        <f t="shared" si="10"/>
        <v>0</v>
      </c>
      <c r="W43" s="2"/>
      <c r="X43" s="2">
        <f t="shared" si="11"/>
        <v>1210948.9800000002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6218.67</v>
      </c>
      <c r="E44" s="2"/>
      <c r="F44" s="19">
        <f t="shared" si="5"/>
        <v>4.9540670914585735E-2</v>
      </c>
      <c r="G44" s="2"/>
      <c r="H44" s="2"/>
      <c r="I44" s="2"/>
      <c r="J44" s="19">
        <f t="shared" si="6"/>
        <v>0</v>
      </c>
      <c r="K44" s="2"/>
      <c r="L44" s="2">
        <f t="shared" si="7"/>
        <v>6218.67</v>
      </c>
      <c r="M44" s="2"/>
      <c r="N44" s="19">
        <f t="shared" si="8"/>
        <v>0</v>
      </c>
      <c r="O44" s="11"/>
      <c r="P44" s="2">
        <v>71116.739999999991</v>
      </c>
      <c r="Q44" s="2"/>
      <c r="R44" s="19">
        <f t="shared" si="9"/>
        <v>3.6962336677271841E-2</v>
      </c>
      <c r="S44" s="2"/>
      <c r="T44" s="2"/>
      <c r="U44" s="2"/>
      <c r="V44" s="19">
        <f t="shared" si="10"/>
        <v>0</v>
      </c>
      <c r="W44" s="2"/>
      <c r="X44" s="2">
        <f t="shared" si="11"/>
        <v>71116.739999999991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2728</v>
      </c>
      <c r="Q45" s="2"/>
      <c r="R45" s="19">
        <f t="shared" si="9"/>
        <v>1.417855408664649E-3</v>
      </c>
      <c r="S45" s="2"/>
      <c r="T45" s="2"/>
      <c r="U45" s="2"/>
      <c r="V45" s="19">
        <f t="shared" si="10"/>
        <v>0</v>
      </c>
      <c r="W45" s="2"/>
      <c r="X45" s="2">
        <f t="shared" si="11"/>
        <v>2728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1301.73</v>
      </c>
      <c r="E46" s="2"/>
      <c r="F46" s="19">
        <f t="shared" si="5"/>
        <v>1.0370155925566671E-2</v>
      </c>
      <c r="G46" s="2"/>
      <c r="H46" s="2"/>
      <c r="I46" s="2"/>
      <c r="J46" s="19">
        <f t="shared" si="6"/>
        <v>0</v>
      </c>
      <c r="K46" s="2"/>
      <c r="L46" s="2">
        <f t="shared" si="7"/>
        <v>1301.73</v>
      </c>
      <c r="M46" s="2"/>
      <c r="N46" s="19">
        <f t="shared" si="8"/>
        <v>0</v>
      </c>
      <c r="O46" s="11"/>
      <c r="P46" s="2">
        <v>9162.39</v>
      </c>
      <c r="Q46" s="2"/>
      <c r="R46" s="19">
        <f t="shared" si="9"/>
        <v>4.7620763261711479E-3</v>
      </c>
      <c r="S46" s="2"/>
      <c r="T46" s="2"/>
      <c r="U46" s="2"/>
      <c r="V46" s="19">
        <f t="shared" si="10"/>
        <v>0</v>
      </c>
      <c r="W46" s="2"/>
      <c r="X46" s="2">
        <f t="shared" si="11"/>
        <v>9162.39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4070.58</v>
      </c>
      <c r="E47" s="2"/>
      <c r="F47" s="19">
        <f t="shared" si="5"/>
        <v>3.2428037540421728E-2</v>
      </c>
      <c r="G47" s="2"/>
      <c r="H47" s="2"/>
      <c r="I47" s="2"/>
      <c r="J47" s="19">
        <f t="shared" si="6"/>
        <v>0</v>
      </c>
      <c r="K47" s="2"/>
      <c r="L47" s="2">
        <f t="shared" si="7"/>
        <v>4070.58</v>
      </c>
      <c r="M47" s="2"/>
      <c r="N47" s="19">
        <f t="shared" si="8"/>
        <v>0</v>
      </c>
      <c r="O47" s="11"/>
      <c r="P47" s="2">
        <v>29002.1</v>
      </c>
      <c r="Q47" s="2"/>
      <c r="R47" s="19">
        <f t="shared" si="9"/>
        <v>1.5073601300451985E-2</v>
      </c>
      <c r="S47" s="2"/>
      <c r="T47" s="2"/>
      <c r="U47" s="2"/>
      <c r="V47" s="19">
        <f t="shared" si="10"/>
        <v>0</v>
      </c>
      <c r="W47" s="2"/>
      <c r="X47" s="2">
        <f t="shared" si="11"/>
        <v>29002.1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>
        <v>6.9</v>
      </c>
      <c r="E48" s="2"/>
      <c r="F48" s="19">
        <f t="shared" si="5"/>
        <v>5.4968446518410137E-5</v>
      </c>
      <c r="G48" s="2"/>
      <c r="H48" s="2"/>
      <c r="I48" s="2"/>
      <c r="J48" s="19">
        <f t="shared" si="6"/>
        <v>0</v>
      </c>
      <c r="K48" s="2"/>
      <c r="L48" s="2">
        <f t="shared" si="7"/>
        <v>6.9</v>
      </c>
      <c r="M48" s="2"/>
      <c r="N48" s="19">
        <f t="shared" si="8"/>
        <v>0</v>
      </c>
      <c r="O48" s="11"/>
      <c r="P48" s="2">
        <v>95.65</v>
      </c>
      <c r="Q48" s="2"/>
      <c r="R48" s="19">
        <f t="shared" si="9"/>
        <v>4.9713295395444897E-5</v>
      </c>
      <c r="S48" s="2"/>
      <c r="T48" s="2"/>
      <c r="U48" s="2"/>
      <c r="V48" s="19">
        <f t="shared" si="10"/>
        <v>0</v>
      </c>
      <c r="W48" s="2"/>
      <c r="X48" s="2">
        <f t="shared" si="11"/>
        <v>95.65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-62692</v>
      </c>
      <c r="E49" s="2"/>
      <c r="F49" s="19">
        <f t="shared" si="5"/>
        <v>-0.49943215204814034</v>
      </c>
      <c r="G49" s="2"/>
      <c r="H49" s="2"/>
      <c r="I49" s="2"/>
      <c r="J49" s="19">
        <f t="shared" si="6"/>
        <v>0</v>
      </c>
      <c r="K49" s="2"/>
      <c r="L49" s="2">
        <f t="shared" si="7"/>
        <v>-62692</v>
      </c>
      <c r="M49" s="2"/>
      <c r="N49" s="19">
        <f t="shared" si="8"/>
        <v>0</v>
      </c>
      <c r="O49" s="11"/>
      <c r="P49" s="2">
        <v>-1550621</v>
      </c>
      <c r="Q49" s="2"/>
      <c r="R49" s="19">
        <f t="shared" si="9"/>
        <v>-0.80592242362132938</v>
      </c>
      <c r="S49" s="2"/>
      <c r="T49" s="2"/>
      <c r="U49" s="2"/>
      <c r="V49" s="19">
        <f t="shared" si="10"/>
        <v>0</v>
      </c>
      <c r="W49" s="2"/>
      <c r="X49" s="2">
        <f t="shared" si="11"/>
        <v>-1550621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83913</v>
      </c>
      <c r="E50" s="2"/>
      <c r="F50" s="19">
        <f t="shared" si="5"/>
        <v>0.66848800763758687</v>
      </c>
      <c r="G50" s="2"/>
      <c r="H50" s="2"/>
      <c r="I50" s="2"/>
      <c r="J50" s="19">
        <f t="shared" si="6"/>
        <v>0</v>
      </c>
      <c r="K50" s="2"/>
      <c r="L50" s="2">
        <f t="shared" si="7"/>
        <v>83913</v>
      </c>
      <c r="M50" s="2"/>
      <c r="N50" s="19">
        <f t="shared" si="8"/>
        <v>0</v>
      </c>
      <c r="O50" s="11"/>
      <c r="P50" s="2">
        <v>1672220</v>
      </c>
      <c r="Q50" s="2"/>
      <c r="R50" s="19">
        <f t="shared" si="9"/>
        <v>0.86912249687580623</v>
      </c>
      <c r="S50" s="2"/>
      <c r="T50" s="2"/>
      <c r="U50" s="2"/>
      <c r="V50" s="19">
        <f t="shared" si="10"/>
        <v>0</v>
      </c>
      <c r="W50" s="2"/>
      <c r="X50" s="2">
        <f t="shared" si="11"/>
        <v>1672220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105.75</v>
      </c>
      <c r="Q51" s="2"/>
      <c r="R51" s="19">
        <f t="shared" si="9"/>
        <v>5.4962686754503898E-5</v>
      </c>
      <c r="S51" s="2"/>
      <c r="T51" s="2"/>
      <c r="U51" s="2"/>
      <c r="V51" s="19">
        <f t="shared" si="10"/>
        <v>0</v>
      </c>
      <c r="W51" s="2"/>
      <c r="X51" s="2">
        <f t="shared" si="11"/>
        <v>105.75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4.84</v>
      </c>
      <c r="Q52" s="2"/>
      <c r="R52" s="19">
        <f t="shared" si="9"/>
        <v>2.5155499185985706E-6</v>
      </c>
      <c r="S52" s="2"/>
      <c r="T52" s="2"/>
      <c r="U52" s="2"/>
      <c r="V52" s="19">
        <f t="shared" si="10"/>
        <v>0</v>
      </c>
      <c r="W52" s="2"/>
      <c r="X52" s="2">
        <f t="shared" si="11"/>
        <v>4.84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>
        <v>8.3800000000000008</v>
      </c>
      <c r="E53" s="2"/>
      <c r="F53" s="19">
        <f t="shared" si="5"/>
        <v>6.6758779974532891E-5</v>
      </c>
      <c r="G53" s="2"/>
      <c r="H53" s="2"/>
      <c r="I53" s="2"/>
      <c r="J53" s="19">
        <f t="shared" si="6"/>
        <v>0</v>
      </c>
      <c r="K53" s="2"/>
      <c r="L53" s="2">
        <f t="shared" si="7"/>
        <v>8.3800000000000008</v>
      </c>
      <c r="M53" s="2"/>
      <c r="N53" s="19">
        <f t="shared" si="8"/>
        <v>0</v>
      </c>
      <c r="O53" s="11"/>
      <c r="P53" s="2">
        <v>57.5</v>
      </c>
      <c r="Q53" s="2"/>
      <c r="R53" s="19">
        <f t="shared" si="9"/>
        <v>2.9885148826325994E-5</v>
      </c>
      <c r="S53" s="2"/>
      <c r="T53" s="2"/>
      <c r="U53" s="2"/>
      <c r="V53" s="19">
        <f t="shared" si="10"/>
        <v>0</v>
      </c>
      <c r="W53" s="2"/>
      <c r="X53" s="2">
        <f t="shared" si="11"/>
        <v>57.5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74.489999999999995</v>
      </c>
      <c r="E54" s="2"/>
      <c r="F54" s="19">
        <f t="shared" si="5"/>
        <v>5.9342022915309721E-4</v>
      </c>
      <c r="G54" s="2"/>
      <c r="H54" s="2"/>
      <c r="I54" s="2"/>
      <c r="J54" s="19">
        <f t="shared" si="6"/>
        <v>0</v>
      </c>
      <c r="K54" s="2"/>
      <c r="L54" s="2">
        <f t="shared" si="7"/>
        <v>74.489999999999995</v>
      </c>
      <c r="M54" s="2"/>
      <c r="N54" s="19">
        <f t="shared" si="8"/>
        <v>0</v>
      </c>
      <c r="O54" s="11"/>
      <c r="P54" s="2">
        <v>270.31</v>
      </c>
      <c r="Q54" s="2"/>
      <c r="R54" s="19">
        <f t="shared" si="9"/>
        <v>1.404913839868553E-4</v>
      </c>
      <c r="S54" s="2"/>
      <c r="T54" s="2"/>
      <c r="U54" s="2"/>
      <c r="V54" s="19">
        <f t="shared" si="10"/>
        <v>0</v>
      </c>
      <c r="W54" s="2"/>
      <c r="X54" s="2">
        <f t="shared" si="11"/>
        <v>270.31</v>
      </c>
      <c r="Y54" s="2"/>
      <c r="Z54" s="19">
        <f t="shared" si="12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1">
        <f>D12-D40</f>
        <v>41614.309999999969</v>
      </c>
      <c r="E56" s="14"/>
      <c r="F56" s="22">
        <f>IF(D$12=0,0,D56/D$12)</f>
        <v>0.33151796719355631</v>
      </c>
      <c r="G56" s="14"/>
      <c r="H56" s="21">
        <f>H12-H40</f>
        <v>39132</v>
      </c>
      <c r="I56" s="14"/>
      <c r="J56" s="22">
        <f>IF(H$12=0,0,H56/H$12)</f>
        <v>0.21904036898551374</v>
      </c>
      <c r="K56" s="15"/>
      <c r="L56" s="21">
        <f>+D56-H56</f>
        <v>2482.3099999999686</v>
      </c>
      <c r="M56" s="15"/>
      <c r="N56" s="22">
        <f>IF(H56=0,0,L56/H56)</f>
        <v>6.3434273740160696E-2</v>
      </c>
      <c r="O56" s="29"/>
      <c r="P56" s="21">
        <f>P12-P40</f>
        <v>251811.05000000051</v>
      </c>
      <c r="Q56" s="14"/>
      <c r="R56" s="22">
        <f>IF(P$12=0,0,P56/P$12)</f>
        <v>0.13087670791936404</v>
      </c>
      <c r="S56" s="14"/>
      <c r="T56" s="21">
        <f>T12-T40</f>
        <v>414977</v>
      </c>
      <c r="U56" s="14"/>
      <c r="V56" s="22">
        <f>IF(T$12=0,0,T56/T$12)</f>
        <v>0.21903712278001489</v>
      </c>
      <c r="W56" s="15"/>
      <c r="X56" s="21">
        <f>+P56-T56</f>
        <v>-163165.94999999949</v>
      </c>
      <c r="Y56" s="15"/>
      <c r="Z56" s="22">
        <f>IF(T56=0,0,X56/T56)</f>
        <v>-0.39319275526113373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0">
        <f>SUM(OSRRefD22x_0)</f>
        <v>14433.640000000001</v>
      </c>
      <c r="E58" s="20"/>
      <c r="F58" s="34">
        <f t="shared" ref="F58:F69" si="13">IF(D$12=0,0,D58/D$12)</f>
        <v>0.1149847490443457</v>
      </c>
      <c r="G58" s="20"/>
      <c r="H58" s="20">
        <f>SUM(OSRRefH22x_0)</f>
        <v>17343.113898116924</v>
      </c>
      <c r="I58" s="20"/>
      <c r="J58" s="34">
        <f t="shared" ref="J58:J69" si="14">IF(H$12=0,0,H58/H$12)</f>
        <v>9.7077636399911141E-2</v>
      </c>
      <c r="K58" s="4"/>
      <c r="L58" s="20">
        <f t="shared" ref="L58:L69" si="15">+D58-H58</f>
        <v>-2909.473898116923</v>
      </c>
      <c r="M58" s="4"/>
      <c r="N58" s="34">
        <f t="shared" ref="N58:N69" si="16">IF(H58=0,0,L58/H58)</f>
        <v>-0.16775960275696666</v>
      </c>
      <c r="O58" s="10"/>
      <c r="P58" s="20">
        <f>SUM(OSRRefP22x_0)</f>
        <v>160499.60000000003</v>
      </c>
      <c r="Q58" s="20"/>
      <c r="R58" s="34">
        <f t="shared" ref="R58:R69" si="17">IF(P$12=0,0,P58/P$12)</f>
        <v>8.3418337957665956E-2</v>
      </c>
      <c r="S58" s="20"/>
      <c r="T58" s="20">
        <f>SUM(OSRRefT22x_0)</f>
        <v>132690.15256847307</v>
      </c>
      <c r="U58" s="20"/>
      <c r="V58" s="34">
        <f t="shared" ref="V58:V69" si="18">IF(T$12=0,0,T58/T$12)</f>
        <v>7.0037783394837655E-2</v>
      </c>
      <c r="W58" s="4"/>
      <c r="X58" s="20">
        <f t="shared" ref="X58:X69" si="19">+P58-T58</f>
        <v>27809.447431526962</v>
      </c>
      <c r="Y58" s="4"/>
      <c r="Z58" s="34">
        <f t="shared" ref="Z58:Z69" si="20">IF(T58=0,0,X58/T58)</f>
        <v>0.20958184833781277</v>
      </c>
    </row>
    <row r="59" spans="1:26" s="27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3042.6499999999992</v>
      </c>
      <c r="E59" s="1"/>
      <c r="F59" s="5">
        <f t="shared" si="13"/>
        <v>2.423909330423776E-2</v>
      </c>
      <c r="G59" s="1"/>
      <c r="H59" s="1">
        <f>SUM(OSRRefH22_0x_0)</f>
        <v>2456.1270073476921</v>
      </c>
      <c r="I59" s="1"/>
      <c r="J59" s="5">
        <f t="shared" si="14"/>
        <v>1.3748108094774714E-2</v>
      </c>
      <c r="K59" s="1"/>
      <c r="L59" s="1">
        <f t="shared" si="15"/>
        <v>586.52299265230704</v>
      </c>
      <c r="M59" s="1"/>
      <c r="N59" s="5">
        <f t="shared" si="16"/>
        <v>0.23879994434232374</v>
      </c>
      <c r="O59" s="13"/>
      <c r="P59" s="1">
        <f>SUM(OSRRefP22_0x_0)</f>
        <v>24441.55</v>
      </c>
      <c r="Q59" s="1"/>
      <c r="R59" s="5">
        <f t="shared" si="17"/>
        <v>1.2703293205149358E-2</v>
      </c>
      <c r="S59" s="1"/>
      <c r="T59" s="1">
        <f>SUM(OSRRefT22_0x_0)</f>
        <v>20796.001899242307</v>
      </c>
      <c r="U59" s="1"/>
      <c r="V59" s="5">
        <f t="shared" si="18"/>
        <v>1.0976744304715106E-2</v>
      </c>
      <c r="W59" s="1"/>
      <c r="X59" s="1">
        <f t="shared" si="19"/>
        <v>3645.5481007576927</v>
      </c>
      <c r="Y59" s="1"/>
      <c r="Z59" s="5">
        <f t="shared" si="20"/>
        <v>0.17530043122810623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6">
        <v>649.87</v>
      </c>
      <c r="E60" s="2"/>
      <c r="F60" s="7">
        <f t="shared" si="13"/>
        <v>5.1771513534665499E-3</v>
      </c>
      <c r="G60" s="2"/>
      <c r="H60" s="6">
        <v>368.84942751692296</v>
      </c>
      <c r="I60" s="2"/>
      <c r="J60" s="7">
        <f t="shared" si="14"/>
        <v>2.0646252351886516E-3</v>
      </c>
      <c r="K60" s="2"/>
      <c r="L60" s="6">
        <f t="shared" si="15"/>
        <v>281.02057248307705</v>
      </c>
      <c r="M60" s="2"/>
      <c r="N60" s="7">
        <f t="shared" si="16"/>
        <v>0.76188425823213113</v>
      </c>
      <c r="O60" s="11"/>
      <c r="P60" s="6">
        <v>5475.38</v>
      </c>
      <c r="Q60" s="2"/>
      <c r="R60" s="7">
        <f t="shared" si="17"/>
        <v>2.8457834118380669E-3</v>
      </c>
      <c r="S60" s="2"/>
      <c r="T60" s="6">
        <v>3915.5496898730771</v>
      </c>
      <c r="U60" s="2"/>
      <c r="V60" s="7">
        <f t="shared" si="18"/>
        <v>2.0667428271253069E-3</v>
      </c>
      <c r="W60" s="2"/>
      <c r="X60" s="6">
        <f t="shared" si="19"/>
        <v>1559.830310126923</v>
      </c>
      <c r="Y60" s="2"/>
      <c r="Z60" s="7">
        <f t="shared" si="20"/>
        <v>0.39836815611385717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6">
        <v>213.71</v>
      </c>
      <c r="E61" s="2"/>
      <c r="F61" s="7">
        <f t="shared" si="13"/>
        <v>1.7025082181810769E-3</v>
      </c>
      <c r="G61" s="2"/>
      <c r="H61" s="6">
        <v>216.894434961538</v>
      </c>
      <c r="I61" s="2"/>
      <c r="J61" s="7">
        <f t="shared" si="14"/>
        <v>1.214061051438204E-3</v>
      </c>
      <c r="K61" s="2"/>
      <c r="L61" s="6">
        <f t="shared" si="15"/>
        <v>-3.1844349615379883</v>
      </c>
      <c r="M61" s="2"/>
      <c r="N61" s="7">
        <f t="shared" si="16"/>
        <v>-1.4681957893952815E-2</v>
      </c>
      <c r="O61" s="11"/>
      <c r="P61" s="6">
        <v>1366.89</v>
      </c>
      <c r="Q61" s="2"/>
      <c r="R61" s="7">
        <f t="shared" si="17"/>
        <v>7.1042975789942166E-4</v>
      </c>
      <c r="S61" s="2"/>
      <c r="T61" s="6">
        <v>1602.2198480384591</v>
      </c>
      <c r="U61" s="2"/>
      <c r="V61" s="7">
        <f t="shared" si="18"/>
        <v>8.4569897988413041E-4</v>
      </c>
      <c r="W61" s="2"/>
      <c r="X61" s="6">
        <f t="shared" si="19"/>
        <v>-235.32984803845898</v>
      </c>
      <c r="Y61" s="2"/>
      <c r="Z61" s="7">
        <f t="shared" si="20"/>
        <v>-0.14687737661380551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6">
        <v>1376.77</v>
      </c>
      <c r="E62" s="2"/>
      <c r="F62" s="7">
        <f t="shared" si="13"/>
        <v>1.0967957697558192E-2</v>
      </c>
      <c r="G62" s="2"/>
      <c r="H62" s="6">
        <v>1186.2</v>
      </c>
      <c r="I62" s="2"/>
      <c r="J62" s="7">
        <f t="shared" si="14"/>
        <v>6.6397241564606054E-3</v>
      </c>
      <c r="K62" s="2"/>
      <c r="L62" s="6">
        <f t="shared" si="15"/>
        <v>190.56999999999994</v>
      </c>
      <c r="M62" s="2"/>
      <c r="N62" s="7">
        <f t="shared" si="16"/>
        <v>0.16065587590625521</v>
      </c>
      <c r="O62" s="11"/>
      <c r="P62" s="6">
        <v>9188.36</v>
      </c>
      <c r="Q62" s="2"/>
      <c r="R62" s="7">
        <f t="shared" si="17"/>
        <v>4.775574018606274E-3</v>
      </c>
      <c r="S62" s="2"/>
      <c r="T62" s="6">
        <v>9489.6</v>
      </c>
      <c r="U62" s="2"/>
      <c r="V62" s="7">
        <f t="shared" si="18"/>
        <v>5.0088912887539059E-3</v>
      </c>
      <c r="W62" s="2"/>
      <c r="X62" s="6">
        <f t="shared" si="19"/>
        <v>-301.23999999999978</v>
      </c>
      <c r="Y62" s="2"/>
      <c r="Z62" s="7">
        <f t="shared" si="20"/>
        <v>-3.1744225257123566E-2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6">
        <v>29.24</v>
      </c>
      <c r="E63" s="2"/>
      <c r="F63" s="7">
        <f t="shared" si="13"/>
        <v>2.3293875017366844E-4</v>
      </c>
      <c r="G63" s="2"/>
      <c r="H63" s="6">
        <v>29.680291100000002</v>
      </c>
      <c r="I63" s="2"/>
      <c r="J63" s="7">
        <f t="shared" si="14"/>
        <v>1.6613467019680722E-4</v>
      </c>
      <c r="K63" s="2"/>
      <c r="L63" s="6">
        <f t="shared" si="15"/>
        <v>-0.44029110000000315</v>
      </c>
      <c r="M63" s="2"/>
      <c r="N63" s="7">
        <f t="shared" si="16"/>
        <v>-1.4834460299481468E-2</v>
      </c>
      <c r="O63" s="11"/>
      <c r="P63" s="6">
        <v>215.49</v>
      </c>
      <c r="Q63" s="2"/>
      <c r="R63" s="7">
        <f t="shared" si="17"/>
        <v>1.1199914296669546E-4</v>
      </c>
      <c r="S63" s="2"/>
      <c r="T63" s="6">
        <v>219.25113709999999</v>
      </c>
      <c r="U63" s="2"/>
      <c r="V63" s="7">
        <f t="shared" si="18"/>
        <v>1.157272288262496E-4</v>
      </c>
      <c r="W63" s="2"/>
      <c r="X63" s="6">
        <f t="shared" si="19"/>
        <v>-3.7611370999999849</v>
      </c>
      <c r="Y63" s="2"/>
      <c r="Z63" s="7">
        <f t="shared" si="20"/>
        <v>-1.7154470210499012E-2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6">
        <v>268.89</v>
      </c>
      <c r="E64" s="2"/>
      <c r="F64" s="7">
        <f t="shared" si="13"/>
        <v>2.1420964614978695E-3</v>
      </c>
      <c r="G64" s="2"/>
      <c r="H64" s="6">
        <v>294.022912615385</v>
      </c>
      <c r="I64" s="2"/>
      <c r="J64" s="7">
        <f t="shared" si="14"/>
        <v>1.6457857321238217E-3</v>
      </c>
      <c r="K64" s="2"/>
      <c r="L64" s="6">
        <f t="shared" si="15"/>
        <v>-25.13291261538501</v>
      </c>
      <c r="M64" s="2"/>
      <c r="N64" s="7">
        <f t="shared" si="16"/>
        <v>-8.5479435571273604E-2</v>
      </c>
      <c r="O64" s="11"/>
      <c r="P64" s="6">
        <v>1955.36</v>
      </c>
      <c r="Q64" s="2"/>
      <c r="R64" s="7">
        <f t="shared" si="17"/>
        <v>1.0162821671138224E-3</v>
      </c>
      <c r="S64" s="2"/>
      <c r="T64" s="6">
        <v>2572.7004853846179</v>
      </c>
      <c r="U64" s="2"/>
      <c r="V64" s="7">
        <f t="shared" si="18"/>
        <v>1.3579473370654144E-3</v>
      </c>
      <c r="W64" s="2"/>
      <c r="X64" s="6">
        <f t="shared" si="19"/>
        <v>-617.34048538461798</v>
      </c>
      <c r="Y64" s="2"/>
      <c r="Z64" s="7">
        <f t="shared" si="20"/>
        <v>-0.23995816415152027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3"/>
        <v>0</v>
      </c>
      <c r="G65" s="2"/>
      <c r="H65" s="6">
        <v>0</v>
      </c>
      <c r="I65" s="2"/>
      <c r="J65" s="7">
        <f t="shared" si="14"/>
        <v>0</v>
      </c>
      <c r="K65" s="2"/>
      <c r="L65" s="6">
        <f t="shared" si="15"/>
        <v>0</v>
      </c>
      <c r="M65" s="2"/>
      <c r="N65" s="7">
        <f t="shared" si="16"/>
        <v>0</v>
      </c>
      <c r="O65" s="11"/>
      <c r="P65" s="6"/>
      <c r="Q65" s="2"/>
      <c r="R65" s="7">
        <f t="shared" si="17"/>
        <v>0</v>
      </c>
      <c r="S65" s="2"/>
      <c r="T65" s="6">
        <v>0</v>
      </c>
      <c r="U65" s="2"/>
      <c r="V65" s="7">
        <f t="shared" si="18"/>
        <v>0</v>
      </c>
      <c r="W65" s="2"/>
      <c r="X65" s="6">
        <f t="shared" si="19"/>
        <v>0</v>
      </c>
      <c r="Y65" s="2"/>
      <c r="Z65" s="7">
        <f t="shared" si="20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6">
        <v>94.62</v>
      </c>
      <c r="E66" s="2"/>
      <c r="F66" s="7">
        <f t="shared" si="13"/>
        <v>7.5378469703941552E-4</v>
      </c>
      <c r="G66" s="2"/>
      <c r="H66" s="6"/>
      <c r="I66" s="2"/>
      <c r="J66" s="7">
        <f t="shared" si="14"/>
        <v>0</v>
      </c>
      <c r="K66" s="2"/>
      <c r="L66" s="6">
        <f t="shared" si="15"/>
        <v>94.62</v>
      </c>
      <c r="M66" s="2"/>
      <c r="N66" s="7">
        <f t="shared" si="16"/>
        <v>0</v>
      </c>
      <c r="O66" s="11"/>
      <c r="P66" s="6">
        <v>1289.98</v>
      </c>
      <c r="Q66" s="2"/>
      <c r="R66" s="7">
        <f t="shared" si="17"/>
        <v>6.7045642231276532E-4</v>
      </c>
      <c r="S66" s="2"/>
      <c r="T66" s="6"/>
      <c r="U66" s="2"/>
      <c r="V66" s="7">
        <f t="shared" si="18"/>
        <v>0</v>
      </c>
      <c r="W66" s="2"/>
      <c r="X66" s="6">
        <f t="shared" si="19"/>
        <v>1289.98</v>
      </c>
      <c r="Y66" s="2"/>
      <c r="Z66" s="7">
        <f t="shared" si="20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6">
        <v>67.989999999999995</v>
      </c>
      <c r="E67" s="2"/>
      <c r="F67" s="7">
        <f t="shared" si="13"/>
        <v>5.4163835924444994E-4</v>
      </c>
      <c r="G67" s="2"/>
      <c r="H67" s="6">
        <v>170.943553846154</v>
      </c>
      <c r="I67" s="2"/>
      <c r="J67" s="7">
        <f t="shared" si="14"/>
        <v>9.5685216983943083E-4</v>
      </c>
      <c r="K67" s="2"/>
      <c r="L67" s="6">
        <f t="shared" si="15"/>
        <v>-102.95355384615401</v>
      </c>
      <c r="M67" s="2"/>
      <c r="N67" s="7">
        <f t="shared" si="16"/>
        <v>-0.60226637114851533</v>
      </c>
      <c r="O67" s="11"/>
      <c r="P67" s="6">
        <v>1667.07</v>
      </c>
      <c r="Q67" s="2"/>
      <c r="R67" s="7">
        <f t="shared" si="17"/>
        <v>8.6644582702440477E-4</v>
      </c>
      <c r="S67" s="2"/>
      <c r="T67" s="6">
        <v>1495.7560961538459</v>
      </c>
      <c r="U67" s="2"/>
      <c r="V67" s="7">
        <f t="shared" si="18"/>
        <v>7.8950426573570515E-4</v>
      </c>
      <c r="W67" s="2"/>
      <c r="X67" s="6">
        <f t="shared" si="19"/>
        <v>171.31390384615406</v>
      </c>
      <c r="Y67" s="2"/>
      <c r="Z67" s="7">
        <f t="shared" si="20"/>
        <v>0.11453331481427143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6">
        <v>177.56</v>
      </c>
      <c r="E68" s="2"/>
      <c r="F68" s="7">
        <f t="shared" si="13"/>
        <v>1.4145213570737542E-3</v>
      </c>
      <c r="G68" s="2"/>
      <c r="H68" s="6">
        <v>189.536387307692</v>
      </c>
      <c r="I68" s="2"/>
      <c r="J68" s="7">
        <f t="shared" si="14"/>
        <v>1.0609250795271924E-3</v>
      </c>
      <c r="K68" s="2"/>
      <c r="L68" s="6">
        <f t="shared" si="15"/>
        <v>-11.976387307691994</v>
      </c>
      <c r="M68" s="2"/>
      <c r="N68" s="7">
        <f t="shared" si="16"/>
        <v>-6.3187799861615032E-2</v>
      </c>
      <c r="O68" s="11"/>
      <c r="P68" s="6">
        <v>1983.24</v>
      </c>
      <c r="Q68" s="2"/>
      <c r="R68" s="7">
        <f t="shared" si="17"/>
        <v>1.0307725662317003E-3</v>
      </c>
      <c r="S68" s="2"/>
      <c r="T68" s="6">
        <v>1500.9246426923048</v>
      </c>
      <c r="U68" s="2"/>
      <c r="V68" s="7">
        <f t="shared" si="18"/>
        <v>7.9223237732439235E-4</v>
      </c>
      <c r="W68" s="2"/>
      <c r="X68" s="6">
        <f t="shared" si="19"/>
        <v>482.31535730769519</v>
      </c>
      <c r="Y68" s="2"/>
      <c r="Z68" s="7">
        <f t="shared" si="20"/>
        <v>0.32134548503550131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6">
        <v>164</v>
      </c>
      <c r="E69" s="2"/>
      <c r="F69" s="7">
        <f t="shared" si="13"/>
        <v>1.3064964100027916E-3</v>
      </c>
      <c r="G69" s="2"/>
      <c r="H69" s="6"/>
      <c r="I69" s="2"/>
      <c r="J69" s="7">
        <f t="shared" si="14"/>
        <v>0</v>
      </c>
      <c r="K69" s="2"/>
      <c r="L69" s="6">
        <f t="shared" si="15"/>
        <v>164</v>
      </c>
      <c r="M69" s="2"/>
      <c r="N69" s="7">
        <f t="shared" si="16"/>
        <v>0</v>
      </c>
      <c r="O69" s="11"/>
      <c r="P69" s="6">
        <v>1299.78</v>
      </c>
      <c r="Q69" s="2"/>
      <c r="R69" s="7">
        <f t="shared" si="17"/>
        <v>6.7554989115620873E-4</v>
      </c>
      <c r="S69" s="2"/>
      <c r="T69" s="6"/>
      <c r="U69" s="2"/>
      <c r="V69" s="7">
        <f t="shared" si="18"/>
        <v>0</v>
      </c>
      <c r="W69" s="2"/>
      <c r="X69" s="6">
        <f t="shared" si="19"/>
        <v>1299.78</v>
      </c>
      <c r="Y69" s="2"/>
      <c r="Z69" s="7">
        <f t="shared" si="20"/>
        <v>0</v>
      </c>
    </row>
    <row r="70" spans="1:26" s="27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11381.29</v>
      </c>
      <c r="E70" s="1"/>
      <c r="F70" s="5">
        <f t="shared" ref="F70:F80" si="21">IF(D$12=0,0,D70/D$12)</f>
        <v>9.0668381257321184E-2</v>
      </c>
      <c r="G70" s="1"/>
      <c r="H70" s="1">
        <f>SUM(OSRRefH22_1x_0)</f>
        <v>11141.986890769231</v>
      </c>
      <c r="I70" s="1"/>
      <c r="J70" s="5">
        <f t="shared" ref="J70:J80" si="22">IF(H$12=0,0,H70/H$12)</f>
        <v>6.2366986603951992E-2</v>
      </c>
      <c r="K70" s="1"/>
      <c r="L70" s="1">
        <f t="shared" ref="L70:L80" si="23">+D70-H70</f>
        <v>239.30310923077013</v>
      </c>
      <c r="M70" s="1"/>
      <c r="N70" s="5">
        <f t="shared" ref="N70:N80" si="24">IF(H70=0,0,L70/H70)</f>
        <v>2.1477597449789217E-2</v>
      </c>
      <c r="O70" s="13"/>
      <c r="P70" s="1">
        <f>SUM(OSRRefP22_1x_0)</f>
        <v>80697.22</v>
      </c>
      <c r="Q70" s="1"/>
      <c r="R70" s="5">
        <f t="shared" ref="R70:R80" si="25">IF(P$12=0,0,P70/P$12)</f>
        <v>4.19417118186221E-2</v>
      </c>
      <c r="S70" s="1"/>
      <c r="T70" s="1">
        <f>SUM(OSRRefT22_1x_0)</f>
        <v>81934.150669230759</v>
      </c>
      <c r="U70" s="1"/>
      <c r="V70" s="5">
        <f t="shared" ref="V70:V80" si="26">IF(T$12=0,0,T70/T$12)</f>
        <v>4.3247265800303483E-2</v>
      </c>
      <c r="W70" s="1"/>
      <c r="X70" s="1">
        <f t="shared" ref="X70:X80" si="27">+P70-T70</f>
        <v>-1236.9306692307582</v>
      </c>
      <c r="Y70" s="1"/>
      <c r="Z70" s="5">
        <f t="shared" ref="Z70:Z80" si="28">IF(T70=0,0,X70/T70)</f>
        <v>-1.5096643574475601E-2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1"/>
        <v>0</v>
      </c>
      <c r="G71" s="2"/>
      <c r="H71" s="6">
        <v>3145.3613907692297</v>
      </c>
      <c r="I71" s="2"/>
      <c r="J71" s="7">
        <f t="shared" si="22"/>
        <v>1.7606079925045506E-2</v>
      </c>
      <c r="K71" s="2"/>
      <c r="L71" s="6">
        <f t="shared" si="23"/>
        <v>-3145.3613907692297</v>
      </c>
      <c r="M71" s="2"/>
      <c r="N71" s="7">
        <f t="shared" si="24"/>
        <v>-1</v>
      </c>
      <c r="O71" s="11"/>
      <c r="P71" s="6"/>
      <c r="Q71" s="2"/>
      <c r="R71" s="7">
        <f t="shared" si="25"/>
        <v>0</v>
      </c>
      <c r="S71" s="2"/>
      <c r="T71" s="6">
        <v>27521.912169230767</v>
      </c>
      <c r="U71" s="2"/>
      <c r="V71" s="7">
        <f t="shared" si="26"/>
        <v>1.4526878489536975E-2</v>
      </c>
      <c r="W71" s="2"/>
      <c r="X71" s="6">
        <f t="shared" si="27"/>
        <v>-27521.912169230767</v>
      </c>
      <c r="Y71" s="2"/>
      <c r="Z71" s="7">
        <f t="shared" si="28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6">
        <v>3797.56</v>
      </c>
      <c r="E72" s="2"/>
      <c r="F72" s="7">
        <f t="shared" si="21"/>
        <v>3.0253039675428056E-2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3797.56</v>
      </c>
      <c r="M72" s="2"/>
      <c r="N72" s="7">
        <f t="shared" si="24"/>
        <v>0</v>
      </c>
      <c r="O72" s="11"/>
      <c r="P72" s="6">
        <v>27336.26</v>
      </c>
      <c r="Q72" s="2"/>
      <c r="R72" s="7">
        <f t="shared" si="25"/>
        <v>1.4207794755741604E-2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27336.26</v>
      </c>
      <c r="Y72" s="2"/>
      <c r="Z72" s="7">
        <f t="shared" si="28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1"/>
        <v>0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0</v>
      </c>
      <c r="M73" s="2"/>
      <c r="N73" s="7">
        <f t="shared" si="24"/>
        <v>0</v>
      </c>
      <c r="O73" s="11"/>
      <c r="P73" s="6"/>
      <c r="Q73" s="2"/>
      <c r="R73" s="7">
        <f t="shared" si="25"/>
        <v>0</v>
      </c>
      <c r="S73" s="2"/>
      <c r="T73" s="6">
        <v>0</v>
      </c>
      <c r="U73" s="2"/>
      <c r="V73" s="7">
        <f t="shared" si="26"/>
        <v>0</v>
      </c>
      <c r="W73" s="2"/>
      <c r="X73" s="6">
        <f t="shared" si="27"/>
        <v>0</v>
      </c>
      <c r="Y73" s="2"/>
      <c r="Z73" s="7">
        <f t="shared" si="28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1"/>
        <v>0</v>
      </c>
      <c r="G74" s="2"/>
      <c r="H74" s="6">
        <v>1400.8</v>
      </c>
      <c r="I74" s="2"/>
      <c r="J74" s="7">
        <f t="shared" si="22"/>
        <v>7.840942166894297E-3</v>
      </c>
      <c r="K74" s="2"/>
      <c r="L74" s="6">
        <f t="shared" si="23"/>
        <v>-1400.8</v>
      </c>
      <c r="M74" s="2"/>
      <c r="N74" s="7">
        <f t="shared" si="24"/>
        <v>-1</v>
      </c>
      <c r="O74" s="11"/>
      <c r="P74" s="6"/>
      <c r="Q74" s="2"/>
      <c r="R74" s="7">
        <f t="shared" si="25"/>
        <v>0</v>
      </c>
      <c r="S74" s="2"/>
      <c r="T74" s="6">
        <v>11869.72</v>
      </c>
      <c r="U74" s="2"/>
      <c r="V74" s="7">
        <f t="shared" si="26"/>
        <v>6.2651889550611193E-3</v>
      </c>
      <c r="W74" s="2"/>
      <c r="X74" s="6">
        <f t="shared" si="27"/>
        <v>-11869.72</v>
      </c>
      <c r="Y74" s="2"/>
      <c r="Z74" s="7">
        <f t="shared" si="28"/>
        <v>-1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>
        <v>4177.5600000000004</v>
      </c>
      <c r="E75" s="2"/>
      <c r="F75" s="7">
        <f t="shared" si="21"/>
        <v>3.3280287454702823E-2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4177.5600000000004</v>
      </c>
      <c r="M75" s="2"/>
      <c r="N75" s="7">
        <f t="shared" si="24"/>
        <v>0</v>
      </c>
      <c r="O75" s="11"/>
      <c r="P75" s="6">
        <v>27300.59</v>
      </c>
      <c r="Q75" s="2"/>
      <c r="R75" s="7">
        <f t="shared" si="25"/>
        <v>1.4189255568634908E-2</v>
      </c>
      <c r="S75" s="2"/>
      <c r="T75" s="6">
        <v>0</v>
      </c>
      <c r="U75" s="2"/>
      <c r="V75" s="7">
        <f t="shared" si="26"/>
        <v>0</v>
      </c>
      <c r="W75" s="2"/>
      <c r="X75" s="6">
        <f t="shared" si="27"/>
        <v>27300.59</v>
      </c>
      <c r="Y75" s="2"/>
      <c r="Z75" s="7">
        <f t="shared" si="28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>
        <v>467.77</v>
      </c>
      <c r="E76" s="2"/>
      <c r="F76" s="7">
        <f t="shared" si="21"/>
        <v>3.7264623518719867E-3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467.77</v>
      </c>
      <c r="M76" s="2"/>
      <c r="N76" s="7">
        <f t="shared" si="24"/>
        <v>0</v>
      </c>
      <c r="O76" s="11"/>
      <c r="P76" s="6">
        <v>9008.99</v>
      </c>
      <c r="Q76" s="2"/>
      <c r="R76" s="7">
        <f t="shared" si="25"/>
        <v>4.6823479465196976E-3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9008.99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2938.4</v>
      </c>
      <c r="E77" s="2"/>
      <c r="F77" s="7">
        <f t="shared" si="21"/>
        <v>2.3408591775318312E-2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2938.4</v>
      </c>
      <c r="M77" s="2"/>
      <c r="N77" s="7">
        <f t="shared" si="24"/>
        <v>0</v>
      </c>
      <c r="O77" s="11"/>
      <c r="P77" s="6">
        <v>17051.38</v>
      </c>
      <c r="Q77" s="2"/>
      <c r="R77" s="7">
        <f t="shared" si="25"/>
        <v>8.8623135477258891E-3</v>
      </c>
      <c r="S77" s="2"/>
      <c r="T77" s="6">
        <v>9378.75</v>
      </c>
      <c r="U77" s="2"/>
      <c r="V77" s="7">
        <f t="shared" si="26"/>
        <v>4.9503813832406729E-3</v>
      </c>
      <c r="W77" s="2"/>
      <c r="X77" s="6">
        <f t="shared" si="27"/>
        <v>7672.630000000001</v>
      </c>
      <c r="Y77" s="2"/>
      <c r="Z77" s="7">
        <f t="shared" si="28"/>
        <v>0.81808663201386123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1"/>
        <v>0</v>
      </c>
      <c r="G78" s="2"/>
      <c r="H78" s="6">
        <v>6595.8255000000008</v>
      </c>
      <c r="I78" s="2"/>
      <c r="J78" s="7">
        <f t="shared" si="22"/>
        <v>3.6919964512012182E-2</v>
      </c>
      <c r="K78" s="2"/>
      <c r="L78" s="6">
        <f t="shared" si="23"/>
        <v>-6595.8255000000008</v>
      </c>
      <c r="M78" s="2"/>
      <c r="N78" s="7">
        <f t="shared" si="24"/>
        <v>-1</v>
      </c>
      <c r="O78" s="11"/>
      <c r="P78" s="6"/>
      <c r="Q78" s="2"/>
      <c r="R78" s="7">
        <f t="shared" si="25"/>
        <v>0</v>
      </c>
      <c r="S78" s="2"/>
      <c r="T78" s="6">
        <v>33163.768499999998</v>
      </c>
      <c r="U78" s="2"/>
      <c r="V78" s="7">
        <f t="shared" si="26"/>
        <v>1.7504816972464716E-2</v>
      </c>
      <c r="W78" s="2"/>
      <c r="X78" s="6">
        <f t="shared" si="27"/>
        <v>-33163.768499999998</v>
      </c>
      <c r="Y78" s="2"/>
      <c r="Z78" s="7">
        <f t="shared" si="28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1"/>
        <v>0</v>
      </c>
      <c r="G79" s="2"/>
      <c r="H79" s="6">
        <v>0</v>
      </c>
      <c r="I79" s="2"/>
      <c r="J79" s="7">
        <f t="shared" si="22"/>
        <v>0</v>
      </c>
      <c r="K79" s="2"/>
      <c r="L79" s="6">
        <f t="shared" si="23"/>
        <v>0</v>
      </c>
      <c r="M79" s="2"/>
      <c r="N79" s="7">
        <f t="shared" si="24"/>
        <v>0</v>
      </c>
      <c r="O79" s="11"/>
      <c r="P79" s="6"/>
      <c r="Q79" s="2"/>
      <c r="R79" s="7">
        <f t="shared" si="25"/>
        <v>0</v>
      </c>
      <c r="S79" s="2"/>
      <c r="T79" s="6">
        <v>0</v>
      </c>
      <c r="U79" s="2"/>
      <c r="V79" s="7">
        <f t="shared" si="26"/>
        <v>0</v>
      </c>
      <c r="W79" s="2"/>
      <c r="X79" s="6">
        <f t="shared" si="27"/>
        <v>0</v>
      </c>
      <c r="Y79" s="2"/>
      <c r="Z79" s="7">
        <f t="shared" si="28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1"/>
        <v>0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0</v>
      </c>
      <c r="M80" s="2"/>
      <c r="N80" s="7">
        <f t="shared" si="24"/>
        <v>0</v>
      </c>
      <c r="O80" s="11"/>
      <c r="P80" s="6"/>
      <c r="Q80" s="2"/>
      <c r="R80" s="7">
        <f t="shared" si="25"/>
        <v>0</v>
      </c>
      <c r="S80" s="2"/>
      <c r="T80" s="6">
        <v>0</v>
      </c>
      <c r="U80" s="2"/>
      <c r="V80" s="7">
        <f t="shared" si="26"/>
        <v>0</v>
      </c>
      <c r="W80" s="2"/>
      <c r="X80" s="6">
        <f t="shared" si="27"/>
        <v>0</v>
      </c>
      <c r="Y80" s="2"/>
      <c r="Z80" s="7">
        <f t="shared" si="28"/>
        <v>0</v>
      </c>
    </row>
    <row r="81" spans="1:26" s="27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72.400000000000006</v>
      </c>
      <c r="E81" s="1"/>
      <c r="F81" s="5">
        <f t="shared" ref="F81:F97" si="29">IF(D$12=0,0,D81/D$12)</f>
        <v>5.7677036636708608E-4</v>
      </c>
      <c r="G81" s="1"/>
      <c r="H81" s="1">
        <f>SUM(OSRRefH22_2x_0)</f>
        <v>250</v>
      </c>
      <c r="I81" s="1"/>
      <c r="J81" s="5">
        <f t="shared" ref="J81:J97" si="30">IF(H$12=0,0,H81/H$12)</f>
        <v>1.3993686048854757E-3</v>
      </c>
      <c r="K81" s="1"/>
      <c r="L81" s="1">
        <f t="shared" ref="L81:L97" si="31">+D81-H81</f>
        <v>-177.6</v>
      </c>
      <c r="M81" s="1"/>
      <c r="N81" s="5">
        <f t="shared" ref="N81:N97" si="32">IF(H81=0,0,L81/H81)</f>
        <v>-0.71040000000000003</v>
      </c>
      <c r="O81" s="13"/>
      <c r="P81" s="1">
        <f>SUM(OSRRefP22_2x_0)</f>
        <v>1721.23</v>
      </c>
      <c r="Q81" s="1"/>
      <c r="R81" s="5">
        <f t="shared" ref="R81:R97" si="33">IF(P$12=0,0,P81/P$12)</f>
        <v>8.945950385102103E-4</v>
      </c>
      <c r="S81" s="1"/>
      <c r="T81" s="1">
        <f>SUM(OSRRefT22_2x_0)</f>
        <v>2000</v>
      </c>
      <c r="U81" s="1"/>
      <c r="V81" s="5">
        <f t="shared" ref="V81:V97" si="34">IF(T$12=0,0,T81/T$12)</f>
        <v>1.0556590981187627E-3</v>
      </c>
      <c r="W81" s="1"/>
      <c r="X81" s="1">
        <f t="shared" ref="X81:X97" si="35">+P81-T81</f>
        <v>-278.77</v>
      </c>
      <c r="Y81" s="1"/>
      <c r="Z81" s="5">
        <f t="shared" ref="Z81:Z97" si="36">IF(T81=0,0,X81/T81)</f>
        <v>-0.13938499999999998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6">
        <v>72.400000000000006</v>
      </c>
      <c r="E82" s="2"/>
      <c r="F82" s="7">
        <f t="shared" si="29"/>
        <v>5.7677036636708608E-4</v>
      </c>
      <c r="G82" s="2"/>
      <c r="H82" s="6">
        <v>250</v>
      </c>
      <c r="I82" s="2"/>
      <c r="J82" s="7">
        <f t="shared" si="30"/>
        <v>1.3993686048854757E-3</v>
      </c>
      <c r="K82" s="2"/>
      <c r="L82" s="6">
        <f t="shared" si="31"/>
        <v>-177.6</v>
      </c>
      <c r="M82" s="2"/>
      <c r="N82" s="7">
        <f t="shared" si="32"/>
        <v>-0.71040000000000003</v>
      </c>
      <c r="O82" s="11"/>
      <c r="P82" s="6">
        <v>1721.23</v>
      </c>
      <c r="Q82" s="2"/>
      <c r="R82" s="7">
        <f t="shared" si="33"/>
        <v>8.945950385102103E-4</v>
      </c>
      <c r="S82" s="2"/>
      <c r="T82" s="6">
        <v>2000</v>
      </c>
      <c r="U82" s="2"/>
      <c r="V82" s="7">
        <f t="shared" si="34"/>
        <v>1.0556590981187627E-3</v>
      </c>
      <c r="W82" s="2"/>
      <c r="X82" s="6">
        <f t="shared" si="35"/>
        <v>-278.77</v>
      </c>
      <c r="Y82" s="2"/>
      <c r="Z82" s="7">
        <f t="shared" si="36"/>
        <v>-0.13938499999999998</v>
      </c>
    </row>
    <row r="83" spans="1:26" s="27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29"/>
        <v>2.2341088611047737E-3</v>
      </c>
      <c r="G83" s="1"/>
      <c r="H83" s="1">
        <f>SUM(OSRRefH22_3x_0)</f>
        <v>0</v>
      </c>
      <c r="I83" s="1"/>
      <c r="J83" s="5">
        <f t="shared" si="30"/>
        <v>0</v>
      </c>
      <c r="K83" s="1"/>
      <c r="L83" s="1">
        <f t="shared" si="31"/>
        <v>280.44</v>
      </c>
      <c r="M83" s="1"/>
      <c r="N83" s="5">
        <f t="shared" si="32"/>
        <v>0</v>
      </c>
      <c r="O83" s="13"/>
      <c r="P83" s="1">
        <f>SUM(OSRRefP22_3x_0)</f>
        <v>2243.52</v>
      </c>
      <c r="Q83" s="1"/>
      <c r="R83" s="5">
        <f t="shared" si="33"/>
        <v>1.166050940779807E-3</v>
      </c>
      <c r="S83" s="1"/>
      <c r="T83" s="1">
        <f>SUM(OSRRefT22_3x_0)</f>
        <v>0</v>
      </c>
      <c r="U83" s="1"/>
      <c r="V83" s="5">
        <f t="shared" si="34"/>
        <v>0</v>
      </c>
      <c r="W83" s="1"/>
      <c r="X83" s="1">
        <f t="shared" si="35"/>
        <v>2243.52</v>
      </c>
      <c r="Y83" s="1"/>
      <c r="Z83" s="5">
        <f t="shared" si="36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29"/>
        <v>2.2341088611047737E-3</v>
      </c>
      <c r="G84" s="2"/>
      <c r="H84" s="6"/>
      <c r="I84" s="2"/>
      <c r="J84" s="7">
        <f t="shared" si="30"/>
        <v>0</v>
      </c>
      <c r="K84" s="2"/>
      <c r="L84" s="6">
        <f t="shared" si="31"/>
        <v>280.44</v>
      </c>
      <c r="M84" s="2"/>
      <c r="N84" s="7">
        <f t="shared" si="32"/>
        <v>0</v>
      </c>
      <c r="O84" s="11"/>
      <c r="P84" s="6">
        <v>2243.52</v>
      </c>
      <c r="Q84" s="2"/>
      <c r="R84" s="7">
        <f t="shared" si="33"/>
        <v>1.166050940779807E-3</v>
      </c>
      <c r="S84" s="2"/>
      <c r="T84" s="6"/>
      <c r="U84" s="2"/>
      <c r="V84" s="7">
        <f t="shared" si="34"/>
        <v>0</v>
      </c>
      <c r="W84" s="2"/>
      <c r="X84" s="6">
        <f t="shared" si="35"/>
        <v>2243.52</v>
      </c>
      <c r="Y84" s="2"/>
      <c r="Z84" s="7">
        <f t="shared" si="36"/>
        <v>0</v>
      </c>
    </row>
    <row r="85" spans="1:26" s="27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-924.3</v>
      </c>
      <c r="E85" s="1"/>
      <c r="F85" s="5">
        <f t="shared" si="29"/>
        <v>-7.3633819010096354E-3</v>
      </c>
      <c r="G85" s="1"/>
      <c r="H85" s="1">
        <f>SUM(OSRRefH22_4x_0)</f>
        <v>2500</v>
      </c>
      <c r="I85" s="1"/>
      <c r="J85" s="5">
        <f t="shared" si="30"/>
        <v>1.3993686048854757E-2</v>
      </c>
      <c r="K85" s="1"/>
      <c r="L85" s="1">
        <f t="shared" si="31"/>
        <v>-3424.3</v>
      </c>
      <c r="M85" s="1"/>
      <c r="N85" s="5">
        <f t="shared" si="32"/>
        <v>-1.36972</v>
      </c>
      <c r="O85" s="13"/>
      <c r="P85" s="1">
        <f>SUM(OSRRefP22_4x_0)</f>
        <v>49786.87</v>
      </c>
      <c r="Q85" s="1"/>
      <c r="R85" s="5">
        <f t="shared" si="33"/>
        <v>2.587631338342513E-2</v>
      </c>
      <c r="S85" s="1"/>
      <c r="T85" s="1">
        <f>SUM(OSRRefT22_4x_0)</f>
        <v>20000</v>
      </c>
      <c r="U85" s="1"/>
      <c r="V85" s="5">
        <f t="shared" si="34"/>
        <v>1.0556590981187627E-2</v>
      </c>
      <c r="W85" s="1"/>
      <c r="X85" s="1">
        <f t="shared" si="35"/>
        <v>29786.870000000003</v>
      </c>
      <c r="Y85" s="1"/>
      <c r="Z85" s="5">
        <f t="shared" si="36"/>
        <v>1.4893435000000002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6">
        <v>-924.3</v>
      </c>
      <c r="E86" s="2"/>
      <c r="F86" s="7">
        <f t="shared" si="29"/>
        <v>-7.3633819010096354E-3</v>
      </c>
      <c r="G86" s="2"/>
      <c r="H86" s="6">
        <v>2500</v>
      </c>
      <c r="I86" s="2"/>
      <c r="J86" s="7">
        <f t="shared" si="30"/>
        <v>1.3993686048854757E-2</v>
      </c>
      <c r="K86" s="2"/>
      <c r="L86" s="6">
        <f t="shared" si="31"/>
        <v>-3424.3</v>
      </c>
      <c r="M86" s="2"/>
      <c r="N86" s="7">
        <f t="shared" si="32"/>
        <v>-1.36972</v>
      </c>
      <c r="O86" s="11"/>
      <c r="P86" s="6">
        <v>49786.87</v>
      </c>
      <c r="Q86" s="2"/>
      <c r="R86" s="7">
        <f t="shared" si="33"/>
        <v>2.587631338342513E-2</v>
      </c>
      <c r="S86" s="2"/>
      <c r="T86" s="6">
        <v>20000</v>
      </c>
      <c r="U86" s="2"/>
      <c r="V86" s="7">
        <f t="shared" si="34"/>
        <v>1.0556590981187627E-2</v>
      </c>
      <c r="W86" s="2"/>
      <c r="X86" s="6">
        <f t="shared" si="35"/>
        <v>29786.870000000003</v>
      </c>
      <c r="Y86" s="2"/>
      <c r="Z86" s="7">
        <f t="shared" si="36"/>
        <v>1.4893435000000002</v>
      </c>
    </row>
    <row r="87" spans="1:26" s="27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29"/>
        <v>0</v>
      </c>
      <c r="G87" s="1"/>
      <c r="H87" s="1">
        <f>SUM(OSRRefH22_5x_0)</f>
        <v>40</v>
      </c>
      <c r="I87" s="1"/>
      <c r="J87" s="5">
        <f t="shared" si="30"/>
        <v>2.2389897678167609E-4</v>
      </c>
      <c r="K87" s="1"/>
      <c r="L87" s="1">
        <f t="shared" si="31"/>
        <v>-40</v>
      </c>
      <c r="M87" s="1"/>
      <c r="N87" s="5">
        <f t="shared" si="32"/>
        <v>-1</v>
      </c>
      <c r="O87" s="13"/>
      <c r="P87" s="1">
        <f>SUM(OSRRefP22_5x_0)</f>
        <v>0</v>
      </c>
      <c r="Q87" s="1"/>
      <c r="R87" s="5">
        <f t="shared" si="33"/>
        <v>0</v>
      </c>
      <c r="S87" s="1"/>
      <c r="T87" s="1">
        <f>SUM(OSRRefT22_5x_0)</f>
        <v>320</v>
      </c>
      <c r="U87" s="1"/>
      <c r="V87" s="5">
        <f t="shared" si="34"/>
        <v>1.6890545569900203E-4</v>
      </c>
      <c r="W87" s="1"/>
      <c r="X87" s="1">
        <f t="shared" si="35"/>
        <v>-320</v>
      </c>
      <c r="Y87" s="1"/>
      <c r="Z87" s="5">
        <f t="shared" si="36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29"/>
        <v>0</v>
      </c>
      <c r="G88" s="2"/>
      <c r="H88" s="6">
        <v>40</v>
      </c>
      <c r="I88" s="2"/>
      <c r="J88" s="7">
        <f t="shared" si="30"/>
        <v>2.2389897678167609E-4</v>
      </c>
      <c r="K88" s="2"/>
      <c r="L88" s="6">
        <f t="shared" si="31"/>
        <v>-40</v>
      </c>
      <c r="M88" s="2"/>
      <c r="N88" s="7">
        <f t="shared" si="32"/>
        <v>-1</v>
      </c>
      <c r="O88" s="11"/>
      <c r="P88" s="6"/>
      <c r="Q88" s="2"/>
      <c r="R88" s="7">
        <f t="shared" si="33"/>
        <v>0</v>
      </c>
      <c r="S88" s="2"/>
      <c r="T88" s="6">
        <v>320</v>
      </c>
      <c r="U88" s="2"/>
      <c r="V88" s="7">
        <f t="shared" si="34"/>
        <v>1.6890545569900203E-4</v>
      </c>
      <c r="W88" s="2"/>
      <c r="X88" s="6">
        <f t="shared" si="35"/>
        <v>-320</v>
      </c>
      <c r="Y88" s="2"/>
      <c r="Z88" s="7">
        <f t="shared" si="36"/>
        <v>-1</v>
      </c>
    </row>
    <row r="89" spans="1:26" s="27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8.11</v>
      </c>
      <c r="E89" s="1"/>
      <c r="F89" s="5">
        <f t="shared" si="29"/>
        <v>6.4607840762942922E-5</v>
      </c>
      <c r="G89" s="1"/>
      <c r="H89" s="1">
        <f>SUM(OSRRefH22_6x_0)</f>
        <v>25</v>
      </c>
      <c r="I89" s="1"/>
      <c r="J89" s="5">
        <f t="shared" si="30"/>
        <v>1.3993686048854756E-4</v>
      </c>
      <c r="K89" s="1"/>
      <c r="L89" s="1">
        <f t="shared" si="31"/>
        <v>-16.89</v>
      </c>
      <c r="M89" s="1"/>
      <c r="N89" s="5">
        <f t="shared" si="32"/>
        <v>-0.67559999999999998</v>
      </c>
      <c r="O89" s="13"/>
      <c r="P89" s="1">
        <f>SUM(OSRRefP22_6x_0)</f>
        <v>49.72</v>
      </c>
      <c r="Q89" s="1"/>
      <c r="R89" s="5">
        <f t="shared" si="33"/>
        <v>2.5841558254694407E-5</v>
      </c>
      <c r="S89" s="1"/>
      <c r="T89" s="1">
        <f>SUM(OSRRefT22_6x_0)</f>
        <v>200</v>
      </c>
      <c r="U89" s="1"/>
      <c r="V89" s="5">
        <f t="shared" si="34"/>
        <v>1.0556590981187627E-4</v>
      </c>
      <c r="W89" s="1"/>
      <c r="X89" s="1">
        <f t="shared" si="35"/>
        <v>-150.28</v>
      </c>
      <c r="Y89" s="1"/>
      <c r="Z89" s="5">
        <f t="shared" si="36"/>
        <v>-0.75139999999999996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6">
        <v>8.11</v>
      </c>
      <c r="E90" s="2"/>
      <c r="F90" s="7">
        <f t="shared" si="29"/>
        <v>6.4607840762942922E-5</v>
      </c>
      <c r="G90" s="2"/>
      <c r="H90" s="6">
        <v>25</v>
      </c>
      <c r="I90" s="2"/>
      <c r="J90" s="7">
        <f t="shared" si="30"/>
        <v>1.3993686048854756E-4</v>
      </c>
      <c r="K90" s="2"/>
      <c r="L90" s="6">
        <f t="shared" si="31"/>
        <v>-16.89</v>
      </c>
      <c r="M90" s="2"/>
      <c r="N90" s="7">
        <f t="shared" si="32"/>
        <v>-0.67559999999999998</v>
      </c>
      <c r="O90" s="11"/>
      <c r="P90" s="6">
        <v>49.72</v>
      </c>
      <c r="Q90" s="2"/>
      <c r="R90" s="7">
        <f t="shared" si="33"/>
        <v>2.5841558254694407E-5</v>
      </c>
      <c r="S90" s="2"/>
      <c r="T90" s="6">
        <v>200</v>
      </c>
      <c r="U90" s="2"/>
      <c r="V90" s="7">
        <f t="shared" si="34"/>
        <v>1.0556590981187627E-4</v>
      </c>
      <c r="W90" s="2"/>
      <c r="X90" s="6">
        <f t="shared" si="35"/>
        <v>-150.28</v>
      </c>
      <c r="Y90" s="2"/>
      <c r="Z90" s="7">
        <f t="shared" si="36"/>
        <v>-0.75139999999999996</v>
      </c>
    </row>
    <row r="91" spans="1:26" s="27" customFormat="1" outlineLevel="1" collapsed="1" x14ac:dyDescent="0.25">
      <c r="A91" s="26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0</v>
      </c>
      <c r="E91" s="1"/>
      <c r="F91" s="5">
        <f t="shared" si="29"/>
        <v>0</v>
      </c>
      <c r="G91" s="1"/>
      <c r="H91" s="1">
        <f>SUM(OSRRefH22_7x_0)</f>
        <v>0</v>
      </c>
      <c r="I91" s="1"/>
      <c r="J91" s="5">
        <f t="shared" si="30"/>
        <v>0</v>
      </c>
      <c r="K91" s="1"/>
      <c r="L91" s="1">
        <f t="shared" si="31"/>
        <v>0</v>
      </c>
      <c r="M91" s="1"/>
      <c r="N91" s="5">
        <f t="shared" si="32"/>
        <v>0</v>
      </c>
      <c r="O91" s="13"/>
      <c r="P91" s="1">
        <f>SUM(OSRRefP22_7x_0)</f>
        <v>197.18</v>
      </c>
      <c r="Q91" s="1"/>
      <c r="R91" s="5">
        <f t="shared" si="33"/>
        <v>1.0248267209695582E-4</v>
      </c>
      <c r="S91" s="1"/>
      <c r="T91" s="1">
        <f>SUM(OSRRefT22_7x_0)</f>
        <v>0</v>
      </c>
      <c r="U91" s="1"/>
      <c r="V91" s="5">
        <f t="shared" si="34"/>
        <v>0</v>
      </c>
      <c r="W91" s="1"/>
      <c r="X91" s="1">
        <f t="shared" si="35"/>
        <v>197.18</v>
      </c>
      <c r="Y91" s="1"/>
      <c r="Z91" s="5">
        <f t="shared" si="36"/>
        <v>0</v>
      </c>
    </row>
    <row r="92" spans="1:26" s="24" customFormat="1" hidden="1" outlineLevel="2" x14ac:dyDescent="0.25">
      <c r="A92" s="25"/>
      <c r="B92" s="11" t="str">
        <f>CONCATENATE("          ", "6375", " - ", "OUTSIDE REPAIRS &amp; MAINTENANCE")</f>
        <v xml:space="preserve">          6375 - OUTSIDE REPAIRS &amp; MAINTENANCE</v>
      </c>
      <c r="C92" s="11"/>
      <c r="D92" s="6"/>
      <c r="E92" s="2"/>
      <c r="F92" s="7">
        <f t="shared" si="29"/>
        <v>0</v>
      </c>
      <c r="G92" s="2"/>
      <c r="H92" s="6"/>
      <c r="I92" s="2"/>
      <c r="J92" s="7">
        <f t="shared" si="30"/>
        <v>0</v>
      </c>
      <c r="K92" s="2"/>
      <c r="L92" s="6">
        <f t="shared" si="31"/>
        <v>0</v>
      </c>
      <c r="M92" s="2"/>
      <c r="N92" s="7">
        <f t="shared" si="32"/>
        <v>0</v>
      </c>
      <c r="O92" s="11"/>
      <c r="P92" s="6">
        <v>197.18</v>
      </c>
      <c r="Q92" s="2"/>
      <c r="R92" s="7">
        <f t="shared" si="33"/>
        <v>1.0248267209695582E-4</v>
      </c>
      <c r="S92" s="2"/>
      <c r="T92" s="6"/>
      <c r="U92" s="2"/>
      <c r="V92" s="7">
        <f t="shared" si="34"/>
        <v>0</v>
      </c>
      <c r="W92" s="2"/>
      <c r="X92" s="6">
        <f t="shared" si="35"/>
        <v>197.18</v>
      </c>
      <c r="Y92" s="2"/>
      <c r="Z92" s="7">
        <f t="shared" si="36"/>
        <v>0</v>
      </c>
    </row>
    <row r="93" spans="1:26" s="27" customFormat="1" outlineLevel="1" collapsed="1" x14ac:dyDescent="0.25">
      <c r="A93" s="26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113.5</v>
      </c>
      <c r="E93" s="1"/>
      <c r="F93" s="5">
        <f t="shared" si="29"/>
        <v>9.0419111302022473E-4</v>
      </c>
      <c r="G93" s="1"/>
      <c r="H93" s="1">
        <f>SUM(OSRRefH22_8x_0)</f>
        <v>0</v>
      </c>
      <c r="I93" s="1"/>
      <c r="J93" s="5">
        <f t="shared" si="30"/>
        <v>0</v>
      </c>
      <c r="K93" s="1"/>
      <c r="L93" s="1">
        <f t="shared" si="31"/>
        <v>113.5</v>
      </c>
      <c r="M93" s="1"/>
      <c r="N93" s="5">
        <f t="shared" si="32"/>
        <v>0</v>
      </c>
      <c r="O93" s="13"/>
      <c r="P93" s="1">
        <f>SUM(OSRRefP22_8x_0)</f>
        <v>-4886.5</v>
      </c>
      <c r="Q93" s="1"/>
      <c r="R93" s="5">
        <f t="shared" si="33"/>
        <v>-2.5397179085189909E-3</v>
      </c>
      <c r="S93" s="1"/>
      <c r="T93" s="1">
        <f>SUM(OSRRefT22_8x_0)</f>
        <v>0</v>
      </c>
      <c r="U93" s="1"/>
      <c r="V93" s="5">
        <f t="shared" si="34"/>
        <v>0</v>
      </c>
      <c r="W93" s="1"/>
      <c r="X93" s="1">
        <f t="shared" si="35"/>
        <v>-4886.5</v>
      </c>
      <c r="Y93" s="1"/>
      <c r="Z93" s="5">
        <f t="shared" si="36"/>
        <v>0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6">
        <v>113.5</v>
      </c>
      <c r="E94" s="2"/>
      <c r="F94" s="7">
        <f t="shared" si="29"/>
        <v>9.0419111302022473E-4</v>
      </c>
      <c r="G94" s="2"/>
      <c r="H94" s="6"/>
      <c r="I94" s="2"/>
      <c r="J94" s="7">
        <f t="shared" si="30"/>
        <v>0</v>
      </c>
      <c r="K94" s="2"/>
      <c r="L94" s="6">
        <f t="shared" si="31"/>
        <v>113.5</v>
      </c>
      <c r="M94" s="2"/>
      <c r="N94" s="7">
        <f t="shared" si="32"/>
        <v>0</v>
      </c>
      <c r="O94" s="11"/>
      <c r="P94" s="6">
        <v>-4886.5</v>
      </c>
      <c r="Q94" s="2"/>
      <c r="R94" s="7">
        <f t="shared" si="33"/>
        <v>-2.5397179085189909E-3</v>
      </c>
      <c r="S94" s="2"/>
      <c r="T94" s="6"/>
      <c r="U94" s="2"/>
      <c r="V94" s="7">
        <f t="shared" si="34"/>
        <v>0</v>
      </c>
      <c r="W94" s="2"/>
      <c r="X94" s="6">
        <f t="shared" si="35"/>
        <v>-4886.5</v>
      </c>
      <c r="Y94" s="2"/>
      <c r="Z94" s="7">
        <f t="shared" si="36"/>
        <v>0</v>
      </c>
    </row>
    <row r="95" spans="1:26" s="27" customFormat="1" outlineLevel="1" collapsed="1" x14ac:dyDescent="0.25">
      <c r="A95" s="26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62.69</v>
      </c>
      <c r="E95" s="1"/>
      <c r="F95" s="5">
        <f t="shared" si="29"/>
        <v>4.9941621916509149E-4</v>
      </c>
      <c r="G95" s="1"/>
      <c r="H95" s="1">
        <f>SUM(OSRRefH22_9x_0)</f>
        <v>275</v>
      </c>
      <c r="I95" s="1"/>
      <c r="J95" s="5">
        <f t="shared" si="30"/>
        <v>1.5393054653740233E-3</v>
      </c>
      <c r="K95" s="1"/>
      <c r="L95" s="1">
        <f t="shared" si="31"/>
        <v>-212.31</v>
      </c>
      <c r="M95" s="1"/>
      <c r="N95" s="5">
        <f t="shared" si="32"/>
        <v>-0.77203636363636363</v>
      </c>
      <c r="O95" s="13"/>
      <c r="P95" s="1">
        <f>SUM(OSRRefP22_9x_0)</f>
        <v>3076.32</v>
      </c>
      <c r="Q95" s="1"/>
      <c r="R95" s="5">
        <f t="shared" si="33"/>
        <v>1.5988918441287511E-3</v>
      </c>
      <c r="S95" s="1"/>
      <c r="T95" s="1">
        <f>SUM(OSRRefT22_9x_0)</f>
        <v>2200</v>
      </c>
      <c r="U95" s="1"/>
      <c r="V95" s="5">
        <f t="shared" si="34"/>
        <v>1.1612250079306389E-3</v>
      </c>
      <c r="W95" s="1"/>
      <c r="X95" s="1">
        <f t="shared" si="35"/>
        <v>876.32000000000016</v>
      </c>
      <c r="Y95" s="1"/>
      <c r="Z95" s="5">
        <f t="shared" si="36"/>
        <v>0.39832727272727281</v>
      </c>
    </row>
    <row r="96" spans="1:26" s="24" customFormat="1" hidden="1" outlineLevel="2" x14ac:dyDescent="0.25">
      <c r="A96" s="25"/>
      <c r="B96" s="11" t="str">
        <f>CONCATENATE("          ", "6241", " - ", "OFFICE EXPENSE")</f>
        <v xml:space="preserve">          6241 - OFFICE EXPENSE</v>
      </c>
      <c r="C96" s="11"/>
      <c r="D96" s="6">
        <v>62.69</v>
      </c>
      <c r="E96" s="2"/>
      <c r="F96" s="7">
        <f t="shared" si="29"/>
        <v>4.9941621916509149E-4</v>
      </c>
      <c r="G96" s="2"/>
      <c r="H96" s="6">
        <v>275</v>
      </c>
      <c r="I96" s="2"/>
      <c r="J96" s="7">
        <f t="shared" si="30"/>
        <v>1.5393054653740233E-3</v>
      </c>
      <c r="K96" s="2"/>
      <c r="L96" s="6">
        <f t="shared" si="31"/>
        <v>-212.31</v>
      </c>
      <c r="M96" s="2"/>
      <c r="N96" s="7">
        <f t="shared" si="32"/>
        <v>-0.77203636363636363</v>
      </c>
      <c r="O96" s="11"/>
      <c r="P96" s="6">
        <v>1066.94</v>
      </c>
      <c r="Q96" s="2"/>
      <c r="R96" s="7">
        <f t="shared" si="33"/>
        <v>5.5453322936974364E-4</v>
      </c>
      <c r="S96" s="2"/>
      <c r="T96" s="6">
        <v>2200</v>
      </c>
      <c r="U96" s="2"/>
      <c r="V96" s="7">
        <f t="shared" si="34"/>
        <v>1.1612250079306389E-3</v>
      </c>
      <c r="W96" s="2"/>
      <c r="X96" s="6">
        <f t="shared" si="35"/>
        <v>-1133.06</v>
      </c>
      <c r="Y96" s="2"/>
      <c r="Z96" s="7">
        <f t="shared" si="36"/>
        <v>-0.51502727272727267</v>
      </c>
    </row>
    <row r="97" spans="1:26" s="24" customFormat="1" hidden="1" outlineLevel="2" x14ac:dyDescent="0.25">
      <c r="A97" s="25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29"/>
        <v>0</v>
      </c>
      <c r="G97" s="2"/>
      <c r="H97" s="6"/>
      <c r="I97" s="2"/>
      <c r="J97" s="7">
        <f t="shared" si="30"/>
        <v>0</v>
      </c>
      <c r="K97" s="2"/>
      <c r="L97" s="6">
        <f t="shared" si="31"/>
        <v>0</v>
      </c>
      <c r="M97" s="2"/>
      <c r="N97" s="7">
        <f t="shared" si="32"/>
        <v>0</v>
      </c>
      <c r="O97" s="11"/>
      <c r="P97" s="6">
        <v>2009.38</v>
      </c>
      <c r="Q97" s="2"/>
      <c r="R97" s="7">
        <f t="shared" si="33"/>
        <v>1.0443586147590076E-3</v>
      </c>
      <c r="S97" s="2"/>
      <c r="T97" s="6"/>
      <c r="U97" s="2"/>
      <c r="V97" s="7">
        <f t="shared" si="34"/>
        <v>0</v>
      </c>
      <c r="W97" s="2"/>
      <c r="X97" s="6">
        <f t="shared" si="35"/>
        <v>2009.38</v>
      </c>
      <c r="Y97" s="2"/>
      <c r="Z97" s="7">
        <f t="shared" si="36"/>
        <v>0</v>
      </c>
    </row>
    <row r="98" spans="1:26" s="27" customFormat="1" outlineLevel="1" collapsed="1" x14ac:dyDescent="0.25">
      <c r="A98" s="26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255.8</v>
      </c>
      <c r="E98" s="1"/>
      <c r="F98" s="5">
        <f t="shared" ref="F98:F100" si="37">IF(D$12=0,0,D98/D$12)</f>
        <v>2.0378157419433788E-3</v>
      </c>
      <c r="G98" s="1"/>
      <c r="H98" s="1">
        <f>SUM(OSRRefH22_10x_0)</f>
        <v>280</v>
      </c>
      <c r="I98" s="1"/>
      <c r="J98" s="5">
        <f t="shared" ref="J98:J100" si="38">IF(H$12=0,0,H98/H$12)</f>
        <v>1.5672928374717327E-3</v>
      </c>
      <c r="K98" s="1"/>
      <c r="L98" s="1">
        <f t="shared" ref="L98:L100" si="39">+D98-H98</f>
        <v>-24.199999999999989</v>
      </c>
      <c r="M98" s="1"/>
      <c r="N98" s="5">
        <f t="shared" ref="N98:N100" si="40">IF(H98=0,0,L98/H98)</f>
        <v>-8.6428571428571382E-2</v>
      </c>
      <c r="O98" s="13"/>
      <c r="P98" s="1">
        <f>SUM(OSRRefP22_10x_0)</f>
        <v>2045.85</v>
      </c>
      <c r="Q98" s="1"/>
      <c r="R98" s="5">
        <f t="shared" ref="R98:R100" si="41">IF(P$12=0,0,P98/P$12)</f>
        <v>1.0633135952406788E-3</v>
      </c>
      <c r="S98" s="1"/>
      <c r="T98" s="1">
        <f>SUM(OSRRefT22_10x_0)</f>
        <v>2240</v>
      </c>
      <c r="U98" s="1"/>
      <c r="V98" s="5">
        <f t="shared" ref="V98:V100" si="42">IF(T$12=0,0,T98/T$12)</f>
        <v>1.1823381898930143E-3</v>
      </c>
      <c r="W98" s="1"/>
      <c r="X98" s="1">
        <f t="shared" ref="X98:X100" si="43">+P98-T98</f>
        <v>-194.15000000000009</v>
      </c>
      <c r="Y98" s="1"/>
      <c r="Z98" s="5">
        <f t="shared" ref="Z98:Z100" si="44">IF(T98=0,0,X98/T98)</f>
        <v>-8.6674107142857185E-2</v>
      </c>
    </row>
    <row r="99" spans="1:26" s="24" customFormat="1" hidden="1" outlineLevel="2" x14ac:dyDescent="0.25">
      <c r="A99" s="25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37"/>
        <v>0</v>
      </c>
      <c r="G99" s="2"/>
      <c r="H99" s="6">
        <v>280</v>
      </c>
      <c r="I99" s="2"/>
      <c r="J99" s="7">
        <f t="shared" si="38"/>
        <v>1.5672928374717327E-3</v>
      </c>
      <c r="K99" s="2"/>
      <c r="L99" s="6">
        <f t="shared" si="39"/>
        <v>-280</v>
      </c>
      <c r="M99" s="2"/>
      <c r="N99" s="7">
        <f t="shared" si="40"/>
        <v>-1</v>
      </c>
      <c r="O99" s="11"/>
      <c r="P99" s="6"/>
      <c r="Q99" s="2"/>
      <c r="R99" s="7">
        <f t="shared" si="41"/>
        <v>0</v>
      </c>
      <c r="S99" s="2"/>
      <c r="T99" s="6">
        <v>2240</v>
      </c>
      <c r="U99" s="2"/>
      <c r="V99" s="7">
        <f t="shared" si="42"/>
        <v>1.1823381898930143E-3</v>
      </c>
      <c r="W99" s="2"/>
      <c r="X99" s="6">
        <f t="shared" si="43"/>
        <v>-2240</v>
      </c>
      <c r="Y99" s="2"/>
      <c r="Z99" s="7">
        <f t="shared" si="44"/>
        <v>-1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6">
        <v>255.8</v>
      </c>
      <c r="E100" s="2"/>
      <c r="F100" s="7">
        <f t="shared" si="37"/>
        <v>2.0378157419433788E-3</v>
      </c>
      <c r="G100" s="2"/>
      <c r="H100" s="6"/>
      <c r="I100" s="2"/>
      <c r="J100" s="7">
        <f t="shared" si="38"/>
        <v>0</v>
      </c>
      <c r="K100" s="2"/>
      <c r="L100" s="6">
        <f t="shared" si="39"/>
        <v>255.8</v>
      </c>
      <c r="M100" s="2"/>
      <c r="N100" s="7">
        <f t="shared" si="40"/>
        <v>0</v>
      </c>
      <c r="O100" s="11"/>
      <c r="P100" s="6">
        <v>2045.85</v>
      </c>
      <c r="Q100" s="2"/>
      <c r="R100" s="7">
        <f t="shared" si="41"/>
        <v>1.0633135952406788E-3</v>
      </c>
      <c r="S100" s="2"/>
      <c r="T100" s="6"/>
      <c r="U100" s="2"/>
      <c r="V100" s="7">
        <f t="shared" si="42"/>
        <v>0</v>
      </c>
      <c r="W100" s="2"/>
      <c r="X100" s="6">
        <f t="shared" si="43"/>
        <v>2045.85</v>
      </c>
      <c r="Y100" s="2"/>
      <c r="Z100" s="7">
        <f t="shared" si="44"/>
        <v>0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141.06</v>
      </c>
      <c r="E101" s="1"/>
      <c r="F101" s="5">
        <f t="shared" ref="F101:F104" si="45">IF(D$12=0,0,D101/D$12)</f>
        <v>1.123746241432889E-3</v>
      </c>
      <c r="G101" s="1"/>
      <c r="H101" s="1">
        <f>SUM(OSRRefH22_11x_0)</f>
        <v>375</v>
      </c>
      <c r="I101" s="1"/>
      <c r="J101" s="5">
        <f t="shared" ref="J101:J104" si="46">IF(H$12=0,0,H101/H$12)</f>
        <v>2.0990529073282136E-3</v>
      </c>
      <c r="K101" s="1"/>
      <c r="L101" s="1">
        <f t="shared" ref="L101:L104" si="47">+D101-H101</f>
        <v>-233.94</v>
      </c>
      <c r="M101" s="1"/>
      <c r="N101" s="5">
        <f t="shared" ref="N101:N104" si="48">IF(H101=0,0,L101/H101)</f>
        <v>-0.62383999999999995</v>
      </c>
      <c r="O101" s="13"/>
      <c r="P101" s="1">
        <f>SUM(OSRRefP22_11x_0)</f>
        <v>1304.7</v>
      </c>
      <c r="Q101" s="1"/>
      <c r="R101" s="5">
        <f t="shared" ref="R101:R104" si="49">IF(P$12=0,0,P101/P$12)</f>
        <v>6.7810702041230483E-4</v>
      </c>
      <c r="S101" s="1"/>
      <c r="T101" s="1">
        <f>SUM(OSRRefT22_11x_0)</f>
        <v>3000</v>
      </c>
      <c r="U101" s="1"/>
      <c r="V101" s="5">
        <f t="shared" ref="V101:V104" si="50">IF(T$12=0,0,T101/T$12)</f>
        <v>1.5834886471781441E-3</v>
      </c>
      <c r="W101" s="1"/>
      <c r="X101" s="1">
        <f t="shared" ref="X101:X104" si="51">+P101-T101</f>
        <v>-1695.3</v>
      </c>
      <c r="Y101" s="1"/>
      <c r="Z101" s="5">
        <f t="shared" ref="Z101:Z104" si="52">IF(T101=0,0,X101/T101)</f>
        <v>-0.56509999999999994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6">
        <v>141.06</v>
      </c>
      <c r="E102" s="2"/>
      <c r="F102" s="7">
        <f t="shared" si="45"/>
        <v>1.123746241432889E-3</v>
      </c>
      <c r="G102" s="2"/>
      <c r="H102" s="6">
        <v>375</v>
      </c>
      <c r="I102" s="2"/>
      <c r="J102" s="7">
        <f t="shared" si="46"/>
        <v>2.0990529073282136E-3</v>
      </c>
      <c r="K102" s="2"/>
      <c r="L102" s="6">
        <f t="shared" si="47"/>
        <v>-233.94</v>
      </c>
      <c r="M102" s="2"/>
      <c r="N102" s="7">
        <f t="shared" si="48"/>
        <v>-0.62383999999999995</v>
      </c>
      <c r="O102" s="11"/>
      <c r="P102" s="6">
        <v>1304.7</v>
      </c>
      <c r="Q102" s="2"/>
      <c r="R102" s="7">
        <f t="shared" si="49"/>
        <v>6.7810702041230483E-4</v>
      </c>
      <c r="S102" s="2"/>
      <c r="T102" s="6">
        <v>3000</v>
      </c>
      <c r="U102" s="2"/>
      <c r="V102" s="7">
        <f t="shared" si="50"/>
        <v>1.5834886471781441E-3</v>
      </c>
      <c r="W102" s="2"/>
      <c r="X102" s="6">
        <f t="shared" si="51"/>
        <v>-1695.3</v>
      </c>
      <c r="Y102" s="2"/>
      <c r="Z102" s="7">
        <f t="shared" si="52"/>
        <v>-0.56509999999999994</v>
      </c>
    </row>
    <row r="103" spans="1:26" s="27" customFormat="1" outlineLevel="1" collapsed="1" x14ac:dyDescent="0.25">
      <c r="A103" s="26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5"/>
        <v>0</v>
      </c>
      <c r="G103" s="1"/>
      <c r="H103" s="1">
        <f>SUM(OSRRefH22_12x_0)</f>
        <v>0</v>
      </c>
      <c r="I103" s="1"/>
      <c r="J103" s="5">
        <f t="shared" si="46"/>
        <v>0</v>
      </c>
      <c r="K103" s="1"/>
      <c r="L103" s="1">
        <f t="shared" si="47"/>
        <v>0</v>
      </c>
      <c r="M103" s="1"/>
      <c r="N103" s="5">
        <f t="shared" si="48"/>
        <v>0</v>
      </c>
      <c r="O103" s="13"/>
      <c r="P103" s="1">
        <f>SUM(OSRRefP22_12x_0)</f>
        <v>-178.06</v>
      </c>
      <c r="Q103" s="1"/>
      <c r="R103" s="5">
        <f t="shared" si="49"/>
        <v>-9.2545210435054028E-5</v>
      </c>
      <c r="S103" s="1"/>
      <c r="T103" s="1">
        <f>SUM(OSRRefT22_12x_0)</f>
        <v>0</v>
      </c>
      <c r="U103" s="1"/>
      <c r="V103" s="5">
        <f t="shared" si="50"/>
        <v>0</v>
      </c>
      <c r="W103" s="1"/>
      <c r="X103" s="1">
        <f t="shared" si="51"/>
        <v>-178.06</v>
      </c>
      <c r="Y103" s="1"/>
      <c r="Z103" s="5">
        <f t="shared" si="52"/>
        <v>0</v>
      </c>
    </row>
    <row r="104" spans="1:26" s="24" customFormat="1" hidden="1" outlineLevel="2" x14ac:dyDescent="0.25">
      <c r="A104" s="25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45"/>
        <v>0</v>
      </c>
      <c r="G104" s="2"/>
      <c r="H104" s="6"/>
      <c r="I104" s="2"/>
      <c r="J104" s="7">
        <f t="shared" si="46"/>
        <v>0</v>
      </c>
      <c r="K104" s="2"/>
      <c r="L104" s="6">
        <f t="shared" si="47"/>
        <v>0</v>
      </c>
      <c r="M104" s="2"/>
      <c r="N104" s="7">
        <f t="shared" si="48"/>
        <v>0</v>
      </c>
      <c r="O104" s="11"/>
      <c r="P104" s="6">
        <v>-178.06</v>
      </c>
      <c r="Q104" s="2"/>
      <c r="R104" s="7">
        <f t="shared" si="49"/>
        <v>-9.2545210435054028E-5</v>
      </c>
      <c r="S104" s="2"/>
      <c r="T104" s="6"/>
      <c r="U104" s="2"/>
      <c r="V104" s="7">
        <f t="shared" si="50"/>
        <v>0</v>
      </c>
      <c r="W104" s="2"/>
      <c r="X104" s="6">
        <f t="shared" si="51"/>
        <v>-178.06</v>
      </c>
      <c r="Y104" s="2"/>
      <c r="Z104" s="7">
        <f t="shared" si="52"/>
        <v>0</v>
      </c>
    </row>
    <row r="105" spans="1:26" s="53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9" t="s">
        <v>0</v>
      </c>
      <c r="C106" s="10"/>
      <c r="D106" s="4">
        <f>SUM(OSRRefD25x_0)</f>
        <v>847.31999999999994</v>
      </c>
      <c r="E106" s="4"/>
      <c r="F106" s="12">
        <f t="shared" ref="F106:F110" si="53">IF(D$12=0,0,D106/D$12)</f>
        <v>6.7501252324607642E-3</v>
      </c>
      <c r="G106" s="4"/>
      <c r="H106" s="4">
        <f>SUM(OSRRefH25x_0)</f>
        <v>2025</v>
      </c>
      <c r="I106" s="4"/>
      <c r="J106" s="12">
        <f t="shared" ref="J106:J110" si="54">IF(H$12=0,0,H106/H$12)</f>
        <v>1.1334885699572353E-2</v>
      </c>
      <c r="K106" s="4"/>
      <c r="L106" s="4">
        <f t="shared" ref="L106:L110" si="55">+D106-H106</f>
        <v>-1177.68</v>
      </c>
      <c r="M106" s="4"/>
      <c r="N106" s="12">
        <f t="shared" ref="N106:N110" si="56">IF(H106=0,0,L106/H106)</f>
        <v>-0.5815703703703704</v>
      </c>
      <c r="O106" s="10"/>
      <c r="P106" s="4">
        <f>SUM(OSRRefP25x_0)</f>
        <v>14067.130000000001</v>
      </c>
      <c r="Q106" s="4"/>
      <c r="R106" s="12">
        <f t="shared" ref="R106:R110" si="57">IF(P$12=0,0,P106/P$12)</f>
        <v>7.3112743236395696E-3</v>
      </c>
      <c r="S106" s="4"/>
      <c r="T106" s="4">
        <f>SUM(OSRRefT25x_0)</f>
        <v>15525</v>
      </c>
      <c r="U106" s="4"/>
      <c r="V106" s="12">
        <f t="shared" ref="V106:V110" si="58">IF(T$12=0,0,T106/T$12)</f>
        <v>8.1945537491468958E-3</v>
      </c>
      <c r="W106" s="4"/>
      <c r="X106" s="4">
        <f t="shared" ref="X106:X110" si="59">+P106-T106</f>
        <v>-1457.869999999999</v>
      </c>
      <c r="Y106" s="4"/>
      <c r="Z106" s="12">
        <f t="shared" ref="Z106:Z110" si="60">IF(T106=0,0,X106/T106)</f>
        <v>-9.3904669887278511E-2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--681.93</f>
        <v>681.93</v>
      </c>
      <c r="E107" s="2"/>
      <c r="F107" s="19">
        <f t="shared" si="53"/>
        <v>5.4325554687390462E-3</v>
      </c>
      <c r="G107" s="2"/>
      <c r="H107" s="2"/>
      <c r="I107" s="2"/>
      <c r="J107" s="19">
        <f t="shared" si="54"/>
        <v>0</v>
      </c>
      <c r="K107" s="2"/>
      <c r="L107" s="2">
        <f t="shared" si="55"/>
        <v>681.93</v>
      </c>
      <c r="M107" s="2"/>
      <c r="N107" s="19">
        <f t="shared" si="56"/>
        <v>0</v>
      </c>
      <c r="O107" s="11"/>
      <c r="P107" s="2">
        <f>--15792.86</f>
        <v>15792.86</v>
      </c>
      <c r="Q107" s="2"/>
      <c r="R107" s="19">
        <f t="shared" si="57"/>
        <v>8.2082081998840137E-3</v>
      </c>
      <c r="S107" s="2"/>
      <c r="T107" s="2"/>
      <c r="U107" s="2"/>
      <c r="V107" s="19">
        <f t="shared" si="58"/>
        <v>0</v>
      </c>
      <c r="W107" s="2"/>
      <c r="X107" s="2">
        <f t="shared" si="59"/>
        <v>15792.86</v>
      </c>
      <c r="Y107" s="2"/>
      <c r="Z107" s="19">
        <f t="shared" si="60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 t="shared" ref="D108:D109" si="61">0</f>
        <v>0</v>
      </c>
      <c r="E108" s="2"/>
      <c r="F108" s="19">
        <f t="shared" si="53"/>
        <v>0</v>
      </c>
      <c r="G108" s="2"/>
      <c r="H108" s="2"/>
      <c r="I108" s="2"/>
      <c r="J108" s="19">
        <f t="shared" si="54"/>
        <v>0</v>
      </c>
      <c r="K108" s="2"/>
      <c r="L108" s="2">
        <f t="shared" si="55"/>
        <v>0</v>
      </c>
      <c r="M108" s="2"/>
      <c r="N108" s="19">
        <f t="shared" si="56"/>
        <v>0</v>
      </c>
      <c r="O108" s="11"/>
      <c r="P108" s="2">
        <f>-7889</f>
        <v>-7889</v>
      </c>
      <c r="Q108" s="2"/>
      <c r="R108" s="19">
        <f t="shared" si="57"/>
        <v>-4.1002424189719262E-3</v>
      </c>
      <c r="S108" s="2"/>
      <c r="T108" s="2"/>
      <c r="U108" s="2"/>
      <c r="V108" s="19">
        <f t="shared" si="58"/>
        <v>0</v>
      </c>
      <c r="W108" s="2"/>
      <c r="X108" s="2">
        <f t="shared" si="59"/>
        <v>-7889</v>
      </c>
      <c r="Y108" s="2"/>
      <c r="Z108" s="19">
        <f t="shared" si="60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 t="shared" si="61"/>
        <v>0</v>
      </c>
      <c r="E109" s="2"/>
      <c r="F109" s="19">
        <f t="shared" si="53"/>
        <v>0</v>
      </c>
      <c r="G109" s="2"/>
      <c r="H109" s="2"/>
      <c r="I109" s="2"/>
      <c r="J109" s="19">
        <f t="shared" si="54"/>
        <v>0</v>
      </c>
      <c r="K109" s="2"/>
      <c r="L109" s="2">
        <f t="shared" si="55"/>
        <v>0</v>
      </c>
      <c r="M109" s="2"/>
      <c r="N109" s="19">
        <f t="shared" si="56"/>
        <v>0</v>
      </c>
      <c r="O109" s="11"/>
      <c r="P109" s="2">
        <f>-56.72</f>
        <v>-56.72</v>
      </c>
      <c r="Q109" s="2"/>
      <c r="R109" s="19">
        <f t="shared" si="57"/>
        <v>-2.9479750285725398E-5</v>
      </c>
      <c r="S109" s="2"/>
      <c r="T109" s="2"/>
      <c r="U109" s="2"/>
      <c r="V109" s="19">
        <f t="shared" si="58"/>
        <v>0</v>
      </c>
      <c r="W109" s="2"/>
      <c r="X109" s="2">
        <f t="shared" si="59"/>
        <v>-56.72</v>
      </c>
      <c r="Y109" s="2"/>
      <c r="Z109" s="19">
        <f t="shared" si="60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--165.39</f>
        <v>165.39</v>
      </c>
      <c r="E110" s="2"/>
      <c r="F110" s="19">
        <f t="shared" si="53"/>
        <v>1.3175697637217176E-3</v>
      </c>
      <c r="G110" s="2"/>
      <c r="H110" s="2">
        <v>2025</v>
      </c>
      <c r="I110" s="2"/>
      <c r="J110" s="19">
        <f t="shared" si="54"/>
        <v>1.1334885699572353E-2</v>
      </c>
      <c r="K110" s="2"/>
      <c r="L110" s="2">
        <f t="shared" si="55"/>
        <v>-1859.6100000000001</v>
      </c>
      <c r="M110" s="2"/>
      <c r="N110" s="19">
        <f t="shared" si="56"/>
        <v>-0.91832592592592599</v>
      </c>
      <c r="O110" s="11"/>
      <c r="P110" s="2">
        <f>--6219.99</f>
        <v>6219.99</v>
      </c>
      <c r="Q110" s="2"/>
      <c r="R110" s="19">
        <f t="shared" si="57"/>
        <v>3.2327882930132073E-3</v>
      </c>
      <c r="S110" s="2"/>
      <c r="T110" s="2">
        <v>15525</v>
      </c>
      <c r="U110" s="2"/>
      <c r="V110" s="19">
        <f t="shared" si="58"/>
        <v>8.1945537491468958E-3</v>
      </c>
      <c r="W110" s="2"/>
      <c r="X110" s="2">
        <f t="shared" si="59"/>
        <v>-9305.01</v>
      </c>
      <c r="Y110" s="2"/>
      <c r="Z110" s="19">
        <f t="shared" si="60"/>
        <v>-0.59935652173913045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8" t="s">
        <v>3</v>
      </c>
      <c r="C112" s="28"/>
      <c r="D112" s="21">
        <f>+D56-D58+D106</f>
        <v>28027.989999999969</v>
      </c>
      <c r="E112" s="14"/>
      <c r="F112" s="22">
        <f>IF(D$12=0,0,D112/D$12)</f>
        <v>0.22328334338167136</v>
      </c>
      <c r="G112" s="14"/>
      <c r="H112" s="21">
        <f>+H56-H58+H106</f>
        <v>23813.886101883076</v>
      </c>
      <c r="I112" s="14"/>
      <c r="J112" s="22">
        <f>IF(H$12=0,0,H112/H$12)</f>
        <v>0.13329761828517495</v>
      </c>
      <c r="K112" s="15"/>
      <c r="L112" s="21">
        <f>+D112-H112</f>
        <v>4214.1038981168931</v>
      </c>
      <c r="M112" s="15"/>
      <c r="N112" s="22">
        <f>IF(H112=0,0,L112/H112)</f>
        <v>0.17695994177882896</v>
      </c>
      <c r="O112" s="29"/>
      <c r="P112" s="21">
        <f>+P56-P58+P106</f>
        <v>105378.58000000048</v>
      </c>
      <c r="Q112" s="14"/>
      <c r="R112" s="22">
        <f>IF(P$12=0,0,P112/P$12)</f>
        <v>5.4769644285337642E-2</v>
      </c>
      <c r="S112" s="14"/>
      <c r="T112" s="21">
        <f>+T56-T58+T106</f>
        <v>297811.84743152693</v>
      </c>
      <c r="U112" s="14"/>
      <c r="V112" s="22">
        <f>IF(T$12=0,0,T112/T$12)</f>
        <v>0.15719389313432414</v>
      </c>
      <c r="W112" s="15"/>
      <c r="X112" s="21">
        <f>+P112-T112</f>
        <v>-192433.26743152644</v>
      </c>
      <c r="Y112" s="15"/>
      <c r="Z112" s="22">
        <f>IF(T112=0,0,X112/T112)</f>
        <v>-0.64615719317805453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8538.27</v>
      </c>
      <c r="E114" s="4"/>
      <c r="F114" s="12">
        <f>IF(D$12=0,0,D114/D$12)</f>
        <v>6.8019628674600832E-2</v>
      </c>
      <c r="G114" s="4"/>
      <c r="H114" s="4">
        <v>16553</v>
      </c>
      <c r="I114" s="4"/>
      <c r="J114" s="12">
        <f>IF(H$12=0,0,H114/H$12)</f>
        <v>9.2654994066677113E-2</v>
      </c>
      <c r="K114" s="4"/>
      <c r="L114" s="4">
        <f>+D114-H114</f>
        <v>-8014.73</v>
      </c>
      <c r="M114" s="4"/>
      <c r="N114" s="12">
        <f>IF(H114=0,0,L114/H114)</f>
        <v>-0.48418594816649546</v>
      </c>
      <c r="O114" s="10"/>
      <c r="P114" s="4">
        <v>196096.97</v>
      </c>
      <c r="Q114" s="4"/>
      <c r="R114" s="12">
        <f>IF(P$12=0,0,P114/P$12)</f>
        <v>0.1019197762233319</v>
      </c>
      <c r="S114" s="4"/>
      <c r="T114" s="4">
        <v>227821</v>
      </c>
      <c r="U114" s="4"/>
      <c r="V114" s="12">
        <f>IF(T$12=0,0,T114/T$12)</f>
        <v>0.12025065569625731</v>
      </c>
      <c r="W114" s="4"/>
      <c r="X114" s="4">
        <f>+P114-T114</f>
        <v>-31724.03</v>
      </c>
      <c r="Y114" s="4"/>
      <c r="Z114" s="12">
        <f>IF(T114=0,0,X114/T114)</f>
        <v>-0.13924980576856391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4</v>
      </c>
      <c r="C116" s="28"/>
      <c r="D116" s="31">
        <f>+D112-D114</f>
        <v>19489.719999999968</v>
      </c>
      <c r="E116" s="14"/>
      <c r="F116" s="32">
        <f>IF(D$12=0,0,D116/D$12)</f>
        <v>0.15526371470707054</v>
      </c>
      <c r="G116" s="14"/>
      <c r="H116" s="31">
        <f>+H112-H114</f>
        <v>7260.8861018830758</v>
      </c>
      <c r="I116" s="14"/>
      <c r="J116" s="32">
        <f>IF(H$12=0,0,H116/H$12)</f>
        <v>4.064262421849784E-2</v>
      </c>
      <c r="K116" s="15"/>
      <c r="L116" s="31">
        <f>D116-H116</f>
        <v>12228.833898116893</v>
      </c>
      <c r="M116" s="15"/>
      <c r="N116" s="32">
        <f>IF(H116=0,0,L116/H116)</f>
        <v>1.6842068208376666</v>
      </c>
      <c r="O116" s="29"/>
      <c r="P116" s="31">
        <f>+P112-P114</f>
        <v>-90718.389999999519</v>
      </c>
      <c r="Q116" s="14"/>
      <c r="R116" s="32">
        <f>IF(P$12=0,0,P116/P$12)</f>
        <v>-4.715013193799425E-2</v>
      </c>
      <c r="S116" s="14"/>
      <c r="T116" s="31">
        <f>+T112-T114</f>
        <v>69990.847431526927</v>
      </c>
      <c r="U116" s="14"/>
      <c r="V116" s="32">
        <f>IF(T$12=0,0,T116/T$12)</f>
        <v>3.6943237438066816E-2</v>
      </c>
      <c r="W116" s="15"/>
      <c r="X116" s="31">
        <f>P116-T116</f>
        <v>-160709.23743152645</v>
      </c>
      <c r="Y116" s="15"/>
      <c r="Z116" s="32">
        <f>IF(T116=0,0,X116/T116)</f>
        <v>-2.2961464724191352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5</v>
      </c>
      <c r="C119" s="28"/>
      <c r="D119" s="33">
        <f>SUM(D116:D118)</f>
        <v>19489.719999999968</v>
      </c>
      <c r="E119" s="14"/>
      <c r="F119" s="30">
        <f>IF(D$12=0,0,D119/D$12)</f>
        <v>0.15526371470707054</v>
      </c>
      <c r="G119" s="14"/>
      <c r="H119" s="33">
        <f>SUM(H116:H118)</f>
        <v>7260.8861018830758</v>
      </c>
      <c r="I119" s="14"/>
      <c r="J119" s="30">
        <f>IF(H$12=0,0,H119/H$12)</f>
        <v>4.064262421849784E-2</v>
      </c>
      <c r="K119" s="15"/>
      <c r="L119" s="33">
        <f>+D119-H119</f>
        <v>12228.833898116893</v>
      </c>
      <c r="M119" s="15"/>
      <c r="N119" s="30">
        <f>IF(H119=0,0,L119/H119)</f>
        <v>1.6842068208376666</v>
      </c>
      <c r="O119" s="29"/>
      <c r="P119" s="33">
        <f>SUM(P116:P118)</f>
        <v>-90718.389999999519</v>
      </c>
      <c r="Q119" s="14"/>
      <c r="R119" s="30">
        <f>IF(P$12=0,0,P119/P$12)</f>
        <v>-4.715013193799425E-2</v>
      </c>
      <c r="S119" s="14"/>
      <c r="T119" s="33">
        <f>SUM(T116:T118)</f>
        <v>69990.847431526927</v>
      </c>
      <c r="U119" s="14"/>
      <c r="V119" s="30">
        <f>IF(T$12=0,0,T119/T$12)</f>
        <v>3.6943237438066816E-2</v>
      </c>
      <c r="W119" s="15"/>
      <c r="X119" s="33">
        <f>+P119-T119</f>
        <v>-160709.23743152645</v>
      </c>
      <c r="Y119" s="15"/>
      <c r="Z119" s="30">
        <f>IF(T119=0,0,X119/T119)</f>
        <v>-2.2961464724191352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9">
        <v>43908.494805787035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63" t="s">
        <v>314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57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394076.29999999993</v>
      </c>
      <c r="E12" s="4"/>
      <c r="F12" s="12"/>
      <c r="G12" s="4"/>
      <c r="H12" s="4">
        <f>SUM(OSRRefH13x_0)</f>
        <v>370859</v>
      </c>
      <c r="I12" s="4"/>
      <c r="J12" s="12"/>
      <c r="K12" s="4"/>
      <c r="L12" s="4">
        <f t="shared" ref="L12:L23" si="0">+D12-H12</f>
        <v>23217.29999999993</v>
      </c>
      <c r="M12" s="4"/>
      <c r="N12" s="12">
        <f t="shared" ref="N12:N23" si="1">IF(H12=0,0,L12/H12)</f>
        <v>6.2604116389247483E-2</v>
      </c>
      <c r="O12" s="10"/>
      <c r="P12" s="4">
        <f>SUM(OSRRefP13x_0)</f>
        <v>2202060.0099999998</v>
      </c>
      <c r="Q12" s="4"/>
      <c r="R12" s="12"/>
      <c r="S12" s="4"/>
      <c r="T12" s="4">
        <f>SUM(OSRRefT13x_0)</f>
        <v>2177418.2000000002</v>
      </c>
      <c r="U12" s="4"/>
      <c r="V12" s="12"/>
      <c r="W12" s="4"/>
      <c r="X12" s="4">
        <f t="shared" ref="X12:X23" si="2">+P12-T12</f>
        <v>24641.80999999959</v>
      </c>
      <c r="Y12" s="4"/>
      <c r="Z12" s="12">
        <f t="shared" ref="Z12:Z23" si="3">IF(T12=0,0,X12/T12)</f>
        <v>1.1316985409600961E-2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90974</v>
      </c>
      <c r="I13" s="2"/>
      <c r="J13" s="19"/>
      <c r="K13" s="2"/>
      <c r="L13" s="2">
        <f t="shared" si="0"/>
        <v>-90974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515872.2</v>
      </c>
      <c r="U13" s="2"/>
      <c r="V13" s="19"/>
      <c r="W13" s="2"/>
      <c r="X13" s="2">
        <f t="shared" si="2"/>
        <v>-515872.2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--45400.09</f>
        <v>45400.09</v>
      </c>
      <c r="E14" s="2"/>
      <c r="F14" s="19"/>
      <c r="G14" s="2"/>
      <c r="H14" s="2"/>
      <c r="I14" s="2"/>
      <c r="J14" s="19"/>
      <c r="K14" s="2"/>
      <c r="L14" s="2">
        <f t="shared" si="0"/>
        <v>45400.09</v>
      </c>
      <c r="M14" s="2"/>
      <c r="N14" s="19">
        <f t="shared" si="1"/>
        <v>0</v>
      </c>
      <c r="O14" s="11"/>
      <c r="P14" s="2">
        <f>--256806.37</f>
        <v>256806.37</v>
      </c>
      <c r="Q14" s="2"/>
      <c r="R14" s="19"/>
      <c r="S14" s="2"/>
      <c r="T14" s="2"/>
      <c r="U14" s="2"/>
      <c r="V14" s="19"/>
      <c r="W14" s="2"/>
      <c r="X14" s="2">
        <f t="shared" si="2"/>
        <v>256806.37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--456.01</f>
        <v>456.01</v>
      </c>
      <c r="E15" s="2"/>
      <c r="F15" s="19"/>
      <c r="G15" s="2"/>
      <c r="H15" s="2"/>
      <c r="I15" s="2"/>
      <c r="J15" s="19"/>
      <c r="K15" s="2"/>
      <c r="L15" s="2">
        <f t="shared" si="0"/>
        <v>456.01</v>
      </c>
      <c r="M15" s="2"/>
      <c r="N15" s="19">
        <f t="shared" si="1"/>
        <v>0</v>
      </c>
      <c r="O15" s="11"/>
      <c r="P15" s="2">
        <f>--2960.02</f>
        <v>2960.02</v>
      </c>
      <c r="Q15" s="2"/>
      <c r="R15" s="19"/>
      <c r="S15" s="2"/>
      <c r="T15" s="2"/>
      <c r="U15" s="2"/>
      <c r="V15" s="19"/>
      <c r="W15" s="2"/>
      <c r="X15" s="2">
        <f t="shared" si="2"/>
        <v>2960.02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--23977.64</f>
        <v>23977.64</v>
      </c>
      <c r="E16" s="2"/>
      <c r="F16" s="19"/>
      <c r="G16" s="2"/>
      <c r="H16" s="2"/>
      <c r="I16" s="2"/>
      <c r="J16" s="19"/>
      <c r="K16" s="2"/>
      <c r="L16" s="2">
        <f t="shared" si="0"/>
        <v>23977.64</v>
      </c>
      <c r="M16" s="2"/>
      <c r="N16" s="19">
        <f t="shared" si="1"/>
        <v>0</v>
      </c>
      <c r="O16" s="11"/>
      <c r="P16" s="2">
        <f>--140914.35</f>
        <v>140914.35</v>
      </c>
      <c r="Q16" s="2"/>
      <c r="R16" s="19"/>
      <c r="S16" s="2"/>
      <c r="T16" s="2"/>
      <c r="U16" s="2"/>
      <c r="V16" s="19"/>
      <c r="W16" s="2"/>
      <c r="X16" s="2">
        <f t="shared" si="2"/>
        <v>140914.35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19"/>
      <c r="G17" s="2"/>
      <c r="H17" s="2">
        <v>279885</v>
      </c>
      <c r="I17" s="2"/>
      <c r="J17" s="19"/>
      <c r="K17" s="2"/>
      <c r="L17" s="2">
        <f t="shared" si="0"/>
        <v>-279885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1661546</v>
      </c>
      <c r="U17" s="2"/>
      <c r="V17" s="19"/>
      <c r="W17" s="2"/>
      <c r="X17" s="2">
        <f t="shared" si="2"/>
        <v>-1661546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--185424.36</f>
        <v>185424.36</v>
      </c>
      <c r="E18" s="2"/>
      <c r="F18" s="19"/>
      <c r="G18" s="2"/>
      <c r="H18" s="2"/>
      <c r="I18" s="2"/>
      <c r="J18" s="19"/>
      <c r="K18" s="2"/>
      <c r="L18" s="2">
        <f t="shared" si="0"/>
        <v>185424.36</v>
      </c>
      <c r="M18" s="2"/>
      <c r="N18" s="19">
        <f t="shared" si="1"/>
        <v>0</v>
      </c>
      <c r="O18" s="11"/>
      <c r="P18" s="2">
        <f>--1015608.66</f>
        <v>1015608.66</v>
      </c>
      <c r="Q18" s="2"/>
      <c r="R18" s="19"/>
      <c r="S18" s="2"/>
      <c r="T18" s="2"/>
      <c r="U18" s="2"/>
      <c r="V18" s="19"/>
      <c r="W18" s="2"/>
      <c r="X18" s="2">
        <f t="shared" si="2"/>
        <v>1015608.66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"4133", " - ", "NON-TAXABLE SALES-CANDY")</f>
        <v xml:space="preserve">          4133 - NON-TAXABLE SALES-CANDY</v>
      </c>
      <c r="C19" s="11"/>
      <c r="D19" s="2">
        <f t="shared" ref="D19:D20" si="4"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--1.59</f>
        <v>1.59</v>
      </c>
      <c r="Q19" s="2"/>
      <c r="R19" s="19"/>
      <c r="S19" s="2"/>
      <c r="T19" s="2"/>
      <c r="U19" s="2"/>
      <c r="V19" s="19"/>
      <c r="W19" s="2"/>
      <c r="X19" s="2">
        <f t="shared" si="2"/>
        <v>1.59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"4134", " - ", "NON-TAXABLE SALES-SODA")</f>
        <v xml:space="preserve">          4134 - NON-TAXABLE SALES-SODA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--8.41</f>
        <v>8.41</v>
      </c>
      <c r="Q20" s="2"/>
      <c r="R20" s="19"/>
      <c r="S20" s="2"/>
      <c r="T20" s="2"/>
      <c r="U20" s="2"/>
      <c r="V20" s="19"/>
      <c r="W20" s="2"/>
      <c r="X20" s="2">
        <f t="shared" si="2"/>
        <v>8.41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"4137", " - ", "NON-TAXABLE SALES-WATER")</f>
        <v xml:space="preserve">          4137 - NON-TAXABLE SALES-WATER</v>
      </c>
      <c r="C21" s="11"/>
      <c r="D21" s="2">
        <f>--189.11</f>
        <v>189.11</v>
      </c>
      <c r="E21" s="2"/>
      <c r="F21" s="19"/>
      <c r="G21" s="2"/>
      <c r="H21" s="2"/>
      <c r="I21" s="2"/>
      <c r="J21" s="19"/>
      <c r="K21" s="2"/>
      <c r="L21" s="2">
        <f t="shared" si="0"/>
        <v>189.11</v>
      </c>
      <c r="M21" s="2"/>
      <c r="N21" s="19">
        <f t="shared" si="1"/>
        <v>0</v>
      </c>
      <c r="O21" s="11"/>
      <c r="P21" s="2">
        <f>--1471.89</f>
        <v>1471.89</v>
      </c>
      <c r="Q21" s="2"/>
      <c r="R21" s="19"/>
      <c r="S21" s="2"/>
      <c r="T21" s="2"/>
      <c r="U21" s="2"/>
      <c r="V21" s="19"/>
      <c r="W21" s="2"/>
      <c r="X21" s="2">
        <f t="shared" si="2"/>
        <v>1471.89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"4151", " - ", "NON-TAXABLE SALES-FOOD")</f>
        <v xml:space="preserve">          4151 - NON-TAXABLE SALES-FOOD</v>
      </c>
      <c r="C22" s="11"/>
      <c r="D22" s="2">
        <f>--136091.59</f>
        <v>136091.59</v>
      </c>
      <c r="E22" s="2"/>
      <c r="F22" s="19"/>
      <c r="G22" s="2"/>
      <c r="H22" s="2"/>
      <c r="I22" s="2"/>
      <c r="J22" s="19"/>
      <c r="K22" s="2"/>
      <c r="L22" s="2">
        <f t="shared" si="0"/>
        <v>136091.59</v>
      </c>
      <c r="M22" s="2"/>
      <c r="N22" s="19">
        <f t="shared" si="1"/>
        <v>0</v>
      </c>
      <c r="O22" s="11"/>
      <c r="P22" s="2">
        <f>--771476.22</f>
        <v>771476.22</v>
      </c>
      <c r="Q22" s="2"/>
      <c r="R22" s="19"/>
      <c r="S22" s="2"/>
      <c r="T22" s="2"/>
      <c r="U22" s="2"/>
      <c r="V22" s="19"/>
      <c r="W22" s="2"/>
      <c r="X22" s="2">
        <f t="shared" si="2"/>
        <v>771476.22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"4153", " - ", "NON-TAXABLE SALES-FOOD")</f>
        <v xml:space="preserve">          4153 - NON-TAXABLE SALES-FOOD</v>
      </c>
      <c r="C23" s="11"/>
      <c r="D23" s="2">
        <f>--2537.5</f>
        <v>2537.5</v>
      </c>
      <c r="E23" s="2"/>
      <c r="F23" s="19"/>
      <c r="G23" s="2"/>
      <c r="H23" s="2"/>
      <c r="I23" s="2"/>
      <c r="J23" s="19"/>
      <c r="K23" s="2"/>
      <c r="L23" s="2">
        <f t="shared" si="0"/>
        <v>2537.5</v>
      </c>
      <c r="M23" s="2"/>
      <c r="N23" s="19">
        <f t="shared" si="1"/>
        <v>0</v>
      </c>
      <c r="O23" s="11"/>
      <c r="P23" s="2">
        <f>--12812.5</f>
        <v>12812.5</v>
      </c>
      <c r="Q23" s="2"/>
      <c r="R23" s="19"/>
      <c r="S23" s="2"/>
      <c r="T23" s="2"/>
      <c r="U23" s="2"/>
      <c r="V23" s="19"/>
      <c r="W23" s="2"/>
      <c r="X23" s="2">
        <f t="shared" si="2"/>
        <v>12812.5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189850.98</v>
      </c>
      <c r="E25" s="4"/>
      <c r="F25" s="12">
        <f t="shared" ref="F25:F28" si="5">IF(D$12=0,0,D25/D$12)</f>
        <v>0.48176198365646461</v>
      </c>
      <c r="G25" s="4"/>
      <c r="H25" s="4">
        <f>SUM(OSRRefH16x_0)</f>
        <v>178670</v>
      </c>
      <c r="I25" s="4"/>
      <c r="J25" s="12">
        <f t="shared" ref="J25:J28" si="6">IF(H$12=0,0,H25/H$12)</f>
        <v>0.48177339635818467</v>
      </c>
      <c r="K25" s="4"/>
      <c r="L25" s="4">
        <f t="shared" ref="L25:L28" si="7">+D25-H25</f>
        <v>11180.98000000001</v>
      </c>
      <c r="M25" s="4"/>
      <c r="N25" s="12">
        <f t="shared" ref="N25:N28" si="8">IF(H25=0,0,L25/H25)</f>
        <v>6.2578944422678737E-2</v>
      </c>
      <c r="O25" s="10"/>
      <c r="P25" s="4">
        <f>SUM(OSRRefP16x_0)</f>
        <v>1052072.04</v>
      </c>
      <c r="Q25" s="4"/>
      <c r="R25" s="12">
        <f t="shared" ref="R25:R28" si="9">IF(P$12=0,0,P25/P$12)</f>
        <v>0.47776719763418263</v>
      </c>
      <c r="S25" s="4"/>
      <c r="T25" s="4">
        <f>SUM(OSRRefT16x_0)</f>
        <v>1049057</v>
      </c>
      <c r="U25" s="4"/>
      <c r="V25" s="12">
        <f t="shared" ref="V25:V28" si="10">IF(T$12=0,0,T25/T$12)</f>
        <v>0.48178939626756123</v>
      </c>
      <c r="W25" s="4"/>
      <c r="X25" s="4">
        <f t="shared" ref="X25:X28" si="11">+P25-T25</f>
        <v>3015.0400000000373</v>
      </c>
      <c r="Y25" s="4"/>
      <c r="Z25" s="12">
        <f t="shared" ref="Z25:Z28" si="12">IF(T25=0,0,X25/T25)</f>
        <v>2.8740478353416806E-3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5"/>
        <v>0</v>
      </c>
      <c r="G26" s="2"/>
      <c r="H26" s="2">
        <v>178670</v>
      </c>
      <c r="I26" s="2"/>
      <c r="J26" s="19">
        <f t="shared" si="6"/>
        <v>0.48177339635818467</v>
      </c>
      <c r="K26" s="2"/>
      <c r="L26" s="2">
        <f t="shared" si="7"/>
        <v>-178670</v>
      </c>
      <c r="M26" s="2"/>
      <c r="N26" s="19">
        <f t="shared" si="8"/>
        <v>-1</v>
      </c>
      <c r="O26" s="11"/>
      <c r="P26" s="2"/>
      <c r="Q26" s="2"/>
      <c r="R26" s="19">
        <f t="shared" si="9"/>
        <v>0</v>
      </c>
      <c r="S26" s="2"/>
      <c r="T26" s="2">
        <v>1049057</v>
      </c>
      <c r="U26" s="2"/>
      <c r="V26" s="19">
        <f t="shared" si="10"/>
        <v>0.48178939626756123</v>
      </c>
      <c r="W26" s="2"/>
      <c r="X26" s="2">
        <f t="shared" si="11"/>
        <v>-1049057</v>
      </c>
      <c r="Y26" s="2"/>
      <c r="Z26" s="19">
        <f t="shared" si="12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185803.39</v>
      </c>
      <c r="E27" s="2"/>
      <c r="F27" s="19">
        <f t="shared" si="5"/>
        <v>0.47149090163503882</v>
      </c>
      <c r="G27" s="2"/>
      <c r="H27" s="2"/>
      <c r="I27" s="2"/>
      <c r="J27" s="19">
        <f t="shared" si="6"/>
        <v>0</v>
      </c>
      <c r="K27" s="2"/>
      <c r="L27" s="2">
        <f t="shared" si="7"/>
        <v>185803.39</v>
      </c>
      <c r="M27" s="2"/>
      <c r="N27" s="19">
        <f t="shared" si="8"/>
        <v>0</v>
      </c>
      <c r="O27" s="11"/>
      <c r="P27" s="2">
        <v>1085529.97</v>
      </c>
      <c r="Q27" s="2"/>
      <c r="R27" s="19">
        <f t="shared" si="9"/>
        <v>0.4929611205282276</v>
      </c>
      <c r="S27" s="2"/>
      <c r="T27" s="2"/>
      <c r="U27" s="2"/>
      <c r="V27" s="19">
        <f t="shared" si="10"/>
        <v>0</v>
      </c>
      <c r="W27" s="2"/>
      <c r="X27" s="2">
        <f t="shared" si="11"/>
        <v>1085529.97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4047.59</v>
      </c>
      <c r="E28" s="2"/>
      <c r="F28" s="19">
        <f t="shared" si="5"/>
        <v>1.0271082021425803E-2</v>
      </c>
      <c r="G28" s="2"/>
      <c r="H28" s="2"/>
      <c r="I28" s="2"/>
      <c r="J28" s="19">
        <f t="shared" si="6"/>
        <v>0</v>
      </c>
      <c r="K28" s="2"/>
      <c r="L28" s="2">
        <f t="shared" si="7"/>
        <v>4047.59</v>
      </c>
      <c r="M28" s="2"/>
      <c r="N28" s="19">
        <f t="shared" si="8"/>
        <v>0</v>
      </c>
      <c r="O28" s="11"/>
      <c r="P28" s="2">
        <v>-33457.93</v>
      </c>
      <c r="Q28" s="2"/>
      <c r="R28" s="19">
        <f t="shared" si="9"/>
        <v>-1.5193922894045019E-2</v>
      </c>
      <c r="S28" s="2"/>
      <c r="T28" s="2"/>
      <c r="U28" s="2"/>
      <c r="V28" s="19">
        <f t="shared" si="10"/>
        <v>0</v>
      </c>
      <c r="W28" s="2"/>
      <c r="X28" s="2">
        <f t="shared" si="11"/>
        <v>-33457.93</v>
      </c>
      <c r="Y28" s="2"/>
      <c r="Z28" s="19">
        <f t="shared" si="12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1">
        <f>D12-D25</f>
        <v>204225.31999999992</v>
      </c>
      <c r="E30" s="14"/>
      <c r="F30" s="22">
        <f>IF(D$12=0,0,D30/D$12)</f>
        <v>0.51823801634353539</v>
      </c>
      <c r="G30" s="14"/>
      <c r="H30" s="21">
        <f>H12-H25</f>
        <v>192189</v>
      </c>
      <c r="I30" s="14"/>
      <c r="J30" s="22">
        <f>IF(H$12=0,0,H30/H$12)</f>
        <v>0.51822660364181539</v>
      </c>
      <c r="K30" s="15"/>
      <c r="L30" s="21">
        <f>+D30-H30</f>
        <v>12036.31999999992</v>
      </c>
      <c r="M30" s="15"/>
      <c r="N30" s="22">
        <f>IF(H30=0,0,L30/H30)</f>
        <v>6.2627517703926452E-2</v>
      </c>
      <c r="O30" s="29"/>
      <c r="P30" s="21">
        <f>P12-P25</f>
        <v>1149987.9699999997</v>
      </c>
      <c r="Q30" s="14"/>
      <c r="R30" s="22">
        <f>IF(P$12=0,0,P30/P$12)</f>
        <v>0.52223280236581737</v>
      </c>
      <c r="S30" s="14"/>
      <c r="T30" s="21">
        <f>T12-T25</f>
        <v>1128361.2000000002</v>
      </c>
      <c r="U30" s="14"/>
      <c r="V30" s="22">
        <f>IF(T$12=0,0,T30/T$12)</f>
        <v>0.51821060373243877</v>
      </c>
      <c r="W30" s="15"/>
      <c r="X30" s="21">
        <f>+P30-T30</f>
        <v>21626.769999999553</v>
      </c>
      <c r="Y30" s="15"/>
      <c r="Z30" s="22">
        <f>IF(T30=0,0,X30/T30)</f>
        <v>1.9166531071787608E-2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0">
        <f>SUM(OSRRefD22x_0)</f>
        <v>114827.86</v>
      </c>
      <c r="E32" s="20"/>
      <c r="F32" s="34">
        <f t="shared" ref="F32:F42" si="13">IF(D$12=0,0,D32/D$12)</f>
        <v>0.29138484095592659</v>
      </c>
      <c r="G32" s="20"/>
      <c r="H32" s="20">
        <f>SUM(OSRRefH22x_0)</f>
        <v>121970.74319524769</v>
      </c>
      <c r="I32" s="20"/>
      <c r="J32" s="34">
        <f t="shared" ref="J32:J42" si="14">IF(H$12=0,0,H32/H$12)</f>
        <v>0.32888710586839659</v>
      </c>
      <c r="K32" s="4"/>
      <c r="L32" s="20">
        <f t="shared" ref="L32:L42" si="15">+D32-H32</f>
        <v>-7142.8831952476903</v>
      </c>
      <c r="M32" s="4"/>
      <c r="N32" s="34">
        <f t="shared" ref="N32:N42" si="16">IF(H32=0,0,L32/H32)</f>
        <v>-5.8562266721729678E-2</v>
      </c>
      <c r="O32" s="10"/>
      <c r="P32" s="20">
        <f>SUM(OSRRefP22x_0)</f>
        <v>847849.2</v>
      </c>
      <c r="Q32" s="20"/>
      <c r="R32" s="34">
        <f t="shared" ref="R32:R42" si="17">IF(P$12=0,0,P32/P$12)</f>
        <v>0.38502547439658563</v>
      </c>
      <c r="S32" s="20"/>
      <c r="T32" s="20">
        <f>SUM(OSRRefT22x_0)</f>
        <v>834174.99466895731</v>
      </c>
      <c r="U32" s="20"/>
      <c r="V32" s="34">
        <f t="shared" ref="V32:V42" si="18">IF(T$12=0,0,T32/T$12)</f>
        <v>0.38310279333063224</v>
      </c>
      <c r="W32" s="4"/>
      <c r="X32" s="20">
        <f t="shared" ref="X32:X42" si="19">+P32-T32</f>
        <v>13674.205331042642</v>
      </c>
      <c r="Y32" s="4"/>
      <c r="Z32" s="34">
        <f t="shared" ref="Z32:Z42" si="20">IF(T32=0,0,X32/T32)</f>
        <v>1.6392490087130045E-2</v>
      </c>
    </row>
    <row r="33" spans="1:26" s="27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11505.36</v>
      </c>
      <c r="E33" s="1"/>
      <c r="F33" s="5">
        <f t="shared" si="13"/>
        <v>2.9195767418644568E-2</v>
      </c>
      <c r="G33" s="1"/>
      <c r="H33" s="1">
        <f>SUM(OSRRefH22_0x_0)</f>
        <v>13202.990842939998</v>
      </c>
      <c r="I33" s="1"/>
      <c r="J33" s="5">
        <f t="shared" si="14"/>
        <v>3.5601106735821425E-2</v>
      </c>
      <c r="K33" s="1"/>
      <c r="L33" s="1">
        <f t="shared" si="15"/>
        <v>-1697.6308429399978</v>
      </c>
      <c r="M33" s="1"/>
      <c r="N33" s="5">
        <f t="shared" si="16"/>
        <v>-0.12857926383004104</v>
      </c>
      <c r="O33" s="13"/>
      <c r="P33" s="1">
        <f>SUM(OSRRefP22_0x_0)</f>
        <v>106603.67</v>
      </c>
      <c r="Q33" s="1"/>
      <c r="R33" s="5">
        <f t="shared" si="17"/>
        <v>4.8410883225657418E-2</v>
      </c>
      <c r="S33" s="1"/>
      <c r="T33" s="1">
        <f>SUM(OSRRefT22_0x_0)</f>
        <v>103911.172626265</v>
      </c>
      <c r="U33" s="1"/>
      <c r="V33" s="5">
        <f t="shared" si="18"/>
        <v>4.7722193479536913E-2</v>
      </c>
      <c r="W33" s="1"/>
      <c r="X33" s="1">
        <f t="shared" si="19"/>
        <v>2692.4973737349937</v>
      </c>
      <c r="Y33" s="1"/>
      <c r="Z33" s="5">
        <f t="shared" si="20"/>
        <v>2.5911529103988067E-2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6">
        <v>2145.3000000000002</v>
      </c>
      <c r="E34" s="2"/>
      <c r="F34" s="7">
        <f t="shared" si="13"/>
        <v>5.4438696262627331E-3</v>
      </c>
      <c r="G34" s="2"/>
      <c r="H34" s="6">
        <v>1502.388769647692</v>
      </c>
      <c r="I34" s="2"/>
      <c r="J34" s="7">
        <f t="shared" si="14"/>
        <v>4.0511050551495101E-3</v>
      </c>
      <c r="K34" s="2"/>
      <c r="L34" s="6">
        <f t="shared" si="15"/>
        <v>642.91123035230817</v>
      </c>
      <c r="M34" s="2"/>
      <c r="N34" s="7">
        <f t="shared" si="16"/>
        <v>0.42792600912683199</v>
      </c>
      <c r="O34" s="11"/>
      <c r="P34" s="6">
        <v>18177.969999999998</v>
      </c>
      <c r="Q34" s="2"/>
      <c r="R34" s="7">
        <f t="shared" si="17"/>
        <v>8.2549839320682269E-3</v>
      </c>
      <c r="S34" s="2"/>
      <c r="T34" s="6">
        <v>13962.989432357306</v>
      </c>
      <c r="U34" s="2"/>
      <c r="V34" s="7">
        <f t="shared" si="18"/>
        <v>6.4126355848211913E-3</v>
      </c>
      <c r="W34" s="2"/>
      <c r="X34" s="6">
        <f t="shared" si="19"/>
        <v>4214.9805676426913</v>
      </c>
      <c r="Y34" s="2"/>
      <c r="Z34" s="7">
        <f t="shared" si="20"/>
        <v>0.30186806257083126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6">
        <v>1194.96</v>
      </c>
      <c r="E35" s="2"/>
      <c r="F35" s="7">
        <f t="shared" si="13"/>
        <v>3.0323061803006176E-3</v>
      </c>
      <c r="G35" s="2"/>
      <c r="H35" s="6">
        <v>1330.695937846154</v>
      </c>
      <c r="I35" s="2"/>
      <c r="J35" s="7">
        <f t="shared" si="14"/>
        <v>3.5881451922325034E-3</v>
      </c>
      <c r="K35" s="2"/>
      <c r="L35" s="6">
        <f t="shared" si="15"/>
        <v>-135.735937846154</v>
      </c>
      <c r="M35" s="2"/>
      <c r="N35" s="7">
        <f t="shared" si="16"/>
        <v>-0.10200372150068655</v>
      </c>
      <c r="O35" s="11"/>
      <c r="P35" s="6">
        <v>7245.5</v>
      </c>
      <c r="Q35" s="2"/>
      <c r="R35" s="7">
        <f t="shared" si="17"/>
        <v>3.2903281323382284E-3</v>
      </c>
      <c r="S35" s="2"/>
      <c r="T35" s="6">
        <v>8779.6362076538462</v>
      </c>
      <c r="U35" s="2"/>
      <c r="V35" s="7">
        <f t="shared" si="18"/>
        <v>4.0321313598158798E-3</v>
      </c>
      <c r="W35" s="2"/>
      <c r="X35" s="6">
        <f t="shared" si="19"/>
        <v>-1534.1362076538462</v>
      </c>
      <c r="Y35" s="2"/>
      <c r="Z35" s="7">
        <f t="shared" si="20"/>
        <v>-0.17473801549048562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6">
        <v>4620.57</v>
      </c>
      <c r="E36" s="2"/>
      <c r="F36" s="7">
        <f t="shared" si="13"/>
        <v>1.1725064410115504E-2</v>
      </c>
      <c r="G36" s="2"/>
      <c r="H36" s="6">
        <v>5998</v>
      </c>
      <c r="I36" s="2"/>
      <c r="J36" s="7">
        <f t="shared" si="14"/>
        <v>1.6173262614632516E-2</v>
      </c>
      <c r="K36" s="2"/>
      <c r="L36" s="6">
        <f t="shared" si="15"/>
        <v>-1377.4300000000003</v>
      </c>
      <c r="M36" s="2"/>
      <c r="N36" s="7">
        <f t="shared" si="16"/>
        <v>-0.22964821607202407</v>
      </c>
      <c r="O36" s="11"/>
      <c r="P36" s="6">
        <v>46076.57</v>
      </c>
      <c r="Q36" s="2"/>
      <c r="R36" s="7">
        <f t="shared" si="17"/>
        <v>2.0924302603360933E-2</v>
      </c>
      <c r="S36" s="2"/>
      <c r="T36" s="6">
        <v>47984</v>
      </c>
      <c r="U36" s="2"/>
      <c r="V36" s="7">
        <f t="shared" si="18"/>
        <v>2.2037107984125417E-2</v>
      </c>
      <c r="W36" s="2"/>
      <c r="X36" s="6">
        <f t="shared" si="19"/>
        <v>-1907.4300000000003</v>
      </c>
      <c r="Y36" s="2"/>
      <c r="Z36" s="7">
        <f t="shared" si="20"/>
        <v>-3.9751375458486171E-2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163.52000000000001</v>
      </c>
      <c r="E37" s="2"/>
      <c r="F37" s="7">
        <f t="shared" si="13"/>
        <v>4.1494502460564121E-4</v>
      </c>
      <c r="G37" s="2"/>
      <c r="H37" s="6">
        <v>182.0952336</v>
      </c>
      <c r="I37" s="2"/>
      <c r="J37" s="7">
        <f t="shared" si="14"/>
        <v>4.9100934209497413E-4</v>
      </c>
      <c r="K37" s="2"/>
      <c r="L37" s="6">
        <f t="shared" si="15"/>
        <v>-18.57523359999999</v>
      </c>
      <c r="M37" s="2"/>
      <c r="N37" s="7">
        <f t="shared" si="16"/>
        <v>-0.10200834603284197</v>
      </c>
      <c r="O37" s="11"/>
      <c r="P37" s="6">
        <v>1124.74</v>
      </c>
      <c r="Q37" s="2"/>
      <c r="R37" s="7">
        <f t="shared" si="17"/>
        <v>5.1076718840191828E-4</v>
      </c>
      <c r="S37" s="2"/>
      <c r="T37" s="6">
        <v>1201.4239020999999</v>
      </c>
      <c r="U37" s="2"/>
      <c r="V37" s="7">
        <f t="shared" si="18"/>
        <v>5.5176534397480455E-4</v>
      </c>
      <c r="W37" s="2"/>
      <c r="X37" s="6">
        <f t="shared" si="19"/>
        <v>-76.683902099999841</v>
      </c>
      <c r="Y37" s="2"/>
      <c r="Z37" s="7">
        <f t="shared" si="20"/>
        <v>-6.382751497282689E-2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6">
        <v>1284.74</v>
      </c>
      <c r="E38" s="2"/>
      <c r="F38" s="7">
        <f t="shared" si="13"/>
        <v>3.2601300814080933E-3</v>
      </c>
      <c r="G38" s="2"/>
      <c r="H38" s="6">
        <v>1534.1686464615379</v>
      </c>
      <c r="I38" s="2"/>
      <c r="J38" s="7">
        <f t="shared" si="14"/>
        <v>4.1367976682823871E-3</v>
      </c>
      <c r="K38" s="2"/>
      <c r="L38" s="6">
        <f t="shared" si="15"/>
        <v>-249.42864646153794</v>
      </c>
      <c r="M38" s="2"/>
      <c r="N38" s="7">
        <f t="shared" si="16"/>
        <v>-0.16258228652816573</v>
      </c>
      <c r="O38" s="11"/>
      <c r="P38" s="6">
        <v>12835.99</v>
      </c>
      <c r="Q38" s="2"/>
      <c r="R38" s="7">
        <f t="shared" si="17"/>
        <v>5.8290827414825995E-3</v>
      </c>
      <c r="S38" s="2"/>
      <c r="T38" s="6">
        <v>13196.245334538462</v>
      </c>
      <c r="U38" s="2"/>
      <c r="V38" s="7">
        <f t="shared" si="18"/>
        <v>6.0605010716537873E-3</v>
      </c>
      <c r="W38" s="2"/>
      <c r="X38" s="6">
        <f t="shared" si="19"/>
        <v>-360.25533453846219</v>
      </c>
      <c r="Y38" s="2"/>
      <c r="Z38" s="7">
        <f t="shared" si="20"/>
        <v>-2.7299836082583871E-2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3"/>
        <v>0</v>
      </c>
      <c r="G39" s="2"/>
      <c r="H39" s="6">
        <v>0</v>
      </c>
      <c r="I39" s="2"/>
      <c r="J39" s="7">
        <f t="shared" si="14"/>
        <v>0</v>
      </c>
      <c r="K39" s="2"/>
      <c r="L39" s="6">
        <f t="shared" si="15"/>
        <v>0</v>
      </c>
      <c r="M39" s="2"/>
      <c r="N39" s="7">
        <f t="shared" si="16"/>
        <v>0</v>
      </c>
      <c r="O39" s="11"/>
      <c r="P39" s="6"/>
      <c r="Q39" s="2"/>
      <c r="R39" s="7">
        <f t="shared" si="17"/>
        <v>0</v>
      </c>
      <c r="S39" s="2"/>
      <c r="T39" s="6">
        <v>0</v>
      </c>
      <c r="U39" s="2"/>
      <c r="V39" s="7">
        <f t="shared" si="18"/>
        <v>0</v>
      </c>
      <c r="W39" s="2"/>
      <c r="X39" s="6">
        <f t="shared" si="19"/>
        <v>0</v>
      </c>
      <c r="Y39" s="2"/>
      <c r="Z39" s="7">
        <f t="shared" si="20"/>
        <v>0</v>
      </c>
    </row>
    <row r="40" spans="1:26" s="24" customFormat="1" hidden="1" outlineLevel="2" x14ac:dyDescent="0.25">
      <c r="A40" s="25"/>
      <c r="B40" s="11" t="str">
        <f>CONCATENATE("          ", "6118", " - ", "VACATION")</f>
        <v xml:space="preserve">          6118 - VACATION</v>
      </c>
      <c r="C40" s="11"/>
      <c r="D40" s="6">
        <v>950.98</v>
      </c>
      <c r="E40" s="2"/>
      <c r="F40" s="7">
        <f t="shared" si="13"/>
        <v>2.4131874969390448E-3</v>
      </c>
      <c r="G40" s="2"/>
      <c r="H40" s="6">
        <v>647.28014769230754</v>
      </c>
      <c r="I40" s="2"/>
      <c r="J40" s="7">
        <f t="shared" si="14"/>
        <v>1.7453537535621559E-3</v>
      </c>
      <c r="K40" s="2"/>
      <c r="L40" s="6">
        <f t="shared" si="15"/>
        <v>303.69985230769248</v>
      </c>
      <c r="M40" s="2"/>
      <c r="N40" s="7">
        <f t="shared" si="16"/>
        <v>0.46919383112620949</v>
      </c>
      <c r="O40" s="11"/>
      <c r="P40" s="6">
        <v>9699.5400000000009</v>
      </c>
      <c r="Q40" s="2"/>
      <c r="R40" s="7">
        <f t="shared" si="17"/>
        <v>4.4047573435566827E-3</v>
      </c>
      <c r="S40" s="2"/>
      <c r="T40" s="6">
        <v>5554.998232307692</v>
      </c>
      <c r="U40" s="2"/>
      <c r="V40" s="7">
        <f t="shared" si="18"/>
        <v>2.5511857264294436E-3</v>
      </c>
      <c r="W40" s="2"/>
      <c r="X40" s="6">
        <f t="shared" si="19"/>
        <v>4144.5417676923089</v>
      </c>
      <c r="Y40" s="2"/>
      <c r="Z40" s="7">
        <f t="shared" si="20"/>
        <v>0.74609236481620944</v>
      </c>
    </row>
    <row r="41" spans="1:26" s="24" customFormat="1" hidden="1" outlineLevel="2" x14ac:dyDescent="0.25">
      <c r="A41" s="25"/>
      <c r="B41" s="11" t="str">
        <f>CONCATENATE("          ", "6119", " - ", "SICK LEAVE")</f>
        <v xml:space="preserve">          6119 - SICK LEAVE</v>
      </c>
      <c r="C41" s="11"/>
      <c r="D41" s="6">
        <v>640.52</v>
      </c>
      <c r="E41" s="2"/>
      <c r="F41" s="7">
        <f t="shared" si="13"/>
        <v>1.6253705183488581E-3</v>
      </c>
      <c r="G41" s="2"/>
      <c r="H41" s="6">
        <v>2008.362107692308</v>
      </c>
      <c r="I41" s="2"/>
      <c r="J41" s="7">
        <f t="shared" si="14"/>
        <v>5.4154331098673833E-3</v>
      </c>
      <c r="K41" s="2"/>
      <c r="L41" s="6">
        <f t="shared" si="15"/>
        <v>-1367.842107692308</v>
      </c>
      <c r="M41" s="2"/>
      <c r="N41" s="7">
        <f t="shared" si="16"/>
        <v>-0.6810734490823549</v>
      </c>
      <c r="O41" s="11"/>
      <c r="P41" s="6">
        <v>6631.12</v>
      </c>
      <c r="Q41" s="2"/>
      <c r="R41" s="7">
        <f t="shared" si="17"/>
        <v>3.0113257449328099E-3</v>
      </c>
      <c r="S41" s="2"/>
      <c r="T41" s="6">
        <v>13106.879517307694</v>
      </c>
      <c r="U41" s="2"/>
      <c r="V41" s="7">
        <f t="shared" si="18"/>
        <v>6.0194589708617722E-3</v>
      </c>
      <c r="W41" s="2"/>
      <c r="X41" s="6">
        <f t="shared" si="19"/>
        <v>-6475.7595173076943</v>
      </c>
      <c r="Y41" s="2"/>
      <c r="Z41" s="7">
        <f t="shared" si="20"/>
        <v>-0.4940733230023534</v>
      </c>
    </row>
    <row r="42" spans="1:26" s="24" customFormat="1" hidden="1" outlineLevel="2" x14ac:dyDescent="0.25">
      <c r="A42" s="25"/>
      <c r="B42" s="11" t="str">
        <f>CONCATENATE("          ", "6156", " - ", "EMPLOYEE MEALS")</f>
        <v xml:space="preserve">          6156 - EMPLOYEE MEALS</v>
      </c>
      <c r="C42" s="11"/>
      <c r="D42" s="6">
        <v>504.77</v>
      </c>
      <c r="E42" s="2"/>
      <c r="F42" s="7">
        <f t="shared" si="13"/>
        <v>1.2808940806640747E-3</v>
      </c>
      <c r="G42" s="2"/>
      <c r="H42" s="6"/>
      <c r="I42" s="2"/>
      <c r="J42" s="7">
        <f t="shared" si="14"/>
        <v>0</v>
      </c>
      <c r="K42" s="2"/>
      <c r="L42" s="6">
        <f t="shared" si="15"/>
        <v>504.77</v>
      </c>
      <c r="M42" s="2"/>
      <c r="N42" s="7">
        <f t="shared" si="16"/>
        <v>0</v>
      </c>
      <c r="O42" s="11"/>
      <c r="P42" s="6">
        <v>4812.24</v>
      </c>
      <c r="Q42" s="2"/>
      <c r="R42" s="7">
        <f t="shared" si="17"/>
        <v>2.1853355395160192E-3</v>
      </c>
      <c r="S42" s="2"/>
      <c r="T42" s="6">
        <v>125</v>
      </c>
      <c r="U42" s="2"/>
      <c r="V42" s="7">
        <f t="shared" si="18"/>
        <v>5.7407437854611476E-5</v>
      </c>
      <c r="W42" s="2"/>
      <c r="X42" s="6">
        <f t="shared" si="19"/>
        <v>4687.24</v>
      </c>
      <c r="Y42" s="2"/>
      <c r="Z42" s="7">
        <f t="shared" si="20"/>
        <v>37.497920000000001</v>
      </c>
    </row>
    <row r="43" spans="1:26" s="27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59682.69</v>
      </c>
      <c r="E43" s="1"/>
      <c r="F43" s="5">
        <f t="shared" ref="F43:F53" si="21">IF(D$12=0,0,D43/D$12)</f>
        <v>0.15144957968799447</v>
      </c>
      <c r="G43" s="1"/>
      <c r="H43" s="1">
        <f>SUM(OSRRefH22_1x_0)</f>
        <v>68646.752352307696</v>
      </c>
      <c r="I43" s="1"/>
      <c r="J43" s="5">
        <f t="shared" ref="J43:J53" si="22">IF(H$12=0,0,H43/H$12)</f>
        <v>0.18510202624800179</v>
      </c>
      <c r="K43" s="1"/>
      <c r="L43" s="1">
        <f t="shared" ref="L43:L53" si="23">+D43-H43</f>
        <v>-8964.0623523076938</v>
      </c>
      <c r="M43" s="1"/>
      <c r="N43" s="5">
        <f t="shared" ref="N43:N53" si="24">IF(H43=0,0,L43/H43)</f>
        <v>-0.13058246814506949</v>
      </c>
      <c r="O43" s="13"/>
      <c r="P43" s="1">
        <f>SUM(OSRRefP22_1x_0)</f>
        <v>426673.19</v>
      </c>
      <c r="Q43" s="1"/>
      <c r="R43" s="5">
        <f t="shared" ref="R43:R53" si="25">IF(P$12=0,0,P43/P$12)</f>
        <v>0.19376092752349652</v>
      </c>
      <c r="S43" s="1"/>
      <c r="T43" s="1">
        <f>SUM(OSRRefT22_1x_0)</f>
        <v>451043.82204269234</v>
      </c>
      <c r="U43" s="1"/>
      <c r="V43" s="5">
        <f t="shared" ref="V43:V53" si="26">IF(T$12=0,0,T43/T$12)</f>
        <v>0.20714616146897841</v>
      </c>
      <c r="W43" s="1"/>
      <c r="X43" s="1">
        <f t="shared" ref="X43:X53" si="27">+P43-T43</f>
        <v>-24370.632042692334</v>
      </c>
      <c r="Y43" s="1"/>
      <c r="Z43" s="5">
        <f t="shared" ref="Z43:Z53" si="28">IF(T43=0,0,X43/T43)</f>
        <v>-5.4031628085099009E-2</v>
      </c>
    </row>
    <row r="44" spans="1:26" s="24" customFormat="1" hidden="1" outlineLevel="2" x14ac:dyDescent="0.25">
      <c r="A44" s="25"/>
      <c r="B44" s="11" t="str">
        <f>CONCATENATE("          ", "6001", " - ", "ADMINISTRATIVE SALARIES")</f>
        <v xml:space="preserve">          6001 - ADMINISTRATIVE SALARIES</v>
      </c>
      <c r="C44" s="11"/>
      <c r="D44" s="6"/>
      <c r="E44" s="2"/>
      <c r="F44" s="7">
        <f t="shared" si="21"/>
        <v>0</v>
      </c>
      <c r="G44" s="2"/>
      <c r="H44" s="6">
        <v>13189.7717923077</v>
      </c>
      <c r="I44" s="2"/>
      <c r="J44" s="7">
        <f t="shared" si="22"/>
        <v>3.5565462324785697E-2</v>
      </c>
      <c r="K44" s="2"/>
      <c r="L44" s="6">
        <f t="shared" si="23"/>
        <v>-13189.7717923077</v>
      </c>
      <c r="M44" s="2"/>
      <c r="N44" s="7">
        <f t="shared" si="24"/>
        <v>-1</v>
      </c>
      <c r="O44" s="11"/>
      <c r="P44" s="6"/>
      <c r="Q44" s="2"/>
      <c r="R44" s="7">
        <f t="shared" si="25"/>
        <v>0</v>
      </c>
      <c r="S44" s="2"/>
      <c r="T44" s="6">
        <v>112894.87753269236</v>
      </c>
      <c r="U44" s="2"/>
      <c r="V44" s="7">
        <f t="shared" si="26"/>
        <v>5.1848045328496087E-2</v>
      </c>
      <c r="W44" s="2"/>
      <c r="X44" s="6">
        <f t="shared" si="27"/>
        <v>-112894.87753269236</v>
      </c>
      <c r="Y44" s="2"/>
      <c r="Z44" s="7">
        <f t="shared" si="28"/>
        <v>-1</v>
      </c>
    </row>
    <row r="45" spans="1:26" s="24" customFormat="1" hidden="1" outlineLevel="2" x14ac:dyDescent="0.25">
      <c r="A45" s="25"/>
      <c r="B45" s="11" t="str">
        <f>CONCATENATE("          ", "6002", " - ", "STAFF SALARIES")</f>
        <v xml:space="preserve">          6002 - STAFF SALARIES</v>
      </c>
      <c r="C45" s="11"/>
      <c r="D45" s="6">
        <v>12748.66</v>
      </c>
      <c r="E45" s="2"/>
      <c r="F45" s="7">
        <f t="shared" si="21"/>
        <v>3.2350740199296436E-2</v>
      </c>
      <c r="G45" s="2"/>
      <c r="H45" s="6">
        <v>3559.68</v>
      </c>
      <c r="I45" s="2"/>
      <c r="J45" s="7">
        <f t="shared" si="22"/>
        <v>9.5984727349208189E-3</v>
      </c>
      <c r="K45" s="2"/>
      <c r="L45" s="6">
        <f t="shared" si="23"/>
        <v>9188.98</v>
      </c>
      <c r="M45" s="2"/>
      <c r="N45" s="7">
        <f t="shared" si="24"/>
        <v>2.5814061938151744</v>
      </c>
      <c r="O45" s="11"/>
      <c r="P45" s="6">
        <v>127470.45000000001</v>
      </c>
      <c r="Q45" s="2"/>
      <c r="R45" s="7">
        <f t="shared" si="25"/>
        <v>5.7886910175531513E-2</v>
      </c>
      <c r="S45" s="2"/>
      <c r="T45" s="6">
        <v>31147.200000000001</v>
      </c>
      <c r="U45" s="2"/>
      <c r="V45" s="7">
        <f t="shared" si="26"/>
        <v>1.4304647586761237E-2</v>
      </c>
      <c r="W45" s="2"/>
      <c r="X45" s="6">
        <f t="shared" si="27"/>
        <v>96323.250000000015</v>
      </c>
      <c r="Y45" s="2"/>
      <c r="Z45" s="7">
        <f t="shared" si="28"/>
        <v>3.0925171443982129</v>
      </c>
    </row>
    <row r="46" spans="1:26" s="24" customFormat="1" hidden="1" outlineLevel="2" x14ac:dyDescent="0.25">
      <c r="A46" s="25"/>
      <c r="B46" s="11" t="str">
        <f>CONCATENATE("          ", "6003", " - ", "STAFF HOURLY-9 MONTH")</f>
        <v xml:space="preserve">          6003 - STAFF HOURLY-9 MONTH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5"/>
      <c r="B47" s="11" t="str">
        <f>CONCATENATE("          ", "6004", " - ", "STAFF HOURLY")</f>
        <v xml:space="preserve">          6004 - STAFF HOURLY</v>
      </c>
      <c r="C47" s="11"/>
      <c r="D47" s="6"/>
      <c r="E47" s="2"/>
      <c r="F47" s="7">
        <f t="shared" si="21"/>
        <v>0</v>
      </c>
      <c r="G47" s="2"/>
      <c r="H47" s="6">
        <v>1792.2</v>
      </c>
      <c r="I47" s="2"/>
      <c r="J47" s="7">
        <f t="shared" si="22"/>
        <v>4.8325643977899955E-3</v>
      </c>
      <c r="K47" s="2"/>
      <c r="L47" s="6">
        <f t="shared" si="23"/>
        <v>-1792.2</v>
      </c>
      <c r="M47" s="2"/>
      <c r="N47" s="7">
        <f t="shared" si="24"/>
        <v>-1</v>
      </c>
      <c r="O47" s="11"/>
      <c r="P47" s="6">
        <v>254.64</v>
      </c>
      <c r="Q47" s="2"/>
      <c r="R47" s="7">
        <f t="shared" si="25"/>
        <v>1.156371755736121E-4</v>
      </c>
      <c r="S47" s="2"/>
      <c r="T47" s="6">
        <v>14492.1</v>
      </c>
      <c r="U47" s="2"/>
      <c r="V47" s="7">
        <f t="shared" si="26"/>
        <v>6.6556346410625205E-3</v>
      </c>
      <c r="W47" s="2"/>
      <c r="X47" s="6">
        <f t="shared" si="27"/>
        <v>-14237.460000000001</v>
      </c>
      <c r="Y47" s="2"/>
      <c r="Z47" s="7">
        <f t="shared" si="28"/>
        <v>-0.98242904755004457</v>
      </c>
    </row>
    <row r="48" spans="1:26" s="24" customFormat="1" hidden="1" outlineLevel="2" x14ac:dyDescent="0.25">
      <c r="A48" s="25"/>
      <c r="B48" s="11" t="str">
        <f>CONCATENATE("          ", "6005", " - ", "TEMPORARY WAGES-HOURLY")</f>
        <v xml:space="preserve">          6005 - TEMPORARY WAGES-HOURLY</v>
      </c>
      <c r="C48" s="11"/>
      <c r="D48" s="6">
        <v>10240.07</v>
      </c>
      <c r="E48" s="2"/>
      <c r="F48" s="7">
        <f t="shared" si="21"/>
        <v>2.5984993261457239E-2</v>
      </c>
      <c r="G48" s="2"/>
      <c r="H48" s="6">
        <v>1638.2911999999999</v>
      </c>
      <c r="I48" s="2"/>
      <c r="J48" s="7">
        <f t="shared" si="22"/>
        <v>4.4175581555254148E-3</v>
      </c>
      <c r="K48" s="2"/>
      <c r="L48" s="6">
        <f t="shared" si="23"/>
        <v>8601.7788</v>
      </c>
      <c r="M48" s="2"/>
      <c r="N48" s="7">
        <f t="shared" si="24"/>
        <v>5.250457794072263</v>
      </c>
      <c r="O48" s="11"/>
      <c r="P48" s="6">
        <v>56818.460000000006</v>
      </c>
      <c r="Q48" s="2"/>
      <c r="R48" s="7">
        <f t="shared" si="25"/>
        <v>2.5802412169503051E-2</v>
      </c>
      <c r="S48" s="2"/>
      <c r="T48" s="6">
        <v>9985.1023999999998</v>
      </c>
      <c r="U48" s="2"/>
      <c r="V48" s="7">
        <f t="shared" si="26"/>
        <v>4.5857531639994552E-3</v>
      </c>
      <c r="W48" s="2"/>
      <c r="X48" s="6">
        <f t="shared" si="27"/>
        <v>46833.357600000003</v>
      </c>
      <c r="Y48" s="2"/>
      <c r="Z48" s="7">
        <f t="shared" si="28"/>
        <v>4.690323215914141</v>
      </c>
    </row>
    <row r="49" spans="1:26" s="24" customFormat="1" hidden="1" outlineLevel="2" x14ac:dyDescent="0.25">
      <c r="A49" s="25"/>
      <c r="B49" s="11" t="str">
        <f>CONCATENATE("          ", "6006", " - ", "TEMPORARY PART TIME")</f>
        <v xml:space="preserve">          6006 - TEMPORARY PART TIME</v>
      </c>
      <c r="C49" s="11"/>
      <c r="D49" s="6">
        <v>3404.69</v>
      </c>
      <c r="E49" s="2"/>
      <c r="F49" s="7">
        <f t="shared" si="21"/>
        <v>8.6396720635064858E-3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3404.69</v>
      </c>
      <c r="M49" s="2"/>
      <c r="N49" s="7">
        <f t="shared" si="24"/>
        <v>0</v>
      </c>
      <c r="O49" s="11"/>
      <c r="P49" s="6">
        <v>14040.68</v>
      </c>
      <c r="Q49" s="2"/>
      <c r="R49" s="7">
        <f t="shared" si="25"/>
        <v>6.3761568423378262E-3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14040.68</v>
      </c>
      <c r="Y49" s="2"/>
      <c r="Z49" s="7">
        <f t="shared" si="28"/>
        <v>0</v>
      </c>
    </row>
    <row r="50" spans="1:26" s="24" customFormat="1" hidden="1" outlineLevel="2" x14ac:dyDescent="0.25">
      <c r="A50" s="25"/>
      <c r="B50" s="11" t="str">
        <f>CONCATENATE("          ", "6007", " - ", "STUDENT HOURLY")</f>
        <v xml:space="preserve">          6007 - STUDENT HOURLY</v>
      </c>
      <c r="C50" s="11"/>
      <c r="D50" s="6">
        <v>32443.88</v>
      </c>
      <c r="E50" s="2"/>
      <c r="F50" s="7">
        <f t="shared" si="21"/>
        <v>8.2328929702192202E-2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32443.88</v>
      </c>
      <c r="M50" s="2"/>
      <c r="N50" s="7">
        <f t="shared" si="24"/>
        <v>0</v>
      </c>
      <c r="O50" s="11"/>
      <c r="P50" s="6">
        <v>218260.03</v>
      </c>
      <c r="Q50" s="2"/>
      <c r="R50" s="7">
        <f t="shared" si="25"/>
        <v>9.9116295200329274E-2</v>
      </c>
      <c r="S50" s="2"/>
      <c r="T50" s="6">
        <v>14410.143749999999</v>
      </c>
      <c r="U50" s="2"/>
      <c r="V50" s="7">
        <f t="shared" si="26"/>
        <v>6.6179954544331437E-3</v>
      </c>
      <c r="W50" s="2"/>
      <c r="X50" s="6">
        <f t="shared" si="27"/>
        <v>203849.88625000001</v>
      </c>
      <c r="Y50" s="2"/>
      <c r="Z50" s="7">
        <f t="shared" si="28"/>
        <v>14.146277079990963</v>
      </c>
    </row>
    <row r="51" spans="1:26" s="24" customFormat="1" hidden="1" outlineLevel="2" x14ac:dyDescent="0.25">
      <c r="A51" s="25"/>
      <c r="B51" s="11" t="str">
        <f>CONCATENATE("          ", "6008", " - ", "STUDENT HOURLY-FICA EXEMPT")</f>
        <v xml:space="preserve">          6008 - STUDENT HOURLY-FICA EXEMPT</v>
      </c>
      <c r="C51" s="11"/>
      <c r="D51" s="6">
        <v>845.39</v>
      </c>
      <c r="E51" s="2"/>
      <c r="F51" s="7">
        <f t="shared" si="21"/>
        <v>2.1452444615420924E-3</v>
      </c>
      <c r="G51" s="2"/>
      <c r="H51" s="6">
        <v>48466.809359999999</v>
      </c>
      <c r="I51" s="2"/>
      <c r="J51" s="7">
        <f t="shared" si="22"/>
        <v>0.13068796863497986</v>
      </c>
      <c r="K51" s="2"/>
      <c r="L51" s="6">
        <f t="shared" si="23"/>
        <v>-47621.41936</v>
      </c>
      <c r="M51" s="2"/>
      <c r="N51" s="7">
        <f t="shared" si="24"/>
        <v>-0.98255734158771124</v>
      </c>
      <c r="O51" s="11"/>
      <c r="P51" s="6">
        <v>9828.93</v>
      </c>
      <c r="Q51" s="2"/>
      <c r="R51" s="7">
        <f t="shared" si="25"/>
        <v>4.4635159602212666E-3</v>
      </c>
      <c r="S51" s="2"/>
      <c r="T51" s="6">
        <v>268114.39835999999</v>
      </c>
      <c r="U51" s="2"/>
      <c r="V51" s="7">
        <f t="shared" si="26"/>
        <v>0.12313408529422597</v>
      </c>
      <c r="W51" s="2"/>
      <c r="X51" s="6">
        <f t="shared" si="27"/>
        <v>-258285.46836</v>
      </c>
      <c r="Y51" s="2"/>
      <c r="Z51" s="7">
        <f t="shared" si="28"/>
        <v>-0.96334053650187568</v>
      </c>
    </row>
    <row r="52" spans="1:26" s="24" customFormat="1" hidden="1" outlineLevel="2" x14ac:dyDescent="0.25">
      <c r="A52" s="25"/>
      <c r="B52" s="11" t="str">
        <f>CONCATENATE("          ", "6009", " - ", "TEMPORARY-SEASONAL")</f>
        <v xml:space="preserve">          6009 - TEMPORARY-SEASONAL</v>
      </c>
      <c r="C52" s="11"/>
      <c r="D52" s="6"/>
      <c r="E52" s="2"/>
      <c r="F52" s="7">
        <f t="shared" si="21"/>
        <v>0</v>
      </c>
      <c r="G52" s="2"/>
      <c r="H52" s="6">
        <v>0</v>
      </c>
      <c r="I52" s="2"/>
      <c r="J52" s="7">
        <f t="shared" si="22"/>
        <v>0</v>
      </c>
      <c r="K52" s="2"/>
      <c r="L52" s="6">
        <f t="shared" si="23"/>
        <v>0</v>
      </c>
      <c r="M52" s="2"/>
      <c r="N52" s="7">
        <f t="shared" si="24"/>
        <v>0</v>
      </c>
      <c r="O52" s="11"/>
      <c r="P52" s="6"/>
      <c r="Q52" s="2"/>
      <c r="R52" s="7">
        <f t="shared" si="25"/>
        <v>0</v>
      </c>
      <c r="S52" s="2"/>
      <c r="T52" s="6">
        <v>0</v>
      </c>
      <c r="U52" s="2"/>
      <c r="V52" s="7">
        <f t="shared" si="26"/>
        <v>0</v>
      </c>
      <c r="W52" s="2"/>
      <c r="X52" s="6">
        <f t="shared" si="27"/>
        <v>0</v>
      </c>
      <c r="Y52" s="2"/>
      <c r="Z52" s="7">
        <f t="shared" si="28"/>
        <v>0</v>
      </c>
    </row>
    <row r="53" spans="1:26" s="24" customFormat="1" hidden="1" outlineLevel="2" x14ac:dyDescent="0.25">
      <c r="A53" s="25"/>
      <c r="B53" s="11" t="str">
        <f>CONCATENATE("          ", "6010", " - ", "GRATUITY")</f>
        <v xml:space="preserve">          6010 - GRATUITY</v>
      </c>
      <c r="C53" s="11"/>
      <c r="D53" s="6"/>
      <c r="E53" s="2"/>
      <c r="F53" s="7">
        <f t="shared" si="21"/>
        <v>0</v>
      </c>
      <c r="G53" s="2"/>
      <c r="H53" s="6">
        <v>0</v>
      </c>
      <c r="I53" s="2"/>
      <c r="J53" s="7">
        <f t="shared" si="22"/>
        <v>0</v>
      </c>
      <c r="K53" s="2"/>
      <c r="L53" s="6">
        <f t="shared" si="23"/>
        <v>0</v>
      </c>
      <c r="M53" s="2"/>
      <c r="N53" s="7">
        <f t="shared" si="24"/>
        <v>0</v>
      </c>
      <c r="O53" s="11"/>
      <c r="P53" s="6"/>
      <c r="Q53" s="2"/>
      <c r="R53" s="7">
        <f t="shared" si="25"/>
        <v>0</v>
      </c>
      <c r="S53" s="2"/>
      <c r="T53" s="6">
        <v>0</v>
      </c>
      <c r="U53" s="2"/>
      <c r="V53" s="7">
        <f t="shared" si="26"/>
        <v>0</v>
      </c>
      <c r="W53" s="2"/>
      <c r="X53" s="6">
        <f t="shared" si="27"/>
        <v>0</v>
      </c>
      <c r="Y53" s="2"/>
      <c r="Z53" s="7">
        <f t="shared" si="28"/>
        <v>0</v>
      </c>
    </row>
    <row r="54" spans="1:26" s="27" customFormat="1" outlineLevel="1" collapsed="1" x14ac:dyDescent="0.25">
      <c r="A54" s="26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512.32000000000005</v>
      </c>
      <c r="E54" s="1"/>
      <c r="F54" s="5">
        <f t="shared" ref="F54:F63" si="29">IF(D$12=0,0,D54/D$12)</f>
        <v>1.300052807032547E-3</v>
      </c>
      <c r="G54" s="1"/>
      <c r="H54" s="1">
        <f>SUM(OSRRefH22_2x_0)</f>
        <v>150</v>
      </c>
      <c r="I54" s="1"/>
      <c r="J54" s="5">
        <f t="shared" ref="J54:J63" si="30">IF(H$12=0,0,H54/H$12)</f>
        <v>4.0446638749497786E-4</v>
      </c>
      <c r="K54" s="1"/>
      <c r="L54" s="1">
        <f t="shared" ref="L54:L63" si="31">+D54-H54</f>
        <v>362.32000000000005</v>
      </c>
      <c r="M54" s="1"/>
      <c r="N54" s="5">
        <f t="shared" ref="N54:N63" si="32">IF(H54=0,0,L54/H54)</f>
        <v>2.4154666666666671</v>
      </c>
      <c r="O54" s="13"/>
      <c r="P54" s="1">
        <f>SUM(OSRRefP22_2x_0)</f>
        <v>3526.3</v>
      </c>
      <c r="Q54" s="1"/>
      <c r="R54" s="5">
        <f t="shared" ref="R54:R63" si="33">IF(P$12=0,0,P54/P$12)</f>
        <v>1.6013641699074315E-3</v>
      </c>
      <c r="S54" s="1"/>
      <c r="T54" s="1">
        <f>SUM(OSRRefT22_2x_0)</f>
        <v>975</v>
      </c>
      <c r="U54" s="1"/>
      <c r="V54" s="5">
        <f t="shared" ref="V54:V63" si="34">IF(T$12=0,0,T54/T$12)</f>
        <v>4.4777801526596955E-4</v>
      </c>
      <c r="W54" s="1"/>
      <c r="X54" s="1">
        <f t="shared" ref="X54:X63" si="35">+P54-T54</f>
        <v>2551.3000000000002</v>
      </c>
      <c r="Y54" s="1"/>
      <c r="Z54" s="5">
        <f t="shared" ref="Z54:Z63" si="36">IF(T54=0,0,X54/T54)</f>
        <v>2.616717948717949</v>
      </c>
    </row>
    <row r="55" spans="1:26" s="24" customFormat="1" hidden="1" outlineLevel="2" x14ac:dyDescent="0.25">
      <c r="A55" s="25"/>
      <c r="B55" s="11" t="str">
        <f>CONCATENATE("          ", "6362", " - ", "ADVERTISING EXPENSE")</f>
        <v xml:space="preserve">          6362 - ADVERTISING EXPENSE</v>
      </c>
      <c r="C55" s="11"/>
      <c r="D55" s="6">
        <v>512.32000000000005</v>
      </c>
      <c r="E55" s="2"/>
      <c r="F55" s="7">
        <f t="shared" si="29"/>
        <v>1.300052807032547E-3</v>
      </c>
      <c r="G55" s="2"/>
      <c r="H55" s="6">
        <v>150</v>
      </c>
      <c r="I55" s="2"/>
      <c r="J55" s="7">
        <f t="shared" si="30"/>
        <v>4.0446638749497786E-4</v>
      </c>
      <c r="K55" s="2"/>
      <c r="L55" s="6">
        <f t="shared" si="31"/>
        <v>362.32000000000005</v>
      </c>
      <c r="M55" s="2"/>
      <c r="N55" s="7">
        <f t="shared" si="32"/>
        <v>2.4154666666666671</v>
      </c>
      <c r="O55" s="11"/>
      <c r="P55" s="6">
        <v>3526.3</v>
      </c>
      <c r="Q55" s="2"/>
      <c r="R55" s="7">
        <f t="shared" si="33"/>
        <v>1.6013641699074315E-3</v>
      </c>
      <c r="S55" s="2"/>
      <c r="T55" s="6">
        <v>975</v>
      </c>
      <c r="U55" s="2"/>
      <c r="V55" s="7">
        <f t="shared" si="34"/>
        <v>4.4777801526596955E-4</v>
      </c>
      <c r="W55" s="2"/>
      <c r="X55" s="6">
        <f t="shared" si="35"/>
        <v>2551.3000000000002</v>
      </c>
      <c r="Y55" s="2"/>
      <c r="Z55" s="7">
        <f t="shared" si="36"/>
        <v>2.616717948717949</v>
      </c>
    </row>
    <row r="56" spans="1:26" s="27" customFormat="1" outlineLevel="1" collapsed="1" x14ac:dyDescent="0.25">
      <c r="A56" s="26"/>
      <c r="B56" s="13" t="str">
        <f>CONCATENATE("     ","Bad Debts/Over/Short                              ")</f>
        <v xml:space="preserve">     Bad Debts/Over/Short                              </v>
      </c>
      <c r="C56" s="13"/>
      <c r="D56" s="1">
        <f>SUM(OSRRefD22_3x_0)</f>
        <v>-68.75</v>
      </c>
      <c r="E56" s="1"/>
      <c r="F56" s="5">
        <f t="shared" si="29"/>
        <v>-1.7445860103741334E-4</v>
      </c>
      <c r="G56" s="1"/>
      <c r="H56" s="1">
        <f>SUM(OSRRefH22_3x_0)</f>
        <v>10</v>
      </c>
      <c r="I56" s="1"/>
      <c r="J56" s="5">
        <f t="shared" si="30"/>
        <v>2.6964425832998527E-5</v>
      </c>
      <c r="K56" s="1"/>
      <c r="L56" s="1">
        <f t="shared" si="31"/>
        <v>-78.75</v>
      </c>
      <c r="M56" s="1"/>
      <c r="N56" s="5">
        <f t="shared" si="32"/>
        <v>-7.875</v>
      </c>
      <c r="O56" s="13"/>
      <c r="P56" s="1">
        <f>SUM(OSRRefP22_3x_0)</f>
        <v>-387.07</v>
      </c>
      <c r="Q56" s="1"/>
      <c r="R56" s="5">
        <f t="shared" si="33"/>
        <v>-1.7577631773986035E-4</v>
      </c>
      <c r="S56" s="1"/>
      <c r="T56" s="1">
        <f>SUM(OSRRefT22_3x_0)</f>
        <v>80</v>
      </c>
      <c r="U56" s="1"/>
      <c r="V56" s="5">
        <f t="shared" si="34"/>
        <v>3.6740760226951348E-5</v>
      </c>
      <c r="W56" s="1"/>
      <c r="X56" s="1">
        <f t="shared" si="35"/>
        <v>-467.07</v>
      </c>
      <c r="Y56" s="1"/>
      <c r="Z56" s="5">
        <f t="shared" si="36"/>
        <v>-5.8383750000000001</v>
      </c>
    </row>
    <row r="57" spans="1:26" s="24" customFormat="1" hidden="1" outlineLevel="2" x14ac:dyDescent="0.25">
      <c r="A57" s="25"/>
      <c r="B57" s="11" t="str">
        <f>CONCATENATE("          ", "6272", " - ", "CASH (OVER/SHORT)")</f>
        <v xml:space="preserve">          6272 - CASH (OVER/SHORT)</v>
      </c>
      <c r="C57" s="11"/>
      <c r="D57" s="6">
        <v>-68.75</v>
      </c>
      <c r="E57" s="2"/>
      <c r="F57" s="7">
        <f t="shared" si="29"/>
        <v>-1.7445860103741334E-4</v>
      </c>
      <c r="G57" s="2"/>
      <c r="H57" s="6">
        <v>10</v>
      </c>
      <c r="I57" s="2"/>
      <c r="J57" s="7">
        <f t="shared" si="30"/>
        <v>2.6964425832998527E-5</v>
      </c>
      <c r="K57" s="2"/>
      <c r="L57" s="6">
        <f t="shared" si="31"/>
        <v>-78.75</v>
      </c>
      <c r="M57" s="2"/>
      <c r="N57" s="7">
        <f t="shared" si="32"/>
        <v>-7.875</v>
      </c>
      <c r="O57" s="11"/>
      <c r="P57" s="6">
        <v>-387.07</v>
      </c>
      <c r="Q57" s="2"/>
      <c r="R57" s="7">
        <f t="shared" si="33"/>
        <v>-1.7577631773986035E-4</v>
      </c>
      <c r="S57" s="2"/>
      <c r="T57" s="6">
        <v>80</v>
      </c>
      <c r="U57" s="2"/>
      <c r="V57" s="7">
        <f t="shared" si="34"/>
        <v>3.6740760226951348E-5</v>
      </c>
      <c r="W57" s="2"/>
      <c r="X57" s="6">
        <f t="shared" si="35"/>
        <v>-467.07</v>
      </c>
      <c r="Y57" s="2"/>
      <c r="Z57" s="7">
        <f t="shared" si="36"/>
        <v>-5.8383750000000001</v>
      </c>
    </row>
    <row r="58" spans="1:26" s="27" customFormat="1" outlineLevel="1" collapsed="1" x14ac:dyDescent="0.25">
      <c r="A58" s="26"/>
      <c r="B58" s="13" t="str">
        <f>CONCATENATE("     ","Bank/card Fees                                    ")</f>
        <v xml:space="preserve">     Bank/card Fees                                    </v>
      </c>
      <c r="C58" s="13"/>
      <c r="D58" s="1">
        <f>SUM(OSRRefD22_4x_0)</f>
        <v>16365.38</v>
      </c>
      <c r="E58" s="1"/>
      <c r="F58" s="5">
        <f t="shared" si="29"/>
        <v>4.1528455276300558E-2</v>
      </c>
      <c r="G58" s="1"/>
      <c r="H58" s="1">
        <f>SUM(OSRRefH22_4x_0)</f>
        <v>11989</v>
      </c>
      <c r="I58" s="1"/>
      <c r="J58" s="5">
        <f t="shared" si="30"/>
        <v>3.2327650131181933E-2</v>
      </c>
      <c r="K58" s="1"/>
      <c r="L58" s="1">
        <f t="shared" si="31"/>
        <v>4376.3799999999992</v>
      </c>
      <c r="M58" s="1"/>
      <c r="N58" s="5">
        <f t="shared" si="32"/>
        <v>0.36503294686796223</v>
      </c>
      <c r="O58" s="13"/>
      <c r="P58" s="1">
        <f>SUM(OSRRefP22_4x_0)</f>
        <v>80519.539999999994</v>
      </c>
      <c r="Q58" s="1"/>
      <c r="R58" s="5">
        <f t="shared" si="33"/>
        <v>3.6565552089563629E-2</v>
      </c>
      <c r="S58" s="1"/>
      <c r="T58" s="1">
        <f>SUM(OSRRefT22_4x_0)</f>
        <v>69568</v>
      </c>
      <c r="U58" s="1"/>
      <c r="V58" s="5">
        <f t="shared" si="34"/>
        <v>3.194976509335689E-2</v>
      </c>
      <c r="W58" s="1"/>
      <c r="X58" s="1">
        <f t="shared" si="35"/>
        <v>10951.539999999994</v>
      </c>
      <c r="Y58" s="1"/>
      <c r="Z58" s="5">
        <f t="shared" si="36"/>
        <v>0.15742209061637524</v>
      </c>
    </row>
    <row r="59" spans="1:26" s="24" customFormat="1" hidden="1" outlineLevel="2" x14ac:dyDescent="0.25">
      <c r="A59" s="25"/>
      <c r="B59" s="11" t="str">
        <f>CONCATENATE("          ", "6381", " - ", "BANK/CREDIT CARD FEES")</f>
        <v xml:space="preserve">          6381 - BANK/CREDIT CARD FEES</v>
      </c>
      <c r="C59" s="11"/>
      <c r="D59" s="6">
        <v>16365.38</v>
      </c>
      <c r="E59" s="2"/>
      <c r="F59" s="7">
        <f t="shared" si="29"/>
        <v>4.1528455276300558E-2</v>
      </c>
      <c r="G59" s="2"/>
      <c r="H59" s="6">
        <v>11989</v>
      </c>
      <c r="I59" s="2"/>
      <c r="J59" s="7">
        <f t="shared" si="30"/>
        <v>3.2327650131181933E-2</v>
      </c>
      <c r="K59" s="2"/>
      <c r="L59" s="6">
        <f t="shared" si="31"/>
        <v>4376.3799999999992</v>
      </c>
      <c r="M59" s="2"/>
      <c r="N59" s="7">
        <f t="shared" si="32"/>
        <v>0.36503294686796223</v>
      </c>
      <c r="O59" s="11"/>
      <c r="P59" s="6">
        <v>80519.539999999994</v>
      </c>
      <c r="Q59" s="2"/>
      <c r="R59" s="7">
        <f t="shared" si="33"/>
        <v>3.6565552089563629E-2</v>
      </c>
      <c r="S59" s="2"/>
      <c r="T59" s="6">
        <v>69568</v>
      </c>
      <c r="U59" s="2"/>
      <c r="V59" s="7">
        <f t="shared" si="34"/>
        <v>3.194976509335689E-2</v>
      </c>
      <c r="W59" s="2"/>
      <c r="X59" s="6">
        <f t="shared" si="35"/>
        <v>10951.539999999994</v>
      </c>
      <c r="Y59" s="2"/>
      <c r="Z59" s="7">
        <f t="shared" si="36"/>
        <v>0.15742209061637524</v>
      </c>
    </row>
    <row r="60" spans="1:26" s="27" customFormat="1" outlineLevel="1" collapsed="1" x14ac:dyDescent="0.25">
      <c r="A60" s="26"/>
      <c r="B60" s="13" t="str">
        <f>CONCATENATE("     ","Depreciation                                      ")</f>
        <v xml:space="preserve">     Depreciation                                      </v>
      </c>
      <c r="C60" s="13"/>
      <c r="D60" s="1">
        <f>SUM(OSRRefD22_5x_0)</f>
        <v>8546.9</v>
      </c>
      <c r="E60" s="1"/>
      <c r="F60" s="5">
        <f t="shared" si="29"/>
        <v>2.168843952300608E-2</v>
      </c>
      <c r="G60" s="1"/>
      <c r="H60" s="1">
        <f>SUM(OSRRefH22_5x_0)</f>
        <v>9234</v>
      </c>
      <c r="I60" s="1"/>
      <c r="J60" s="5">
        <f t="shared" si="30"/>
        <v>2.4898950814190839E-2</v>
      </c>
      <c r="K60" s="1"/>
      <c r="L60" s="1">
        <f t="shared" si="31"/>
        <v>-687.10000000000036</v>
      </c>
      <c r="M60" s="1"/>
      <c r="N60" s="5">
        <f t="shared" si="32"/>
        <v>-7.4409789906865975E-2</v>
      </c>
      <c r="O60" s="13"/>
      <c r="P60" s="1">
        <f>SUM(OSRRefP22_5x_0)</f>
        <v>67658.100000000006</v>
      </c>
      <c r="Q60" s="1"/>
      <c r="R60" s="5">
        <f t="shared" si="33"/>
        <v>3.0724911988206902E-2</v>
      </c>
      <c r="S60" s="1"/>
      <c r="T60" s="1">
        <f>SUM(OSRRefT22_5x_0)</f>
        <v>71118</v>
      </c>
      <c r="U60" s="1"/>
      <c r="V60" s="5">
        <f t="shared" si="34"/>
        <v>3.266161732275407E-2</v>
      </c>
      <c r="W60" s="1"/>
      <c r="X60" s="1">
        <f t="shared" si="35"/>
        <v>-3459.8999999999942</v>
      </c>
      <c r="Y60" s="1"/>
      <c r="Z60" s="5">
        <f t="shared" si="36"/>
        <v>-4.8650130768581712E-2</v>
      </c>
    </row>
    <row r="61" spans="1:26" s="24" customFormat="1" hidden="1" outlineLevel="2" x14ac:dyDescent="0.25">
      <c r="A61" s="25"/>
      <c r="B61" s="11" t="str">
        <f>CONCATENATE("          ", "6321", " - ", "BUILDING DEPRECIATION")</f>
        <v xml:space="preserve">          6321 - BUILDING DEPRECIATION</v>
      </c>
      <c r="C61" s="11"/>
      <c r="D61" s="6">
        <v>5080.51</v>
      </c>
      <c r="E61" s="2"/>
      <c r="F61" s="7">
        <f t="shared" si="29"/>
        <v>1.2892198795004929E-2</v>
      </c>
      <c r="G61" s="2"/>
      <c r="H61" s="6">
        <v>5081</v>
      </c>
      <c r="I61" s="2"/>
      <c r="J61" s="7">
        <f t="shared" si="30"/>
        <v>1.3700624765746551E-2</v>
      </c>
      <c r="K61" s="2"/>
      <c r="L61" s="6">
        <f t="shared" si="31"/>
        <v>-0.48999999999978172</v>
      </c>
      <c r="M61" s="2"/>
      <c r="N61" s="7">
        <f t="shared" si="32"/>
        <v>-9.6437709112336489E-5</v>
      </c>
      <c r="O61" s="11"/>
      <c r="P61" s="6">
        <v>40644.080000000002</v>
      </c>
      <c r="Q61" s="2"/>
      <c r="R61" s="7">
        <f t="shared" si="33"/>
        <v>1.8457298990684639E-2</v>
      </c>
      <c r="S61" s="2"/>
      <c r="T61" s="6">
        <v>40648</v>
      </c>
      <c r="U61" s="2"/>
      <c r="V61" s="7">
        <f t="shared" si="34"/>
        <v>1.8667980271313979E-2</v>
      </c>
      <c r="W61" s="2"/>
      <c r="X61" s="6">
        <f t="shared" si="35"/>
        <v>-3.9199999999982538</v>
      </c>
      <c r="Y61" s="2"/>
      <c r="Z61" s="7">
        <f t="shared" si="36"/>
        <v>-9.6437709112336489E-5</v>
      </c>
    </row>
    <row r="62" spans="1:26" s="24" customFormat="1" hidden="1" outlineLevel="2" x14ac:dyDescent="0.25">
      <c r="A62" s="25"/>
      <c r="B62" s="11" t="str">
        <f>CONCATENATE("          ", "6322", " - ", "EQUIPMENT DEPRECIATION EXPENSE")</f>
        <v xml:space="preserve">          6322 - EQUIPMENT DEPRECIATION EXPENSE</v>
      </c>
      <c r="C62" s="11"/>
      <c r="D62" s="6">
        <v>3466.39</v>
      </c>
      <c r="E62" s="2"/>
      <c r="F62" s="7">
        <f t="shared" si="29"/>
        <v>8.7962407280011527E-3</v>
      </c>
      <c r="G62" s="2"/>
      <c r="H62" s="6">
        <v>3175</v>
      </c>
      <c r="I62" s="2"/>
      <c r="J62" s="7">
        <f t="shared" si="30"/>
        <v>8.5612052019770311E-3</v>
      </c>
      <c r="K62" s="2"/>
      <c r="L62" s="6">
        <f t="shared" si="31"/>
        <v>291.38999999999987</v>
      </c>
      <c r="M62" s="2"/>
      <c r="N62" s="7">
        <f t="shared" si="32"/>
        <v>9.1776377952755867E-2</v>
      </c>
      <c r="O62" s="11"/>
      <c r="P62" s="6">
        <v>27014.02</v>
      </c>
      <c r="Q62" s="2"/>
      <c r="R62" s="7">
        <f t="shared" si="33"/>
        <v>1.2267612997522262E-2</v>
      </c>
      <c r="S62" s="2"/>
      <c r="T62" s="6">
        <v>25400</v>
      </c>
      <c r="U62" s="2"/>
      <c r="V62" s="7">
        <f t="shared" si="34"/>
        <v>1.1665191372057052E-2</v>
      </c>
      <c r="W62" s="2"/>
      <c r="X62" s="6">
        <f t="shared" si="35"/>
        <v>1614.0200000000004</v>
      </c>
      <c r="Y62" s="2"/>
      <c r="Z62" s="7">
        <f t="shared" si="36"/>
        <v>6.3544094488188999E-2</v>
      </c>
    </row>
    <row r="63" spans="1:26" s="24" customFormat="1" hidden="1" outlineLevel="2" x14ac:dyDescent="0.25">
      <c r="A63" s="25"/>
      <c r="B63" s="11" t="str">
        <f>CONCATENATE("          ", "6324", " - ", "FURNITURE + FIXT DEPRECIATION")</f>
        <v xml:space="preserve">          6324 - FURNITURE + FIXT DEPRECIATION</v>
      </c>
      <c r="C63" s="11"/>
      <c r="D63" s="6"/>
      <c r="E63" s="2"/>
      <c r="F63" s="7">
        <f t="shared" si="29"/>
        <v>0</v>
      </c>
      <c r="G63" s="2"/>
      <c r="H63" s="6">
        <v>978</v>
      </c>
      <c r="I63" s="2"/>
      <c r="J63" s="7">
        <f t="shared" si="30"/>
        <v>2.6371208464672558E-3</v>
      </c>
      <c r="K63" s="2"/>
      <c r="L63" s="6">
        <f t="shared" si="31"/>
        <v>-978</v>
      </c>
      <c r="M63" s="2"/>
      <c r="N63" s="7">
        <f t="shared" si="32"/>
        <v>-1</v>
      </c>
      <c r="O63" s="11"/>
      <c r="P63" s="6"/>
      <c r="Q63" s="2"/>
      <c r="R63" s="7">
        <f t="shared" si="33"/>
        <v>0</v>
      </c>
      <c r="S63" s="2"/>
      <c r="T63" s="6">
        <v>5070</v>
      </c>
      <c r="U63" s="2"/>
      <c r="V63" s="7">
        <f t="shared" si="34"/>
        <v>2.3284456793830417E-3</v>
      </c>
      <c r="W63" s="2"/>
      <c r="X63" s="6">
        <f t="shared" si="35"/>
        <v>-5070</v>
      </c>
      <c r="Y63" s="2"/>
      <c r="Z63" s="7">
        <f t="shared" si="36"/>
        <v>-1</v>
      </c>
    </row>
    <row r="64" spans="1:26" s="27" customFormat="1" outlineLevel="1" collapsed="1" x14ac:dyDescent="0.25">
      <c r="A64" s="26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SUM(OSRRefD22_6x_0)</f>
        <v>11.81</v>
      </c>
      <c r="E64" s="1"/>
      <c r="F64" s="5">
        <f t="shared" ref="F64:F85" si="37">IF(D$12=0,0,D64/D$12)</f>
        <v>2.9968815683663298E-5</v>
      </c>
      <c r="G64" s="1"/>
      <c r="H64" s="1">
        <f>SUM(OSRRefH22_6x_0)</f>
        <v>0</v>
      </c>
      <c r="I64" s="1"/>
      <c r="J64" s="5">
        <f t="shared" ref="J64:J85" si="38">IF(H$12=0,0,H64/H$12)</f>
        <v>0</v>
      </c>
      <c r="K64" s="1"/>
      <c r="L64" s="1">
        <f t="shared" ref="L64:L85" si="39">+D64-H64</f>
        <v>11.81</v>
      </c>
      <c r="M64" s="1"/>
      <c r="N64" s="5">
        <f t="shared" ref="N64:N85" si="40">IF(H64=0,0,L64/H64)</f>
        <v>0</v>
      </c>
      <c r="O64" s="13"/>
      <c r="P64" s="1">
        <f>SUM(OSRRefP22_6x_0)</f>
        <v>119.96</v>
      </c>
      <c r="Q64" s="1"/>
      <c r="R64" s="5">
        <f t="shared" ref="R64:R85" si="41">IF(P$12=0,0,P64/P$12)</f>
        <v>5.4476262888040009E-5</v>
      </c>
      <c r="S64" s="1"/>
      <c r="T64" s="1">
        <f>SUM(OSRRefT22_6x_0)</f>
        <v>0</v>
      </c>
      <c r="U64" s="1"/>
      <c r="V64" s="5">
        <f t="shared" ref="V64:V85" si="42">IF(T$12=0,0,T64/T$12)</f>
        <v>0</v>
      </c>
      <c r="W64" s="1"/>
      <c r="X64" s="1">
        <f t="shared" ref="X64:X85" si="43">+P64-T64</f>
        <v>119.96</v>
      </c>
      <c r="Y64" s="1"/>
      <c r="Z64" s="5">
        <f t="shared" ref="Z64:Z85" si="44">IF(T64=0,0,X64/T64)</f>
        <v>0</v>
      </c>
    </row>
    <row r="65" spans="1:26" s="24" customFormat="1" hidden="1" outlineLevel="2" x14ac:dyDescent="0.25">
      <c r="A65" s="25"/>
      <c r="B65" s="11" t="str">
        <f>CONCATENATE("          ", "6382", " - ", "DISCOUNTS/MARK DOWNS")</f>
        <v xml:space="preserve">          6382 - DISCOUNTS/MARK DOWNS</v>
      </c>
      <c r="C65" s="11"/>
      <c r="D65" s="6">
        <v>11.81</v>
      </c>
      <c r="E65" s="2"/>
      <c r="F65" s="7">
        <f t="shared" si="37"/>
        <v>2.9968815683663298E-5</v>
      </c>
      <c r="G65" s="2"/>
      <c r="H65" s="6"/>
      <c r="I65" s="2"/>
      <c r="J65" s="7">
        <f t="shared" si="38"/>
        <v>0</v>
      </c>
      <c r="K65" s="2"/>
      <c r="L65" s="6">
        <f t="shared" si="39"/>
        <v>11.81</v>
      </c>
      <c r="M65" s="2"/>
      <c r="N65" s="7">
        <f t="shared" si="40"/>
        <v>0</v>
      </c>
      <c r="O65" s="11"/>
      <c r="P65" s="6">
        <v>119.96</v>
      </c>
      <c r="Q65" s="2"/>
      <c r="R65" s="7">
        <f t="shared" si="41"/>
        <v>5.4476262888040009E-5</v>
      </c>
      <c r="S65" s="2"/>
      <c r="T65" s="6"/>
      <c r="U65" s="2"/>
      <c r="V65" s="7">
        <f t="shared" si="42"/>
        <v>0</v>
      </c>
      <c r="W65" s="2"/>
      <c r="X65" s="6">
        <f t="shared" si="43"/>
        <v>119.96</v>
      </c>
      <c r="Y65" s="2"/>
      <c r="Z65" s="7">
        <f t="shared" si="44"/>
        <v>0</v>
      </c>
    </row>
    <row r="66" spans="1:26" s="27" customFormat="1" outlineLevel="1" collapsed="1" x14ac:dyDescent="0.25">
      <c r="A66" s="26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SUM(OSRRefD22_7x_0)</f>
        <v>0</v>
      </c>
      <c r="E66" s="1"/>
      <c r="F66" s="5">
        <f t="shared" si="37"/>
        <v>0</v>
      </c>
      <c r="G66" s="1"/>
      <c r="H66" s="1">
        <f>SUM(OSRRefH22_7x_0)</f>
        <v>25</v>
      </c>
      <c r="I66" s="1"/>
      <c r="J66" s="5">
        <f t="shared" si="38"/>
        <v>6.7411064582496315E-5</v>
      </c>
      <c r="K66" s="1"/>
      <c r="L66" s="1">
        <f t="shared" si="39"/>
        <v>-25</v>
      </c>
      <c r="M66" s="1"/>
      <c r="N66" s="5">
        <f t="shared" si="40"/>
        <v>-1</v>
      </c>
      <c r="O66" s="13"/>
      <c r="P66" s="1">
        <f>SUM(OSRRefP22_7x_0)</f>
        <v>136.83000000000001</v>
      </c>
      <c r="Q66" s="1"/>
      <c r="R66" s="5">
        <f t="shared" si="41"/>
        <v>6.2137271181814897E-5</v>
      </c>
      <c r="S66" s="1"/>
      <c r="T66" s="1">
        <f>SUM(OSRRefT22_7x_0)</f>
        <v>200</v>
      </c>
      <c r="U66" s="1"/>
      <c r="V66" s="5">
        <f t="shared" si="42"/>
        <v>9.1851900567378373E-5</v>
      </c>
      <c r="W66" s="1"/>
      <c r="X66" s="1">
        <f t="shared" si="43"/>
        <v>-63.169999999999987</v>
      </c>
      <c r="Y66" s="1"/>
      <c r="Z66" s="5">
        <f t="shared" si="44"/>
        <v>-0.31584999999999996</v>
      </c>
    </row>
    <row r="67" spans="1:26" s="24" customFormat="1" hidden="1" outlineLevel="2" x14ac:dyDescent="0.25">
      <c r="A67" s="25"/>
      <c r="B67" s="11" t="str">
        <f>CONCATENATE("          ", "6277", " - ", "EMPLOYEE APPRECIATION")</f>
        <v xml:space="preserve">          6277 - EMPLOYEE APPRECIATION</v>
      </c>
      <c r="C67" s="11"/>
      <c r="D67" s="6"/>
      <c r="E67" s="2"/>
      <c r="F67" s="7">
        <f t="shared" si="37"/>
        <v>0</v>
      </c>
      <c r="G67" s="2"/>
      <c r="H67" s="6">
        <v>25</v>
      </c>
      <c r="I67" s="2"/>
      <c r="J67" s="7">
        <f t="shared" si="38"/>
        <v>6.7411064582496315E-5</v>
      </c>
      <c r="K67" s="2"/>
      <c r="L67" s="6">
        <f t="shared" si="39"/>
        <v>-25</v>
      </c>
      <c r="M67" s="2"/>
      <c r="N67" s="7">
        <f t="shared" si="40"/>
        <v>-1</v>
      </c>
      <c r="O67" s="11"/>
      <c r="P67" s="6">
        <v>136.83000000000001</v>
      </c>
      <c r="Q67" s="2"/>
      <c r="R67" s="7">
        <f t="shared" si="41"/>
        <v>6.2137271181814897E-5</v>
      </c>
      <c r="S67" s="2"/>
      <c r="T67" s="6">
        <v>200</v>
      </c>
      <c r="U67" s="2"/>
      <c r="V67" s="7">
        <f t="shared" si="42"/>
        <v>9.1851900567378373E-5</v>
      </c>
      <c r="W67" s="2"/>
      <c r="X67" s="6">
        <f t="shared" si="43"/>
        <v>-63.169999999999987</v>
      </c>
      <c r="Y67" s="2"/>
      <c r="Z67" s="7">
        <f t="shared" si="44"/>
        <v>-0.31584999999999996</v>
      </c>
    </row>
    <row r="68" spans="1:26" s="27" customFormat="1" outlineLevel="1" collapsed="1" x14ac:dyDescent="0.25">
      <c r="A68" s="26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SUM(OSRRefD22_8x_0)</f>
        <v>103.34</v>
      </c>
      <c r="E68" s="1"/>
      <c r="F68" s="5">
        <f t="shared" si="37"/>
        <v>2.6223348118118247E-4</v>
      </c>
      <c r="G68" s="1"/>
      <c r="H68" s="1">
        <f>SUM(OSRRefH22_8x_0)</f>
        <v>80</v>
      </c>
      <c r="I68" s="1"/>
      <c r="J68" s="5">
        <f t="shared" si="38"/>
        <v>2.1571540666398821E-4</v>
      </c>
      <c r="K68" s="1"/>
      <c r="L68" s="1">
        <f t="shared" si="39"/>
        <v>23.340000000000003</v>
      </c>
      <c r="M68" s="1"/>
      <c r="N68" s="5">
        <f t="shared" si="40"/>
        <v>0.29175000000000006</v>
      </c>
      <c r="O68" s="13"/>
      <c r="P68" s="1">
        <f>SUM(OSRRefP22_8x_0)</f>
        <v>877.31</v>
      </c>
      <c r="Q68" s="1"/>
      <c r="R68" s="5">
        <f t="shared" si="41"/>
        <v>3.9840421969245064E-4</v>
      </c>
      <c r="S68" s="1"/>
      <c r="T68" s="1">
        <f>SUM(OSRRefT22_8x_0)</f>
        <v>640</v>
      </c>
      <c r="U68" s="1"/>
      <c r="V68" s="5">
        <f t="shared" si="42"/>
        <v>2.9392608181561078E-4</v>
      </c>
      <c r="W68" s="1"/>
      <c r="X68" s="1">
        <f t="shared" si="43"/>
        <v>237.30999999999995</v>
      </c>
      <c r="Y68" s="1"/>
      <c r="Z68" s="5">
        <f t="shared" si="44"/>
        <v>0.37079687499999991</v>
      </c>
    </row>
    <row r="69" spans="1:26" s="24" customFormat="1" hidden="1" outlineLevel="2" x14ac:dyDescent="0.25">
      <c r="A69" s="25"/>
      <c r="B69" s="11" t="str">
        <f>CONCATENATE("          ", "6351", " - ", "EQUIPMENT RENTAL")</f>
        <v xml:space="preserve">          6351 - EQUIPMENT RENTAL</v>
      </c>
      <c r="C69" s="11"/>
      <c r="D69" s="6">
        <v>103.34</v>
      </c>
      <c r="E69" s="2"/>
      <c r="F69" s="7">
        <f t="shared" si="37"/>
        <v>2.6223348118118247E-4</v>
      </c>
      <c r="G69" s="2"/>
      <c r="H69" s="6">
        <v>80</v>
      </c>
      <c r="I69" s="2"/>
      <c r="J69" s="7">
        <f t="shared" si="38"/>
        <v>2.1571540666398821E-4</v>
      </c>
      <c r="K69" s="2"/>
      <c r="L69" s="6">
        <f t="shared" si="39"/>
        <v>23.340000000000003</v>
      </c>
      <c r="M69" s="2"/>
      <c r="N69" s="7">
        <f t="shared" si="40"/>
        <v>0.29175000000000006</v>
      </c>
      <c r="O69" s="11"/>
      <c r="P69" s="6">
        <v>877.31</v>
      </c>
      <c r="Q69" s="2"/>
      <c r="R69" s="7">
        <f t="shared" si="41"/>
        <v>3.9840421969245064E-4</v>
      </c>
      <c r="S69" s="2"/>
      <c r="T69" s="6">
        <v>640</v>
      </c>
      <c r="U69" s="2"/>
      <c r="V69" s="7">
        <f t="shared" si="42"/>
        <v>2.9392608181561078E-4</v>
      </c>
      <c r="W69" s="2"/>
      <c r="X69" s="6">
        <f t="shared" si="43"/>
        <v>237.30999999999995</v>
      </c>
      <c r="Y69" s="2"/>
      <c r="Z69" s="7">
        <f t="shared" si="44"/>
        <v>0.37079687499999991</v>
      </c>
    </row>
    <row r="70" spans="1:26" s="27" customFormat="1" outlineLevel="1" collapsed="1" x14ac:dyDescent="0.25">
      <c r="A70" s="26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SUM(OSRRefD22_9x_0)</f>
        <v>20.83</v>
      </c>
      <c r="E70" s="1"/>
      <c r="F70" s="5">
        <f t="shared" si="37"/>
        <v>5.2857784139771926E-5</v>
      </c>
      <c r="G70" s="1"/>
      <c r="H70" s="1">
        <f>SUM(OSRRefH22_9x_0)</f>
        <v>0</v>
      </c>
      <c r="I70" s="1"/>
      <c r="J70" s="5">
        <f t="shared" si="38"/>
        <v>0</v>
      </c>
      <c r="K70" s="1"/>
      <c r="L70" s="1">
        <f t="shared" si="39"/>
        <v>20.83</v>
      </c>
      <c r="M70" s="1"/>
      <c r="N70" s="5">
        <f t="shared" si="40"/>
        <v>0</v>
      </c>
      <c r="O70" s="13"/>
      <c r="P70" s="1">
        <f>SUM(OSRRefP22_9x_0)</f>
        <v>254.46</v>
      </c>
      <c r="Q70" s="1"/>
      <c r="R70" s="5">
        <f t="shared" si="41"/>
        <v>1.155554339320662E-4</v>
      </c>
      <c r="S70" s="1"/>
      <c r="T70" s="1">
        <f>SUM(OSRRefT22_9x_0)</f>
        <v>0</v>
      </c>
      <c r="U70" s="1"/>
      <c r="V70" s="5">
        <f t="shared" si="42"/>
        <v>0</v>
      </c>
      <c r="W70" s="1"/>
      <c r="X70" s="1">
        <f t="shared" si="43"/>
        <v>254.46</v>
      </c>
      <c r="Y70" s="1"/>
      <c r="Z70" s="5">
        <f t="shared" si="44"/>
        <v>0</v>
      </c>
    </row>
    <row r="71" spans="1:26" s="24" customFormat="1" hidden="1" outlineLevel="2" x14ac:dyDescent="0.25">
      <c r="A71" s="25"/>
      <c r="B71" s="11" t="str">
        <f>CONCATENATE("          ", "6305", " - ", "FREIGHT OUT")</f>
        <v xml:space="preserve">          6305 - FREIGHT OUT</v>
      </c>
      <c r="C71" s="11"/>
      <c r="D71" s="6">
        <v>20.83</v>
      </c>
      <c r="E71" s="2"/>
      <c r="F71" s="7">
        <f t="shared" si="37"/>
        <v>5.2857784139771926E-5</v>
      </c>
      <c r="G71" s="2"/>
      <c r="H71" s="6"/>
      <c r="I71" s="2"/>
      <c r="J71" s="7">
        <f t="shared" si="38"/>
        <v>0</v>
      </c>
      <c r="K71" s="2"/>
      <c r="L71" s="6">
        <f t="shared" si="39"/>
        <v>20.83</v>
      </c>
      <c r="M71" s="2"/>
      <c r="N71" s="7">
        <f t="shared" si="40"/>
        <v>0</v>
      </c>
      <c r="O71" s="11"/>
      <c r="P71" s="6">
        <v>254.46</v>
      </c>
      <c r="Q71" s="2"/>
      <c r="R71" s="7">
        <f t="shared" si="41"/>
        <v>1.155554339320662E-4</v>
      </c>
      <c r="S71" s="2"/>
      <c r="T71" s="6"/>
      <c r="U71" s="2"/>
      <c r="V71" s="7">
        <f t="shared" si="42"/>
        <v>0</v>
      </c>
      <c r="W71" s="2"/>
      <c r="X71" s="6">
        <f t="shared" si="43"/>
        <v>254.46</v>
      </c>
      <c r="Y71" s="2"/>
      <c r="Z71" s="7">
        <f t="shared" si="44"/>
        <v>0</v>
      </c>
    </row>
    <row r="72" spans="1:26" s="27" customFormat="1" outlineLevel="1" collapsed="1" x14ac:dyDescent="0.25">
      <c r="A72" s="26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SUM(OSRRefD22_10x_0)</f>
        <v>257.8</v>
      </c>
      <c r="E72" s="1"/>
      <c r="F72" s="5">
        <f t="shared" si="37"/>
        <v>6.5418803414465693E-4</v>
      </c>
      <c r="G72" s="1"/>
      <c r="H72" s="1">
        <f>SUM(OSRRefH22_10x_0)</f>
        <v>1321</v>
      </c>
      <c r="I72" s="1"/>
      <c r="J72" s="5">
        <f t="shared" si="38"/>
        <v>3.5620006525391053E-3</v>
      </c>
      <c r="K72" s="1"/>
      <c r="L72" s="1">
        <f t="shared" si="39"/>
        <v>-1063.2</v>
      </c>
      <c r="M72" s="1"/>
      <c r="N72" s="5">
        <f t="shared" si="40"/>
        <v>-0.80484481453444368</v>
      </c>
      <c r="O72" s="13"/>
      <c r="P72" s="1">
        <f>SUM(OSRRefP22_10x_0)</f>
        <v>10730.64</v>
      </c>
      <c r="Q72" s="1"/>
      <c r="R72" s="5">
        <f t="shared" si="41"/>
        <v>4.873000713545495E-3</v>
      </c>
      <c r="S72" s="1"/>
      <c r="T72" s="1">
        <f>SUM(OSRRefT22_10x_0)</f>
        <v>8662</v>
      </c>
      <c r="U72" s="1"/>
      <c r="V72" s="5">
        <f t="shared" si="42"/>
        <v>3.9781058135731568E-3</v>
      </c>
      <c r="W72" s="1"/>
      <c r="X72" s="1">
        <f t="shared" si="43"/>
        <v>2068.6399999999994</v>
      </c>
      <c r="Y72" s="1"/>
      <c r="Z72" s="5">
        <f t="shared" si="44"/>
        <v>0.23881782498268292</v>
      </c>
    </row>
    <row r="73" spans="1:26" s="24" customFormat="1" hidden="1" outlineLevel="2" x14ac:dyDescent="0.25">
      <c r="A73" s="25"/>
      <c r="B73" s="11" t="str">
        <f>CONCATENATE("          ", "6279", " - ", "GENERAL EXPENSE")</f>
        <v xml:space="preserve">          6279 - GENERAL EXPENSE</v>
      </c>
      <c r="C73" s="11"/>
      <c r="D73" s="6">
        <v>257.8</v>
      </c>
      <c r="E73" s="2"/>
      <c r="F73" s="7">
        <f t="shared" si="37"/>
        <v>6.5418803414465693E-4</v>
      </c>
      <c r="G73" s="2"/>
      <c r="H73" s="6">
        <v>1321</v>
      </c>
      <c r="I73" s="2"/>
      <c r="J73" s="7">
        <f t="shared" si="38"/>
        <v>3.5620006525391053E-3</v>
      </c>
      <c r="K73" s="2"/>
      <c r="L73" s="6">
        <f t="shared" si="39"/>
        <v>-1063.2</v>
      </c>
      <c r="M73" s="2"/>
      <c r="N73" s="7">
        <f t="shared" si="40"/>
        <v>-0.80484481453444368</v>
      </c>
      <c r="O73" s="11"/>
      <c r="P73" s="6">
        <v>10730.64</v>
      </c>
      <c r="Q73" s="2"/>
      <c r="R73" s="7">
        <f t="shared" si="41"/>
        <v>4.873000713545495E-3</v>
      </c>
      <c r="S73" s="2"/>
      <c r="T73" s="6">
        <v>8662</v>
      </c>
      <c r="U73" s="2"/>
      <c r="V73" s="7">
        <f t="shared" si="42"/>
        <v>3.9781058135731568E-3</v>
      </c>
      <c r="W73" s="2"/>
      <c r="X73" s="6">
        <f t="shared" si="43"/>
        <v>2068.6399999999994</v>
      </c>
      <c r="Y73" s="2"/>
      <c r="Z73" s="7">
        <f t="shared" si="44"/>
        <v>0.23881782498268292</v>
      </c>
    </row>
    <row r="74" spans="1:26" s="27" customFormat="1" outlineLevel="1" collapsed="1" x14ac:dyDescent="0.25">
      <c r="A74" s="26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SUM(OSRRefD22_11x_0)</f>
        <v>243.54</v>
      </c>
      <c r="E74" s="1"/>
      <c r="F74" s="5">
        <f t="shared" si="37"/>
        <v>6.1800214831493302E-4</v>
      </c>
      <c r="G74" s="1"/>
      <c r="H74" s="1">
        <f>SUM(OSRRefH22_11x_0)</f>
        <v>230</v>
      </c>
      <c r="I74" s="1"/>
      <c r="J74" s="5">
        <f t="shared" si="38"/>
        <v>6.2018179415896605E-4</v>
      </c>
      <c r="K74" s="1"/>
      <c r="L74" s="1">
        <f t="shared" si="39"/>
        <v>13.539999999999992</v>
      </c>
      <c r="M74" s="1"/>
      <c r="N74" s="5">
        <f t="shared" si="40"/>
        <v>5.886956521739127E-2</v>
      </c>
      <c r="O74" s="13"/>
      <c r="P74" s="1">
        <f>SUM(OSRRefP22_11x_0)</f>
        <v>1948.32</v>
      </c>
      <c r="Q74" s="1"/>
      <c r="R74" s="5">
        <f t="shared" si="41"/>
        <v>8.8477152809291523E-4</v>
      </c>
      <c r="S74" s="1"/>
      <c r="T74" s="1">
        <f>SUM(OSRRefT22_11x_0)</f>
        <v>1840</v>
      </c>
      <c r="U74" s="1"/>
      <c r="V74" s="5">
        <f t="shared" si="42"/>
        <v>8.4503748521988096E-4</v>
      </c>
      <c r="W74" s="1"/>
      <c r="X74" s="1">
        <f t="shared" si="43"/>
        <v>108.31999999999994</v>
      </c>
      <c r="Y74" s="1"/>
      <c r="Z74" s="5">
        <f t="shared" si="44"/>
        <v>5.886956521739127E-2</v>
      </c>
    </row>
    <row r="75" spans="1:26" s="24" customFormat="1" hidden="1" outlineLevel="2" x14ac:dyDescent="0.25">
      <c r="A75" s="25"/>
      <c r="B75" s="11" t="str">
        <f>CONCATENATE("          ", "6314", " - ", "LIABILITY INSURANCE")</f>
        <v xml:space="preserve">          6314 - LIABILITY INSURANCE</v>
      </c>
      <c r="C75" s="11"/>
      <c r="D75" s="6">
        <v>243.54</v>
      </c>
      <c r="E75" s="2"/>
      <c r="F75" s="7">
        <f t="shared" si="37"/>
        <v>6.1800214831493302E-4</v>
      </c>
      <c r="G75" s="2"/>
      <c r="H75" s="6">
        <v>230</v>
      </c>
      <c r="I75" s="2"/>
      <c r="J75" s="7">
        <f t="shared" si="38"/>
        <v>6.2018179415896605E-4</v>
      </c>
      <c r="K75" s="2"/>
      <c r="L75" s="6">
        <f t="shared" si="39"/>
        <v>13.539999999999992</v>
      </c>
      <c r="M75" s="2"/>
      <c r="N75" s="7">
        <f t="shared" si="40"/>
        <v>5.886956521739127E-2</v>
      </c>
      <c r="O75" s="11"/>
      <c r="P75" s="6">
        <v>1948.32</v>
      </c>
      <c r="Q75" s="2"/>
      <c r="R75" s="7">
        <f t="shared" si="41"/>
        <v>8.8477152809291523E-4</v>
      </c>
      <c r="S75" s="2"/>
      <c r="T75" s="6">
        <v>1840</v>
      </c>
      <c r="U75" s="2"/>
      <c r="V75" s="7">
        <f t="shared" si="42"/>
        <v>8.4503748521988096E-4</v>
      </c>
      <c r="W75" s="2"/>
      <c r="X75" s="6">
        <f t="shared" si="43"/>
        <v>108.31999999999994</v>
      </c>
      <c r="Y75" s="2"/>
      <c r="Z75" s="7">
        <f t="shared" si="44"/>
        <v>5.886956521739127E-2</v>
      </c>
    </row>
    <row r="76" spans="1:26" s="27" customFormat="1" outlineLevel="1" collapsed="1" x14ac:dyDescent="0.25">
      <c r="A76" s="26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SUM(OSRRefD22_12x_0)</f>
        <v>4175</v>
      </c>
      <c r="E76" s="1"/>
      <c r="F76" s="5">
        <f t="shared" si="37"/>
        <v>1.0594395044817465E-2</v>
      </c>
      <c r="G76" s="1"/>
      <c r="H76" s="1">
        <f>SUM(OSRRefH22_12x_0)</f>
        <v>4175</v>
      </c>
      <c r="I76" s="1"/>
      <c r="J76" s="5">
        <f t="shared" si="38"/>
        <v>1.1257647785276884E-2</v>
      </c>
      <c r="K76" s="1"/>
      <c r="L76" s="1">
        <f t="shared" si="39"/>
        <v>0</v>
      </c>
      <c r="M76" s="1"/>
      <c r="N76" s="5">
        <f t="shared" si="40"/>
        <v>0</v>
      </c>
      <c r="O76" s="13"/>
      <c r="P76" s="1">
        <f>SUM(OSRRefP22_12x_0)</f>
        <v>33193.950000000004</v>
      </c>
      <c r="Q76" s="1"/>
      <c r="R76" s="5">
        <f t="shared" si="41"/>
        <v>1.5074044235515638E-2</v>
      </c>
      <c r="S76" s="1"/>
      <c r="T76" s="1">
        <f>SUM(OSRRefT22_12x_0)</f>
        <v>33400</v>
      </c>
      <c r="U76" s="1"/>
      <c r="V76" s="5">
        <f t="shared" si="42"/>
        <v>1.5339267394752188E-2</v>
      </c>
      <c r="W76" s="1"/>
      <c r="X76" s="1">
        <f t="shared" si="43"/>
        <v>-206.04999999999563</v>
      </c>
      <c r="Y76" s="1"/>
      <c r="Z76" s="5">
        <f t="shared" si="44"/>
        <v>-6.1691616766465758E-3</v>
      </c>
    </row>
    <row r="77" spans="1:26" s="24" customFormat="1" hidden="1" outlineLevel="2" x14ac:dyDescent="0.25">
      <c r="A77" s="25"/>
      <c r="B77" s="11" t="str">
        <f>CONCATENATE("          ", "6401", " - ", "INTEREST EXPENSE")</f>
        <v xml:space="preserve">          6401 - INTEREST EXPENSE</v>
      </c>
      <c r="C77" s="11"/>
      <c r="D77" s="6">
        <v>4175</v>
      </c>
      <c r="E77" s="2"/>
      <c r="F77" s="7">
        <f t="shared" si="37"/>
        <v>1.0594395044817465E-2</v>
      </c>
      <c r="G77" s="2"/>
      <c r="H77" s="6">
        <v>4175</v>
      </c>
      <c r="I77" s="2"/>
      <c r="J77" s="7">
        <f t="shared" si="38"/>
        <v>1.1257647785276884E-2</v>
      </c>
      <c r="K77" s="2"/>
      <c r="L77" s="6">
        <f t="shared" si="39"/>
        <v>0</v>
      </c>
      <c r="M77" s="2"/>
      <c r="N77" s="7">
        <f t="shared" si="40"/>
        <v>0</v>
      </c>
      <c r="O77" s="11"/>
      <c r="P77" s="6">
        <v>33193.950000000004</v>
      </c>
      <c r="Q77" s="2"/>
      <c r="R77" s="7">
        <f t="shared" si="41"/>
        <v>1.5074044235515638E-2</v>
      </c>
      <c r="S77" s="2"/>
      <c r="T77" s="6">
        <v>33400</v>
      </c>
      <c r="U77" s="2"/>
      <c r="V77" s="7">
        <f t="shared" si="42"/>
        <v>1.5339267394752188E-2</v>
      </c>
      <c r="W77" s="2"/>
      <c r="X77" s="6">
        <f t="shared" si="43"/>
        <v>-206.04999999999563</v>
      </c>
      <c r="Y77" s="2"/>
      <c r="Z77" s="7">
        <f t="shared" si="44"/>
        <v>-6.1691616766465758E-3</v>
      </c>
    </row>
    <row r="78" spans="1:26" s="27" customFormat="1" outlineLevel="1" collapsed="1" x14ac:dyDescent="0.25">
      <c r="A78" s="26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SUM(OSRRefD22_13x_0)</f>
        <v>0</v>
      </c>
      <c r="E78" s="1"/>
      <c r="F78" s="5">
        <f t="shared" si="37"/>
        <v>0</v>
      </c>
      <c r="G78" s="1"/>
      <c r="H78" s="1">
        <f>SUM(OSRRefH22_13x_0)</f>
        <v>0</v>
      </c>
      <c r="I78" s="1"/>
      <c r="J78" s="5">
        <f t="shared" si="38"/>
        <v>0</v>
      </c>
      <c r="K78" s="1"/>
      <c r="L78" s="1">
        <f t="shared" si="39"/>
        <v>0</v>
      </c>
      <c r="M78" s="1"/>
      <c r="N78" s="5">
        <f t="shared" si="40"/>
        <v>0</v>
      </c>
      <c r="O78" s="13"/>
      <c r="P78" s="1">
        <f>SUM(OSRRefP22_13x_0)</f>
        <v>0</v>
      </c>
      <c r="Q78" s="1"/>
      <c r="R78" s="5">
        <f t="shared" si="41"/>
        <v>0</v>
      </c>
      <c r="S78" s="1"/>
      <c r="T78" s="1">
        <f>SUM(OSRRefT22_13x_0)</f>
        <v>0</v>
      </c>
      <c r="U78" s="1"/>
      <c r="V78" s="5">
        <f t="shared" si="42"/>
        <v>0</v>
      </c>
      <c r="W78" s="1"/>
      <c r="X78" s="1">
        <f t="shared" si="43"/>
        <v>0</v>
      </c>
      <c r="Y78" s="1"/>
      <c r="Z78" s="5">
        <f t="shared" si="44"/>
        <v>0</v>
      </c>
    </row>
    <row r="79" spans="1:26" s="24" customFormat="1" hidden="1" outlineLevel="2" x14ac:dyDescent="0.25">
      <c r="A79" s="25"/>
      <c r="B79" s="11" t="str">
        <f>CONCATENATE("          ", "6387", " - ", "COMMISSION DUE HOUSING")</f>
        <v xml:space="preserve">          6387 - COMMISSION DUE HOUSING</v>
      </c>
      <c r="C79" s="11"/>
      <c r="D79" s="6"/>
      <c r="E79" s="2"/>
      <c r="F79" s="7">
        <f t="shared" si="37"/>
        <v>0</v>
      </c>
      <c r="G79" s="2"/>
      <c r="H79" s="6"/>
      <c r="I79" s="2"/>
      <c r="J79" s="7">
        <f t="shared" si="38"/>
        <v>0</v>
      </c>
      <c r="K79" s="2"/>
      <c r="L79" s="6">
        <f t="shared" si="39"/>
        <v>0</v>
      </c>
      <c r="M79" s="2"/>
      <c r="N79" s="7">
        <f t="shared" si="40"/>
        <v>0</v>
      </c>
      <c r="O79" s="11"/>
      <c r="P79" s="6"/>
      <c r="Q79" s="2"/>
      <c r="R79" s="7">
        <f t="shared" si="41"/>
        <v>0</v>
      </c>
      <c r="S79" s="2"/>
      <c r="T79" s="6">
        <v>0</v>
      </c>
      <c r="U79" s="2"/>
      <c r="V79" s="7">
        <f t="shared" si="42"/>
        <v>0</v>
      </c>
      <c r="W79" s="2"/>
      <c r="X79" s="6">
        <f t="shared" si="43"/>
        <v>0</v>
      </c>
      <c r="Y79" s="2"/>
      <c r="Z79" s="7">
        <f t="shared" si="44"/>
        <v>0</v>
      </c>
    </row>
    <row r="80" spans="1:26" s="27" customFormat="1" outlineLevel="1" collapsed="1" x14ac:dyDescent="0.25">
      <c r="A80" s="26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SUM(OSRRefD22_14x_0)</f>
        <v>1150</v>
      </c>
      <c r="E80" s="1"/>
      <c r="F80" s="5">
        <f t="shared" si="37"/>
        <v>2.9182165991712776E-3</v>
      </c>
      <c r="G80" s="1"/>
      <c r="H80" s="1">
        <f>SUM(OSRRefH22_14x_0)</f>
        <v>1150</v>
      </c>
      <c r="I80" s="1"/>
      <c r="J80" s="5">
        <f t="shared" si="38"/>
        <v>3.1009089707948303E-3</v>
      </c>
      <c r="K80" s="1"/>
      <c r="L80" s="1">
        <f t="shared" si="39"/>
        <v>0</v>
      </c>
      <c r="M80" s="1"/>
      <c r="N80" s="5">
        <f t="shared" si="40"/>
        <v>0</v>
      </c>
      <c r="O80" s="13"/>
      <c r="P80" s="1">
        <f>SUM(OSRRefP22_14x_0)</f>
        <v>9200</v>
      </c>
      <c r="Q80" s="1"/>
      <c r="R80" s="5">
        <f t="shared" si="41"/>
        <v>4.1779061234575535E-3</v>
      </c>
      <c r="S80" s="1"/>
      <c r="T80" s="1">
        <f>SUM(OSRRefT22_14x_0)</f>
        <v>9200</v>
      </c>
      <c r="U80" s="1"/>
      <c r="V80" s="5">
        <f t="shared" si="42"/>
        <v>4.2251874260994049E-3</v>
      </c>
      <c r="W80" s="1"/>
      <c r="X80" s="1">
        <f t="shared" si="43"/>
        <v>0</v>
      </c>
      <c r="Y80" s="1"/>
      <c r="Z80" s="5">
        <f t="shared" si="44"/>
        <v>0</v>
      </c>
    </row>
    <row r="81" spans="1:26" s="24" customFormat="1" hidden="1" outlineLevel="2" x14ac:dyDescent="0.25">
      <c r="A81" s="25"/>
      <c r="B81" s="11" t="str">
        <f>CONCATENATE("          ", "6273", " - ", "RENT")</f>
        <v xml:space="preserve">          6273 - RENT</v>
      </c>
      <c r="C81" s="11"/>
      <c r="D81" s="6">
        <v>1150</v>
      </c>
      <c r="E81" s="2"/>
      <c r="F81" s="7">
        <f t="shared" si="37"/>
        <v>2.9182165991712776E-3</v>
      </c>
      <c r="G81" s="2"/>
      <c r="H81" s="6">
        <v>1150</v>
      </c>
      <c r="I81" s="2"/>
      <c r="J81" s="7">
        <f t="shared" si="38"/>
        <v>3.1009089707948303E-3</v>
      </c>
      <c r="K81" s="2"/>
      <c r="L81" s="6">
        <f t="shared" si="39"/>
        <v>0</v>
      </c>
      <c r="M81" s="2"/>
      <c r="N81" s="7">
        <f t="shared" si="40"/>
        <v>0</v>
      </c>
      <c r="O81" s="11"/>
      <c r="P81" s="6">
        <v>9200</v>
      </c>
      <c r="Q81" s="2"/>
      <c r="R81" s="7">
        <f t="shared" si="41"/>
        <v>4.1779061234575535E-3</v>
      </c>
      <c r="S81" s="2"/>
      <c r="T81" s="6">
        <v>9200</v>
      </c>
      <c r="U81" s="2"/>
      <c r="V81" s="7">
        <f t="shared" si="42"/>
        <v>4.2251874260994049E-3</v>
      </c>
      <c r="W81" s="2"/>
      <c r="X81" s="6">
        <f t="shared" si="43"/>
        <v>0</v>
      </c>
      <c r="Y81" s="2"/>
      <c r="Z81" s="7">
        <f t="shared" si="44"/>
        <v>0</v>
      </c>
    </row>
    <row r="82" spans="1:26" s="27" customFormat="1" outlineLevel="1" collapsed="1" x14ac:dyDescent="0.25">
      <c r="A82" s="26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SUM(OSRRefD22_15x_0)</f>
        <v>822.91</v>
      </c>
      <c r="E82" s="1"/>
      <c r="F82" s="5">
        <f t="shared" si="37"/>
        <v>2.0881996709774227E-3</v>
      </c>
      <c r="G82" s="1"/>
      <c r="H82" s="1">
        <f>SUM(OSRRefH22_15x_0)</f>
        <v>1310</v>
      </c>
      <c r="I82" s="1"/>
      <c r="J82" s="5">
        <f t="shared" si="38"/>
        <v>3.5323397841228068E-3</v>
      </c>
      <c r="K82" s="1"/>
      <c r="L82" s="1">
        <f t="shared" si="39"/>
        <v>-487.09000000000003</v>
      </c>
      <c r="M82" s="1"/>
      <c r="N82" s="5">
        <f t="shared" si="40"/>
        <v>-0.37182442748091604</v>
      </c>
      <c r="O82" s="13"/>
      <c r="P82" s="1">
        <f>SUM(OSRRefP22_15x_0)</f>
        <v>15737.939999999999</v>
      </c>
      <c r="Q82" s="1"/>
      <c r="R82" s="5">
        <f t="shared" si="41"/>
        <v>7.1469169452834302E-3</v>
      </c>
      <c r="S82" s="1"/>
      <c r="T82" s="1">
        <f>SUM(OSRRefT22_15x_0)</f>
        <v>11049</v>
      </c>
      <c r="U82" s="1"/>
      <c r="V82" s="5">
        <f t="shared" si="42"/>
        <v>5.0743582468448182E-3</v>
      </c>
      <c r="W82" s="1"/>
      <c r="X82" s="1">
        <f t="shared" si="43"/>
        <v>4688.9399999999987</v>
      </c>
      <c r="Y82" s="1"/>
      <c r="Z82" s="5">
        <f t="shared" si="44"/>
        <v>0.42437686668476771</v>
      </c>
    </row>
    <row r="83" spans="1:26" s="24" customFormat="1" hidden="1" outlineLevel="2" x14ac:dyDescent="0.25">
      <c r="A83" s="25"/>
      <c r="B83" s="11" t="str">
        <f>CONCATENATE("          ", "6371", " - ", "COMPUTER SOFTWARE MAINTENANCE")</f>
        <v xml:space="preserve">          6371 - COMPUTER SOFTWARE MAINTENANCE</v>
      </c>
      <c r="C83" s="11"/>
      <c r="D83" s="6"/>
      <c r="E83" s="2"/>
      <c r="F83" s="7">
        <f t="shared" si="37"/>
        <v>0</v>
      </c>
      <c r="G83" s="2"/>
      <c r="H83" s="6"/>
      <c r="I83" s="2"/>
      <c r="J83" s="7">
        <f t="shared" si="38"/>
        <v>0</v>
      </c>
      <c r="K83" s="2"/>
      <c r="L83" s="6">
        <f t="shared" si="39"/>
        <v>0</v>
      </c>
      <c r="M83" s="2"/>
      <c r="N83" s="7">
        <f t="shared" si="40"/>
        <v>0</v>
      </c>
      <c r="O83" s="11"/>
      <c r="P83" s="6">
        <v>1311.93</v>
      </c>
      <c r="Q83" s="2"/>
      <c r="R83" s="7">
        <f t="shared" si="41"/>
        <v>5.9577395440735519E-4</v>
      </c>
      <c r="S83" s="2"/>
      <c r="T83" s="6">
        <v>0</v>
      </c>
      <c r="U83" s="2"/>
      <c r="V83" s="7">
        <f t="shared" si="42"/>
        <v>0</v>
      </c>
      <c r="W83" s="2"/>
      <c r="X83" s="6">
        <f t="shared" si="43"/>
        <v>1311.93</v>
      </c>
      <c r="Y83" s="2"/>
      <c r="Z83" s="7">
        <f t="shared" si="44"/>
        <v>0</v>
      </c>
    </row>
    <row r="84" spans="1:26" s="24" customFormat="1" hidden="1" outlineLevel="2" x14ac:dyDescent="0.25">
      <c r="A84" s="25"/>
      <c r="B84" s="11" t="str">
        <f>CONCATENATE("          ", "6373", " - ", "MAINTENANCE CONTRACTS")</f>
        <v xml:space="preserve">          6373 - MAINTENANCE CONTRACTS</v>
      </c>
      <c r="C84" s="11"/>
      <c r="D84" s="6"/>
      <c r="E84" s="2"/>
      <c r="F84" s="7">
        <f t="shared" si="37"/>
        <v>0</v>
      </c>
      <c r="G84" s="2"/>
      <c r="H84" s="6"/>
      <c r="I84" s="2"/>
      <c r="J84" s="7">
        <f t="shared" si="38"/>
        <v>0</v>
      </c>
      <c r="K84" s="2"/>
      <c r="L84" s="6">
        <f t="shared" si="39"/>
        <v>0</v>
      </c>
      <c r="M84" s="2"/>
      <c r="N84" s="7">
        <f t="shared" si="40"/>
        <v>0</v>
      </c>
      <c r="O84" s="11"/>
      <c r="P84" s="6">
        <v>582.62</v>
      </c>
      <c r="Q84" s="2"/>
      <c r="R84" s="7">
        <f t="shared" si="41"/>
        <v>2.6457952887487388E-4</v>
      </c>
      <c r="S84" s="2"/>
      <c r="T84" s="6"/>
      <c r="U84" s="2"/>
      <c r="V84" s="7">
        <f t="shared" si="42"/>
        <v>0</v>
      </c>
      <c r="W84" s="2"/>
      <c r="X84" s="6">
        <f t="shared" si="43"/>
        <v>582.62</v>
      </c>
      <c r="Y84" s="2"/>
      <c r="Z84" s="7">
        <f t="shared" si="44"/>
        <v>0</v>
      </c>
    </row>
    <row r="85" spans="1:26" s="24" customFormat="1" hidden="1" outlineLevel="2" x14ac:dyDescent="0.25">
      <c r="A85" s="25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822.91</v>
      </c>
      <c r="E85" s="2"/>
      <c r="F85" s="7">
        <f t="shared" si="37"/>
        <v>2.0881996709774227E-3</v>
      </c>
      <c r="G85" s="2"/>
      <c r="H85" s="6">
        <v>1310</v>
      </c>
      <c r="I85" s="2"/>
      <c r="J85" s="7">
        <f t="shared" si="38"/>
        <v>3.5323397841228068E-3</v>
      </c>
      <c r="K85" s="2"/>
      <c r="L85" s="6">
        <f t="shared" si="39"/>
        <v>-487.09000000000003</v>
      </c>
      <c r="M85" s="2"/>
      <c r="N85" s="7">
        <f t="shared" si="40"/>
        <v>-0.37182442748091604</v>
      </c>
      <c r="O85" s="11"/>
      <c r="P85" s="6">
        <v>13843.39</v>
      </c>
      <c r="Q85" s="2"/>
      <c r="R85" s="7">
        <f t="shared" si="41"/>
        <v>6.2865634620012014E-3</v>
      </c>
      <c r="S85" s="2"/>
      <c r="T85" s="6">
        <v>11049</v>
      </c>
      <c r="U85" s="2"/>
      <c r="V85" s="7">
        <f t="shared" si="42"/>
        <v>5.0743582468448182E-3</v>
      </c>
      <c r="W85" s="2"/>
      <c r="X85" s="6">
        <f t="shared" si="43"/>
        <v>2794.3899999999994</v>
      </c>
      <c r="Y85" s="2"/>
      <c r="Z85" s="7">
        <f t="shared" si="44"/>
        <v>0.25290886053036471</v>
      </c>
    </row>
    <row r="86" spans="1:26" s="27" customFormat="1" outlineLevel="1" collapsed="1" x14ac:dyDescent="0.25">
      <c r="A86" s="26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SUM(OSRRefD22_16x_0)</f>
        <v>0</v>
      </c>
      <c r="E86" s="1"/>
      <c r="F86" s="5">
        <f t="shared" ref="F86:F88" si="45">IF(D$12=0,0,D86/D$12)</f>
        <v>0</v>
      </c>
      <c r="G86" s="1"/>
      <c r="H86" s="1">
        <f>SUM(OSRRefH22_16x_0)</f>
        <v>3574</v>
      </c>
      <c r="I86" s="1"/>
      <c r="J86" s="5">
        <f t="shared" ref="J86:J88" si="46">IF(H$12=0,0,H86/H$12)</f>
        <v>9.6370857927136726E-3</v>
      </c>
      <c r="K86" s="1"/>
      <c r="L86" s="1">
        <f t="shared" ref="L86:L88" si="47">+D86-H86</f>
        <v>-3574</v>
      </c>
      <c r="M86" s="1"/>
      <c r="N86" s="5">
        <f t="shared" ref="N86:N88" si="48">IF(H86=0,0,L86/H86)</f>
        <v>-1</v>
      </c>
      <c r="O86" s="13"/>
      <c r="P86" s="1">
        <f>SUM(OSRRefP22_16x_0)</f>
        <v>15334.79</v>
      </c>
      <c r="Q86" s="1"/>
      <c r="R86" s="5">
        <f t="shared" ref="R86:R88" si="49">IF(P$12=0,0,P86/P$12)</f>
        <v>6.9638383742321366E-3</v>
      </c>
      <c r="S86" s="1"/>
      <c r="T86" s="1">
        <f>SUM(OSRRefT22_16x_0)</f>
        <v>20483</v>
      </c>
      <c r="U86" s="1"/>
      <c r="V86" s="5">
        <f t="shared" ref="V86:V88" si="50">IF(T$12=0,0,T86/T$12)</f>
        <v>9.4070123966080547E-3</v>
      </c>
      <c r="W86" s="1"/>
      <c r="X86" s="1">
        <f t="shared" ref="X86:X88" si="51">+P86-T86</f>
        <v>-5148.2099999999991</v>
      </c>
      <c r="Y86" s="1"/>
      <c r="Z86" s="5">
        <f t="shared" ref="Z86:Z88" si="52">IF(T86=0,0,X86/T86)</f>
        <v>-0.25134062393204115</v>
      </c>
    </row>
    <row r="87" spans="1:26" s="24" customFormat="1" hidden="1" outlineLevel="2" x14ac:dyDescent="0.25">
      <c r="A87" s="25"/>
      <c r="B87" s="11" t="str">
        <f>CONCATENATE("          ", "6254", " - ", "ROYALTY &amp; COMMISSIONS")</f>
        <v xml:space="preserve">          6254 - ROYALTY &amp; COMMISSIONS</v>
      </c>
      <c r="C87" s="11"/>
      <c r="D87" s="6"/>
      <c r="E87" s="2"/>
      <c r="F87" s="7">
        <f t="shared" si="45"/>
        <v>0</v>
      </c>
      <c r="G87" s="2"/>
      <c r="H87" s="6"/>
      <c r="I87" s="2"/>
      <c r="J87" s="7">
        <f t="shared" si="46"/>
        <v>0</v>
      </c>
      <c r="K87" s="2"/>
      <c r="L87" s="6">
        <f t="shared" si="47"/>
        <v>0</v>
      </c>
      <c r="M87" s="2"/>
      <c r="N87" s="7">
        <f t="shared" si="48"/>
        <v>0</v>
      </c>
      <c r="O87" s="11"/>
      <c r="P87" s="6">
        <v>15334.79</v>
      </c>
      <c r="Q87" s="2"/>
      <c r="R87" s="7">
        <f t="shared" si="49"/>
        <v>6.9638383742321366E-3</v>
      </c>
      <c r="S87" s="2"/>
      <c r="T87" s="6"/>
      <c r="U87" s="2"/>
      <c r="V87" s="7">
        <f t="shared" si="50"/>
        <v>0</v>
      </c>
      <c r="W87" s="2"/>
      <c r="X87" s="6">
        <f t="shared" si="51"/>
        <v>15334.79</v>
      </c>
      <c r="Y87" s="2"/>
      <c r="Z87" s="7">
        <f t="shared" si="52"/>
        <v>0</v>
      </c>
    </row>
    <row r="88" spans="1:26" s="24" customFormat="1" hidden="1" outlineLevel="2" x14ac:dyDescent="0.25">
      <c r="A88" s="25"/>
      <c r="B88" s="11" t="str">
        <f>CONCATENATE("          ", "6259", " - ", "ROYALTY &amp; COMMISSIONS")</f>
        <v xml:space="preserve">          6259 - ROYALTY &amp; COMMISSIONS</v>
      </c>
      <c r="C88" s="11"/>
      <c r="D88" s="6"/>
      <c r="E88" s="2"/>
      <c r="F88" s="7">
        <f t="shared" si="45"/>
        <v>0</v>
      </c>
      <c r="G88" s="2"/>
      <c r="H88" s="6">
        <v>3574</v>
      </c>
      <c r="I88" s="2"/>
      <c r="J88" s="7">
        <f t="shared" si="46"/>
        <v>9.6370857927136726E-3</v>
      </c>
      <c r="K88" s="2"/>
      <c r="L88" s="6">
        <f t="shared" si="47"/>
        <v>-3574</v>
      </c>
      <c r="M88" s="2"/>
      <c r="N88" s="7">
        <f t="shared" si="48"/>
        <v>-1</v>
      </c>
      <c r="O88" s="11"/>
      <c r="P88" s="6"/>
      <c r="Q88" s="2"/>
      <c r="R88" s="7">
        <f t="shared" si="49"/>
        <v>0</v>
      </c>
      <c r="S88" s="2"/>
      <c r="T88" s="6">
        <v>20483</v>
      </c>
      <c r="U88" s="2"/>
      <c r="V88" s="7">
        <f t="shared" si="50"/>
        <v>9.4070123966080547E-3</v>
      </c>
      <c r="W88" s="2"/>
      <c r="X88" s="6">
        <f t="shared" si="51"/>
        <v>-20483</v>
      </c>
      <c r="Y88" s="2"/>
      <c r="Z88" s="7">
        <f t="shared" si="52"/>
        <v>-1</v>
      </c>
    </row>
    <row r="89" spans="1:26" s="27" customFormat="1" outlineLevel="1" collapsed="1" x14ac:dyDescent="0.25">
      <c r="A89" s="26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SUM(OSRRefD22_17x_0)</f>
        <v>1949.6100000000001</v>
      </c>
      <c r="E89" s="1"/>
      <c r="F89" s="5">
        <f t="shared" ref="F89:F94" si="53">IF(D$12=0,0,D89/D$12)</f>
        <v>4.9472906642698397E-3</v>
      </c>
      <c r="G89" s="1"/>
      <c r="H89" s="1">
        <f>SUM(OSRRefH22_17x_0)</f>
        <v>1046</v>
      </c>
      <c r="I89" s="1"/>
      <c r="J89" s="5">
        <f t="shared" ref="J89:J94" si="54">IF(H$12=0,0,H89/H$12)</f>
        <v>2.8204789421316457E-3</v>
      </c>
      <c r="K89" s="1"/>
      <c r="L89" s="1">
        <f t="shared" ref="L89:L94" si="55">+D89-H89</f>
        <v>903.61000000000013</v>
      </c>
      <c r="M89" s="1"/>
      <c r="N89" s="5">
        <f t="shared" ref="N89:N94" si="56">IF(H89=0,0,L89/H89)</f>
        <v>0.86387189292543032</v>
      </c>
      <c r="O89" s="13"/>
      <c r="P89" s="1">
        <f>SUM(OSRRefP22_17x_0)</f>
        <v>14538.470000000001</v>
      </c>
      <c r="Q89" s="1"/>
      <c r="R89" s="5">
        <f t="shared" ref="R89:R94" si="57">IF(P$12=0,0,P89/P$12)</f>
        <v>6.6022133520330373E-3</v>
      </c>
      <c r="S89" s="1"/>
      <c r="T89" s="1">
        <f>SUM(OSRRefT22_17x_0)</f>
        <v>6897</v>
      </c>
      <c r="U89" s="1"/>
      <c r="V89" s="5">
        <f t="shared" ref="V89:V94" si="58">IF(T$12=0,0,T89/T$12)</f>
        <v>3.1675127910660429E-3</v>
      </c>
      <c r="W89" s="1"/>
      <c r="X89" s="1">
        <f t="shared" ref="X89:X94" si="59">+P89-T89</f>
        <v>7641.4700000000012</v>
      </c>
      <c r="Y89" s="1"/>
      <c r="Z89" s="5">
        <f t="shared" ref="Z89:Z94" si="60">IF(T89=0,0,X89/T89)</f>
        <v>1.1079411338263014</v>
      </c>
    </row>
    <row r="90" spans="1:26" s="24" customFormat="1" hidden="1" outlineLevel="2" x14ac:dyDescent="0.25">
      <c r="A90" s="25"/>
      <c r="B90" s="11" t="str">
        <f>CONCATENATE("          ", "6281", " - ", "STORAGE FEE")</f>
        <v xml:space="preserve">          6281 - STORAGE FEE</v>
      </c>
      <c r="C90" s="11"/>
      <c r="D90" s="6"/>
      <c r="E90" s="2"/>
      <c r="F90" s="7">
        <f t="shared" si="53"/>
        <v>0</v>
      </c>
      <c r="G90" s="2"/>
      <c r="H90" s="6"/>
      <c r="I90" s="2"/>
      <c r="J90" s="7">
        <f t="shared" si="54"/>
        <v>0</v>
      </c>
      <c r="K90" s="2"/>
      <c r="L90" s="6">
        <f t="shared" si="55"/>
        <v>0</v>
      </c>
      <c r="M90" s="2"/>
      <c r="N90" s="7">
        <f t="shared" si="56"/>
        <v>0</v>
      </c>
      <c r="O90" s="11"/>
      <c r="P90" s="6"/>
      <c r="Q90" s="2"/>
      <c r="R90" s="7">
        <f t="shared" si="57"/>
        <v>0</v>
      </c>
      <c r="S90" s="2"/>
      <c r="T90" s="6">
        <v>0</v>
      </c>
      <c r="U90" s="2"/>
      <c r="V90" s="7">
        <f t="shared" si="58"/>
        <v>0</v>
      </c>
      <c r="W90" s="2"/>
      <c r="X90" s="6">
        <f t="shared" si="59"/>
        <v>0</v>
      </c>
      <c r="Y90" s="2"/>
      <c r="Z90" s="7">
        <f t="shared" si="60"/>
        <v>0</v>
      </c>
    </row>
    <row r="91" spans="1:26" s="24" customFormat="1" hidden="1" outlineLevel="2" x14ac:dyDescent="0.25">
      <c r="A91" s="25"/>
      <c r="B91" s="11" t="str">
        <f>CONCATENATE("          ", "6282", " - ", "JANITORIAL/EXTERMINATOR EXPENS")</f>
        <v xml:space="preserve">          6282 - JANITORIAL/EXTERMINATOR EXPENS</v>
      </c>
      <c r="C91" s="11"/>
      <c r="D91" s="6">
        <v>800.44</v>
      </c>
      <c r="E91" s="2"/>
      <c r="F91" s="7">
        <f t="shared" si="53"/>
        <v>2.0311802562092674E-3</v>
      </c>
      <c r="G91" s="2"/>
      <c r="H91" s="6">
        <v>568</v>
      </c>
      <c r="I91" s="2"/>
      <c r="J91" s="7">
        <f t="shared" si="54"/>
        <v>1.5315793873143162E-3</v>
      </c>
      <c r="K91" s="2"/>
      <c r="L91" s="6">
        <f t="shared" si="55"/>
        <v>232.44000000000005</v>
      </c>
      <c r="M91" s="2"/>
      <c r="N91" s="7">
        <f t="shared" si="56"/>
        <v>0.40922535211267613</v>
      </c>
      <c r="O91" s="11"/>
      <c r="P91" s="6">
        <v>5437.81</v>
      </c>
      <c r="Q91" s="2"/>
      <c r="R91" s="7">
        <f t="shared" si="57"/>
        <v>2.4694195323042086E-3</v>
      </c>
      <c r="S91" s="2"/>
      <c r="T91" s="6">
        <v>3746</v>
      </c>
      <c r="U91" s="2"/>
      <c r="V91" s="7">
        <f t="shared" si="58"/>
        <v>1.7203860976269967E-3</v>
      </c>
      <c r="W91" s="2"/>
      <c r="X91" s="6">
        <f t="shared" si="59"/>
        <v>1691.8100000000004</v>
      </c>
      <c r="Y91" s="2"/>
      <c r="Z91" s="7">
        <f t="shared" si="60"/>
        <v>0.45163107314468776</v>
      </c>
    </row>
    <row r="92" spans="1:26" s="24" customFormat="1" hidden="1" outlineLevel="2" x14ac:dyDescent="0.25">
      <c r="A92" s="25"/>
      <c r="B92" s="11" t="str">
        <f>CONCATENATE("          ", "6284", " - ", "TRASH REMOVAL EXPENSE")</f>
        <v xml:space="preserve">          6284 - TRASH REMOVAL EXPENSE</v>
      </c>
      <c r="C92" s="11"/>
      <c r="D92" s="6">
        <v>289</v>
      </c>
      <c r="E92" s="2"/>
      <c r="F92" s="7">
        <f t="shared" si="53"/>
        <v>7.3336051926999935E-4</v>
      </c>
      <c r="G92" s="2"/>
      <c r="H92" s="6">
        <v>150</v>
      </c>
      <c r="I92" s="2"/>
      <c r="J92" s="7">
        <f t="shared" si="54"/>
        <v>4.0446638749497786E-4</v>
      </c>
      <c r="K92" s="2"/>
      <c r="L92" s="6">
        <f t="shared" si="55"/>
        <v>139</v>
      </c>
      <c r="M92" s="2"/>
      <c r="N92" s="7">
        <f t="shared" si="56"/>
        <v>0.92666666666666664</v>
      </c>
      <c r="O92" s="11"/>
      <c r="P92" s="6">
        <v>2311</v>
      </c>
      <c r="Q92" s="2"/>
      <c r="R92" s="7">
        <f t="shared" si="57"/>
        <v>1.049471853403305E-3</v>
      </c>
      <c r="S92" s="2"/>
      <c r="T92" s="6">
        <v>1200</v>
      </c>
      <c r="U92" s="2"/>
      <c r="V92" s="7">
        <f t="shared" si="58"/>
        <v>5.5111140340427024E-4</v>
      </c>
      <c r="W92" s="2"/>
      <c r="X92" s="6">
        <f t="shared" si="59"/>
        <v>1111</v>
      </c>
      <c r="Y92" s="2"/>
      <c r="Z92" s="7">
        <f t="shared" si="60"/>
        <v>0.92583333333333329</v>
      </c>
    </row>
    <row r="93" spans="1:26" s="24" customFormat="1" hidden="1" outlineLevel="2" x14ac:dyDescent="0.25">
      <c r="A93" s="25"/>
      <c r="B93" s="11" t="str">
        <f>CONCATENATE("          ", "6285", " - ", "JANITORIAL SERVICES")</f>
        <v xml:space="preserve">          6285 - JANITORIAL SERVICES</v>
      </c>
      <c r="C93" s="11"/>
      <c r="D93" s="6">
        <v>134.1</v>
      </c>
      <c r="E93" s="2"/>
      <c r="F93" s="7">
        <f t="shared" si="53"/>
        <v>3.4028943125988552E-4</v>
      </c>
      <c r="G93" s="2"/>
      <c r="H93" s="6">
        <v>238</v>
      </c>
      <c r="I93" s="2"/>
      <c r="J93" s="7">
        <f t="shared" si="54"/>
        <v>6.4175333482536492E-4</v>
      </c>
      <c r="K93" s="2"/>
      <c r="L93" s="6">
        <f t="shared" si="55"/>
        <v>-103.9</v>
      </c>
      <c r="M93" s="2"/>
      <c r="N93" s="7">
        <f t="shared" si="56"/>
        <v>-0.4365546218487395</v>
      </c>
      <c r="O93" s="11"/>
      <c r="P93" s="6">
        <v>919.58</v>
      </c>
      <c r="Q93" s="2"/>
      <c r="R93" s="7">
        <f t="shared" si="57"/>
        <v>4.1759988184881489E-4</v>
      </c>
      <c r="S93" s="2"/>
      <c r="T93" s="6">
        <v>1366</v>
      </c>
      <c r="U93" s="2"/>
      <c r="V93" s="7">
        <f t="shared" si="58"/>
        <v>6.2734848087519428E-4</v>
      </c>
      <c r="W93" s="2"/>
      <c r="X93" s="6">
        <f t="shared" si="59"/>
        <v>-446.41999999999996</v>
      </c>
      <c r="Y93" s="2"/>
      <c r="Z93" s="7">
        <f t="shared" si="60"/>
        <v>-0.32680819912152265</v>
      </c>
    </row>
    <row r="94" spans="1:26" s="24" customFormat="1" hidden="1" outlineLevel="2" x14ac:dyDescent="0.25">
      <c r="A94" s="25"/>
      <c r="B94" s="11" t="str">
        <f>CONCATENATE("          ", "6286", " - ", "LAUNDRY EXPENSE")</f>
        <v xml:space="preserve">          6286 - LAUNDRY EXPENSE</v>
      </c>
      <c r="C94" s="11"/>
      <c r="D94" s="6">
        <v>726.07</v>
      </c>
      <c r="E94" s="2"/>
      <c r="F94" s="7">
        <f t="shared" si="53"/>
        <v>1.8424604575306867E-3</v>
      </c>
      <c r="G94" s="2"/>
      <c r="H94" s="6">
        <v>90</v>
      </c>
      <c r="I94" s="2"/>
      <c r="J94" s="7">
        <f t="shared" si="54"/>
        <v>2.4267983249698672E-4</v>
      </c>
      <c r="K94" s="2"/>
      <c r="L94" s="6">
        <f t="shared" si="55"/>
        <v>636.07000000000005</v>
      </c>
      <c r="M94" s="2"/>
      <c r="N94" s="7">
        <f t="shared" si="56"/>
        <v>7.0674444444444449</v>
      </c>
      <c r="O94" s="11"/>
      <c r="P94" s="6">
        <v>5870.08</v>
      </c>
      <c r="Q94" s="2"/>
      <c r="R94" s="7">
        <f t="shared" si="57"/>
        <v>2.6657220844767079E-3</v>
      </c>
      <c r="S94" s="2"/>
      <c r="T94" s="6">
        <v>585</v>
      </c>
      <c r="U94" s="2"/>
      <c r="V94" s="7">
        <f t="shared" si="58"/>
        <v>2.6866680915958171E-4</v>
      </c>
      <c r="W94" s="2"/>
      <c r="X94" s="6">
        <f t="shared" si="59"/>
        <v>5285.08</v>
      </c>
      <c r="Y94" s="2"/>
      <c r="Z94" s="7">
        <f t="shared" si="60"/>
        <v>9.0343247863247864</v>
      </c>
    </row>
    <row r="95" spans="1:26" s="27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SUM(OSRRefD22_18x_0)</f>
        <v>176.4</v>
      </c>
      <c r="E95" s="1"/>
      <c r="F95" s="5">
        <f t="shared" ref="F95:F106" si="61">IF(D$12=0,0,D95/D$12)</f>
        <v>4.4762905051635949E-4</v>
      </c>
      <c r="G95" s="1"/>
      <c r="H95" s="1">
        <f>SUM(OSRRefH22_18x_0)</f>
        <v>180</v>
      </c>
      <c r="I95" s="1"/>
      <c r="J95" s="5">
        <f t="shared" ref="J95:J106" si="62">IF(H$12=0,0,H95/H$12)</f>
        <v>4.8535966499397345E-4</v>
      </c>
      <c r="K95" s="1"/>
      <c r="L95" s="1">
        <f t="shared" ref="L95:L106" si="63">+D95-H95</f>
        <v>-3.5999999999999943</v>
      </c>
      <c r="M95" s="1"/>
      <c r="N95" s="5">
        <f t="shared" ref="N95:N106" si="64">IF(H95=0,0,L95/H95)</f>
        <v>-1.9999999999999969E-2</v>
      </c>
      <c r="O95" s="13"/>
      <c r="P95" s="1">
        <f>SUM(OSRRefP22_18x_0)</f>
        <v>1411.2</v>
      </c>
      <c r="Q95" s="1"/>
      <c r="R95" s="5">
        <f t="shared" ref="R95:R106" si="65">IF(P$12=0,0,P95/P$12)</f>
        <v>6.4085446971992382E-4</v>
      </c>
      <c r="S95" s="1"/>
      <c r="T95" s="1">
        <f>SUM(OSRRefT22_18x_0)</f>
        <v>1440</v>
      </c>
      <c r="U95" s="1"/>
      <c r="V95" s="5">
        <f t="shared" ref="V95:V106" si="66">IF(T$12=0,0,T95/T$12)</f>
        <v>6.6133368408512422E-4</v>
      </c>
      <c r="W95" s="1"/>
      <c r="X95" s="1">
        <f t="shared" ref="X95:X106" si="67">+P95-T95</f>
        <v>-28.799999999999955</v>
      </c>
      <c r="Y95" s="1"/>
      <c r="Z95" s="5">
        <f t="shared" ref="Z95:Z106" si="68">IF(T95=0,0,X95/T95)</f>
        <v>-1.9999999999999969E-2</v>
      </c>
    </row>
    <row r="96" spans="1:26" s="24" customFormat="1" hidden="1" outlineLevel="2" x14ac:dyDescent="0.25">
      <c r="A96" s="25"/>
      <c r="B96" s="11" t="str">
        <f>CONCATENATE("          ", "6275", " - ", "SUBSCRIPTIONS")</f>
        <v xml:space="preserve">          6275 - SUBSCRIPTIONS</v>
      </c>
      <c r="C96" s="11"/>
      <c r="D96" s="6">
        <v>176.4</v>
      </c>
      <c r="E96" s="2"/>
      <c r="F96" s="7">
        <f t="shared" si="61"/>
        <v>4.4762905051635949E-4</v>
      </c>
      <c r="G96" s="2"/>
      <c r="H96" s="6">
        <v>180</v>
      </c>
      <c r="I96" s="2"/>
      <c r="J96" s="7">
        <f t="shared" si="62"/>
        <v>4.8535966499397345E-4</v>
      </c>
      <c r="K96" s="2"/>
      <c r="L96" s="6">
        <f t="shared" si="63"/>
        <v>-3.5999999999999943</v>
      </c>
      <c r="M96" s="2"/>
      <c r="N96" s="7">
        <f t="shared" si="64"/>
        <v>-1.9999999999999969E-2</v>
      </c>
      <c r="O96" s="11"/>
      <c r="P96" s="6">
        <v>1411.2</v>
      </c>
      <c r="Q96" s="2"/>
      <c r="R96" s="7">
        <f t="shared" si="65"/>
        <v>6.4085446971992382E-4</v>
      </c>
      <c r="S96" s="2"/>
      <c r="T96" s="6">
        <v>1440</v>
      </c>
      <c r="U96" s="2"/>
      <c r="V96" s="7">
        <f t="shared" si="66"/>
        <v>6.6133368408512422E-4</v>
      </c>
      <c r="W96" s="2"/>
      <c r="X96" s="6">
        <f t="shared" si="67"/>
        <v>-28.799999999999955</v>
      </c>
      <c r="Y96" s="2"/>
      <c r="Z96" s="7">
        <f t="shared" si="68"/>
        <v>-1.9999999999999969E-2</v>
      </c>
    </row>
    <row r="97" spans="1:26" s="27" customFormat="1" outlineLevel="1" collapsed="1" x14ac:dyDescent="0.25">
      <c r="A97" s="26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SUM(OSRRefD22_19x_0)</f>
        <v>7789.3099999999995</v>
      </c>
      <c r="E97" s="1"/>
      <c r="F97" s="5">
        <f t="shared" si="61"/>
        <v>1.9765994554861586E-2</v>
      </c>
      <c r="G97" s="1"/>
      <c r="H97" s="1">
        <f>SUM(OSRRefH22_19x_0)</f>
        <v>4167</v>
      </c>
      <c r="I97" s="1"/>
      <c r="J97" s="5">
        <f t="shared" si="62"/>
        <v>1.1236076244610486E-2</v>
      </c>
      <c r="K97" s="1"/>
      <c r="L97" s="1">
        <f t="shared" si="63"/>
        <v>3622.3099999999995</v>
      </c>
      <c r="M97" s="1"/>
      <c r="N97" s="5">
        <f t="shared" si="64"/>
        <v>0.86928485721142301</v>
      </c>
      <c r="O97" s="13"/>
      <c r="P97" s="1">
        <f>SUM(OSRRefP22_19x_0)</f>
        <v>49047.55</v>
      </c>
      <c r="Q97" s="1"/>
      <c r="R97" s="5">
        <f t="shared" si="65"/>
        <v>2.2273484726694624E-2</v>
      </c>
      <c r="S97" s="1"/>
      <c r="T97" s="1">
        <f>SUM(OSRRefT22_19x_0)</f>
        <v>28720</v>
      </c>
      <c r="U97" s="1"/>
      <c r="V97" s="5">
        <f t="shared" si="66"/>
        <v>1.3189932921475533E-2</v>
      </c>
      <c r="W97" s="1"/>
      <c r="X97" s="1">
        <f t="shared" si="67"/>
        <v>20327.550000000003</v>
      </c>
      <c r="Y97" s="1"/>
      <c r="Z97" s="5">
        <f t="shared" si="68"/>
        <v>0.70778377437325912</v>
      </c>
    </row>
    <row r="98" spans="1:26" s="24" customFormat="1" hidden="1" outlineLevel="2" x14ac:dyDescent="0.25">
      <c r="A98" s="25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61"/>
        <v>0</v>
      </c>
      <c r="G98" s="2"/>
      <c r="H98" s="6"/>
      <c r="I98" s="2"/>
      <c r="J98" s="7">
        <f t="shared" si="62"/>
        <v>0</v>
      </c>
      <c r="K98" s="2"/>
      <c r="L98" s="6">
        <f t="shared" si="63"/>
        <v>0</v>
      </c>
      <c r="M98" s="2"/>
      <c r="N98" s="7">
        <f t="shared" si="64"/>
        <v>0</v>
      </c>
      <c r="O98" s="11"/>
      <c r="P98" s="6">
        <v>1092.46</v>
      </c>
      <c r="Q98" s="2"/>
      <c r="R98" s="7">
        <f t="shared" si="65"/>
        <v>4.9610818735135208E-4</v>
      </c>
      <c r="S98" s="2"/>
      <c r="T98" s="6">
        <v>3000</v>
      </c>
      <c r="U98" s="2"/>
      <c r="V98" s="7">
        <f t="shared" si="66"/>
        <v>1.3777785085106755E-3</v>
      </c>
      <c r="W98" s="2"/>
      <c r="X98" s="6">
        <f t="shared" si="67"/>
        <v>-1907.54</v>
      </c>
      <c r="Y98" s="2"/>
      <c r="Z98" s="7">
        <f t="shared" si="68"/>
        <v>-0.63584666666666667</v>
      </c>
    </row>
    <row r="99" spans="1:26" s="24" customFormat="1" hidden="1" outlineLevel="2" x14ac:dyDescent="0.25">
      <c r="A99" s="25"/>
      <c r="B99" s="11" t="str">
        <f>CONCATENATE("          ", "6237", " - ", "JANITORIAL SUPPLIES")</f>
        <v xml:space="preserve">          6237 - JANITORIAL SUPPLIES</v>
      </c>
      <c r="C99" s="11"/>
      <c r="D99" s="6">
        <v>1053.23</v>
      </c>
      <c r="E99" s="2"/>
      <c r="F99" s="7">
        <f t="shared" si="61"/>
        <v>2.6726550163001434E-3</v>
      </c>
      <c r="G99" s="2"/>
      <c r="H99" s="6">
        <v>100</v>
      </c>
      <c r="I99" s="2"/>
      <c r="J99" s="7">
        <f t="shared" si="62"/>
        <v>2.6964425832998526E-4</v>
      </c>
      <c r="K99" s="2"/>
      <c r="L99" s="6">
        <f t="shared" si="63"/>
        <v>953.23</v>
      </c>
      <c r="M99" s="2"/>
      <c r="N99" s="7">
        <f t="shared" si="64"/>
        <v>9.5322999999999993</v>
      </c>
      <c r="O99" s="11"/>
      <c r="P99" s="6">
        <v>4418.97</v>
      </c>
      <c r="Q99" s="2"/>
      <c r="R99" s="7">
        <f t="shared" si="65"/>
        <v>2.0067436763451332E-3</v>
      </c>
      <c r="S99" s="2"/>
      <c r="T99" s="6">
        <v>1200</v>
      </c>
      <c r="U99" s="2"/>
      <c r="V99" s="7">
        <f t="shared" si="66"/>
        <v>5.5111140340427024E-4</v>
      </c>
      <c r="W99" s="2"/>
      <c r="X99" s="6">
        <f t="shared" si="67"/>
        <v>3218.9700000000003</v>
      </c>
      <c r="Y99" s="2"/>
      <c r="Z99" s="7">
        <f t="shared" si="68"/>
        <v>2.6824750000000002</v>
      </c>
    </row>
    <row r="100" spans="1:26" s="24" customFormat="1" hidden="1" outlineLevel="2" x14ac:dyDescent="0.25">
      <c r="A100" s="25"/>
      <c r="B100" s="11" t="str">
        <f>CONCATENATE("          ", "6239", " - ", "KITCHEN SUPPLIES")</f>
        <v xml:space="preserve">          6239 - KITCHEN SUPPLIES</v>
      </c>
      <c r="C100" s="11"/>
      <c r="D100" s="6">
        <v>377.28</v>
      </c>
      <c r="E100" s="2"/>
      <c r="F100" s="7">
        <f t="shared" si="61"/>
        <v>9.5737805090029531E-4</v>
      </c>
      <c r="G100" s="2"/>
      <c r="H100" s="6"/>
      <c r="I100" s="2"/>
      <c r="J100" s="7">
        <f t="shared" si="62"/>
        <v>0</v>
      </c>
      <c r="K100" s="2"/>
      <c r="L100" s="6">
        <f t="shared" si="63"/>
        <v>377.28</v>
      </c>
      <c r="M100" s="2"/>
      <c r="N100" s="7">
        <f t="shared" si="64"/>
        <v>0</v>
      </c>
      <c r="O100" s="11"/>
      <c r="P100" s="6">
        <v>441.2</v>
      </c>
      <c r="Q100" s="2"/>
      <c r="R100" s="7">
        <f t="shared" si="65"/>
        <v>2.0035784583363831E-4</v>
      </c>
      <c r="S100" s="2"/>
      <c r="T100" s="6"/>
      <c r="U100" s="2"/>
      <c r="V100" s="7">
        <f t="shared" si="66"/>
        <v>0</v>
      </c>
      <c r="W100" s="2"/>
      <c r="X100" s="6">
        <f t="shared" si="67"/>
        <v>441.2</v>
      </c>
      <c r="Y100" s="2"/>
      <c r="Z100" s="7">
        <f t="shared" si="68"/>
        <v>0</v>
      </c>
    </row>
    <row r="101" spans="1:26" s="24" customFormat="1" hidden="1" outlineLevel="2" x14ac:dyDescent="0.25">
      <c r="A101" s="25"/>
      <c r="B101" s="11" t="str">
        <f>CONCATENATE("          ", "6241", " - ", "OFFICE EXPENSE")</f>
        <v xml:space="preserve">          6241 - OFFICE EXPENSE</v>
      </c>
      <c r="C101" s="11"/>
      <c r="D101" s="6">
        <v>183.29</v>
      </c>
      <c r="E101" s="2"/>
      <c r="F101" s="7">
        <f t="shared" si="61"/>
        <v>4.651129743148726E-4</v>
      </c>
      <c r="G101" s="2"/>
      <c r="H101" s="6">
        <v>120</v>
      </c>
      <c r="I101" s="2"/>
      <c r="J101" s="7">
        <f t="shared" si="62"/>
        <v>3.2357310999598228E-4</v>
      </c>
      <c r="K101" s="2"/>
      <c r="L101" s="6">
        <f t="shared" si="63"/>
        <v>63.289999999999992</v>
      </c>
      <c r="M101" s="2"/>
      <c r="N101" s="7">
        <f t="shared" si="64"/>
        <v>0.52741666666666664</v>
      </c>
      <c r="O101" s="11"/>
      <c r="P101" s="6">
        <v>2343.4699999999998</v>
      </c>
      <c r="Q101" s="2"/>
      <c r="R101" s="7">
        <f t="shared" si="65"/>
        <v>1.0642171372977252E-3</v>
      </c>
      <c r="S101" s="2"/>
      <c r="T101" s="6">
        <v>480</v>
      </c>
      <c r="U101" s="2"/>
      <c r="V101" s="7">
        <f t="shared" si="66"/>
        <v>2.2044456136170807E-4</v>
      </c>
      <c r="W101" s="2"/>
      <c r="X101" s="6">
        <f t="shared" si="67"/>
        <v>1863.4699999999998</v>
      </c>
      <c r="Y101" s="2"/>
      <c r="Z101" s="7">
        <f t="shared" si="68"/>
        <v>3.8822291666666664</v>
      </c>
    </row>
    <row r="102" spans="1:26" s="24" customFormat="1" hidden="1" outlineLevel="2" x14ac:dyDescent="0.25">
      <c r="A102" s="25"/>
      <c r="B102" s="11" t="str">
        <f>CONCATENATE("          ", "6243", " - ", "PAPER SUPPLIES")</f>
        <v xml:space="preserve">          6243 - PAPER SUPPLIES</v>
      </c>
      <c r="C102" s="11"/>
      <c r="D102" s="6">
        <v>906.34</v>
      </c>
      <c r="E102" s="2"/>
      <c r="F102" s="7">
        <f t="shared" si="61"/>
        <v>2.2999099412981702E-3</v>
      </c>
      <c r="G102" s="2"/>
      <c r="H102" s="6"/>
      <c r="I102" s="2"/>
      <c r="J102" s="7">
        <f t="shared" si="62"/>
        <v>0</v>
      </c>
      <c r="K102" s="2"/>
      <c r="L102" s="6">
        <f t="shared" si="63"/>
        <v>906.34</v>
      </c>
      <c r="M102" s="2"/>
      <c r="N102" s="7">
        <f t="shared" si="64"/>
        <v>0</v>
      </c>
      <c r="O102" s="11"/>
      <c r="P102" s="6">
        <v>4837.4799999999996</v>
      </c>
      <c r="Q102" s="2"/>
      <c r="R102" s="7">
        <f t="shared" si="65"/>
        <v>2.1967975341416787E-3</v>
      </c>
      <c r="S102" s="2"/>
      <c r="T102" s="6"/>
      <c r="U102" s="2"/>
      <c r="V102" s="7">
        <f t="shared" si="66"/>
        <v>0</v>
      </c>
      <c r="W102" s="2"/>
      <c r="X102" s="6">
        <f t="shared" si="67"/>
        <v>4837.4799999999996</v>
      </c>
      <c r="Y102" s="2"/>
      <c r="Z102" s="7">
        <f t="shared" si="68"/>
        <v>0</v>
      </c>
    </row>
    <row r="103" spans="1:26" s="24" customFormat="1" hidden="1" outlineLevel="2" x14ac:dyDescent="0.25">
      <c r="A103" s="25"/>
      <c r="B103" s="11" t="str">
        <f>CONCATENATE("          ", "6244", " - ", "SAFETY SUPPLY EXPENSE")</f>
        <v xml:space="preserve">          6244 - SAFETY SUPPLY EXPENSE</v>
      </c>
      <c r="C103" s="11"/>
      <c r="D103" s="6"/>
      <c r="E103" s="2"/>
      <c r="F103" s="7">
        <f t="shared" si="61"/>
        <v>0</v>
      </c>
      <c r="G103" s="2"/>
      <c r="H103" s="6"/>
      <c r="I103" s="2"/>
      <c r="J103" s="7">
        <f t="shared" si="62"/>
        <v>0</v>
      </c>
      <c r="K103" s="2"/>
      <c r="L103" s="6">
        <f t="shared" si="63"/>
        <v>0</v>
      </c>
      <c r="M103" s="2"/>
      <c r="N103" s="7">
        <f t="shared" si="64"/>
        <v>0</v>
      </c>
      <c r="O103" s="11"/>
      <c r="P103" s="6"/>
      <c r="Q103" s="2"/>
      <c r="R103" s="7">
        <f t="shared" si="65"/>
        <v>0</v>
      </c>
      <c r="S103" s="2"/>
      <c r="T103" s="6">
        <v>30</v>
      </c>
      <c r="U103" s="2"/>
      <c r="V103" s="7">
        <f t="shared" si="66"/>
        <v>1.3777785085106755E-5</v>
      </c>
      <c r="W103" s="2"/>
      <c r="X103" s="6">
        <f t="shared" si="67"/>
        <v>-30</v>
      </c>
      <c r="Y103" s="2"/>
      <c r="Z103" s="7">
        <f t="shared" si="68"/>
        <v>-1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61"/>
        <v>0</v>
      </c>
      <c r="G104" s="2"/>
      <c r="H104" s="6"/>
      <c r="I104" s="2"/>
      <c r="J104" s="7">
        <f t="shared" si="62"/>
        <v>0</v>
      </c>
      <c r="K104" s="2"/>
      <c r="L104" s="6">
        <f t="shared" si="63"/>
        <v>0</v>
      </c>
      <c r="M104" s="2"/>
      <c r="N104" s="7">
        <f t="shared" si="64"/>
        <v>0</v>
      </c>
      <c r="O104" s="11"/>
      <c r="P104" s="6">
        <v>81.739999999999995</v>
      </c>
      <c r="Q104" s="2"/>
      <c r="R104" s="7">
        <f t="shared" si="65"/>
        <v>3.7119787666458738E-5</v>
      </c>
      <c r="S104" s="2"/>
      <c r="T104" s="6"/>
      <c r="U104" s="2"/>
      <c r="V104" s="7">
        <f t="shared" si="66"/>
        <v>0</v>
      </c>
      <c r="W104" s="2"/>
      <c r="X104" s="6">
        <f t="shared" si="67"/>
        <v>81.739999999999995</v>
      </c>
      <c r="Y104" s="2"/>
      <c r="Z104" s="7">
        <f t="shared" si="68"/>
        <v>0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6">
        <v>5269.17</v>
      </c>
      <c r="E105" s="2"/>
      <c r="F105" s="7">
        <f t="shared" si="61"/>
        <v>1.3370938572048106E-2</v>
      </c>
      <c r="G105" s="2"/>
      <c r="H105" s="6">
        <v>3947</v>
      </c>
      <c r="I105" s="2"/>
      <c r="J105" s="7">
        <f t="shared" si="62"/>
        <v>1.0642858876284517E-2</v>
      </c>
      <c r="K105" s="2"/>
      <c r="L105" s="6">
        <f t="shared" si="63"/>
        <v>1322.17</v>
      </c>
      <c r="M105" s="2"/>
      <c r="N105" s="7">
        <f t="shared" si="64"/>
        <v>0.33498099822650118</v>
      </c>
      <c r="O105" s="11"/>
      <c r="P105" s="6">
        <v>35832.230000000003</v>
      </c>
      <c r="Q105" s="2"/>
      <c r="R105" s="7">
        <f t="shared" si="65"/>
        <v>1.6272140558058635E-2</v>
      </c>
      <c r="S105" s="2"/>
      <c r="T105" s="6">
        <v>23410</v>
      </c>
      <c r="U105" s="2"/>
      <c r="V105" s="7">
        <f t="shared" si="66"/>
        <v>1.0751264961411638E-2</v>
      </c>
      <c r="W105" s="2"/>
      <c r="X105" s="6">
        <f t="shared" si="67"/>
        <v>12422.230000000003</v>
      </c>
      <c r="Y105" s="2"/>
      <c r="Z105" s="7">
        <f t="shared" si="68"/>
        <v>0.53063776164032483</v>
      </c>
    </row>
    <row r="106" spans="1:26" s="24" customFormat="1" hidden="1" outlineLevel="2" x14ac:dyDescent="0.25">
      <c r="A106" s="25"/>
      <c r="B106" s="11" t="str">
        <f>CONCATENATE("          ", "6248", " - ", "UNIFORMS")</f>
        <v xml:space="preserve">          6248 - UNIFORMS</v>
      </c>
      <c r="C106" s="11"/>
      <c r="D106" s="6"/>
      <c r="E106" s="2"/>
      <c r="F106" s="7">
        <f t="shared" si="61"/>
        <v>0</v>
      </c>
      <c r="G106" s="2"/>
      <c r="H106" s="6"/>
      <c r="I106" s="2"/>
      <c r="J106" s="7">
        <f t="shared" si="62"/>
        <v>0</v>
      </c>
      <c r="K106" s="2"/>
      <c r="L106" s="6">
        <f t="shared" si="63"/>
        <v>0</v>
      </c>
      <c r="M106" s="2"/>
      <c r="N106" s="7">
        <f t="shared" si="64"/>
        <v>0</v>
      </c>
      <c r="O106" s="11"/>
      <c r="P106" s="6"/>
      <c r="Q106" s="2"/>
      <c r="R106" s="7">
        <f t="shared" si="65"/>
        <v>0</v>
      </c>
      <c r="S106" s="2"/>
      <c r="T106" s="6">
        <v>600</v>
      </c>
      <c r="U106" s="2"/>
      <c r="V106" s="7">
        <f t="shared" si="66"/>
        <v>2.7555570170213512E-4</v>
      </c>
      <c r="W106" s="2"/>
      <c r="X106" s="6">
        <f t="shared" si="67"/>
        <v>-600</v>
      </c>
      <c r="Y106" s="2"/>
      <c r="Z106" s="7">
        <f t="shared" si="68"/>
        <v>-1</v>
      </c>
    </row>
    <row r="107" spans="1:26" s="27" customFormat="1" outlineLevel="1" collapsed="1" x14ac:dyDescent="0.25">
      <c r="A107" s="26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SUM(OSRRefD22_20x_0)</f>
        <v>443.41</v>
      </c>
      <c r="E107" s="1"/>
      <c r="F107" s="5">
        <f t="shared" ref="F107:F114" si="69">IF(D$12=0,0,D107/D$12)</f>
        <v>1.1251881932509012E-3</v>
      </c>
      <c r="G107" s="1"/>
      <c r="H107" s="1">
        <f>SUM(OSRRefH22_20x_0)</f>
        <v>340</v>
      </c>
      <c r="I107" s="1"/>
      <c r="J107" s="5">
        <f t="shared" ref="J107:J114" si="70">IF(H$12=0,0,H107/H$12)</f>
        <v>9.1679047832194987E-4</v>
      </c>
      <c r="K107" s="1"/>
      <c r="L107" s="1">
        <f t="shared" ref="L107:L114" si="71">+D107-H107</f>
        <v>103.41000000000003</v>
      </c>
      <c r="M107" s="1"/>
      <c r="N107" s="5">
        <f t="shared" ref="N107:N114" si="72">IF(H107=0,0,L107/H107)</f>
        <v>0.30414705882352949</v>
      </c>
      <c r="O107" s="13"/>
      <c r="P107" s="1">
        <f>SUM(OSRRefP22_20x_0)</f>
        <v>2932.93</v>
      </c>
      <c r="Q107" s="1"/>
      <c r="R107" s="5">
        <f t="shared" ref="R107:R114" si="73">IF(P$12=0,0,P107/P$12)</f>
        <v>1.3319028485513436E-3</v>
      </c>
      <c r="S107" s="1"/>
      <c r="T107" s="1">
        <f>SUM(OSRRefT22_20x_0)</f>
        <v>2720</v>
      </c>
      <c r="U107" s="1"/>
      <c r="V107" s="5">
        <f t="shared" ref="V107:V114" si="74">IF(T$12=0,0,T107/T$12)</f>
        <v>1.2491858477163458E-3</v>
      </c>
      <c r="W107" s="1"/>
      <c r="X107" s="1">
        <f t="shared" ref="X107:X114" si="75">+P107-T107</f>
        <v>212.92999999999984</v>
      </c>
      <c r="Y107" s="1"/>
      <c r="Z107" s="5">
        <f t="shared" ref="Z107:Z114" si="76">IF(T107=0,0,X107/T107)</f>
        <v>7.8283088235294063E-2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6">
        <v>443.41</v>
      </c>
      <c r="E108" s="2"/>
      <c r="F108" s="7">
        <f t="shared" si="69"/>
        <v>1.1251881932509012E-3</v>
      </c>
      <c r="G108" s="2"/>
      <c r="H108" s="6">
        <v>340</v>
      </c>
      <c r="I108" s="2"/>
      <c r="J108" s="7">
        <f t="shared" si="70"/>
        <v>9.1679047832194987E-4</v>
      </c>
      <c r="K108" s="2"/>
      <c r="L108" s="6">
        <f t="shared" si="71"/>
        <v>103.41000000000003</v>
      </c>
      <c r="M108" s="2"/>
      <c r="N108" s="7">
        <f t="shared" si="72"/>
        <v>0.30414705882352949</v>
      </c>
      <c r="O108" s="11"/>
      <c r="P108" s="6">
        <v>2932.93</v>
      </c>
      <c r="Q108" s="2"/>
      <c r="R108" s="7">
        <f t="shared" si="73"/>
        <v>1.3319028485513436E-3</v>
      </c>
      <c r="S108" s="2"/>
      <c r="T108" s="6">
        <v>2720</v>
      </c>
      <c r="U108" s="2"/>
      <c r="V108" s="7">
        <f t="shared" si="74"/>
        <v>1.2491858477163458E-3</v>
      </c>
      <c r="W108" s="2"/>
      <c r="X108" s="6">
        <f t="shared" si="75"/>
        <v>212.92999999999984</v>
      </c>
      <c r="Y108" s="2"/>
      <c r="Z108" s="7">
        <f t="shared" si="76"/>
        <v>7.8283088235294063E-2</v>
      </c>
    </row>
    <row r="109" spans="1:26" s="27" customFormat="1" outlineLevel="1" collapsed="1" x14ac:dyDescent="0.25">
      <c r="A109" s="26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SUM(OSRRefD22_21x_0)</f>
        <v>14</v>
      </c>
      <c r="E109" s="1"/>
      <c r="F109" s="5">
        <f t="shared" si="69"/>
        <v>3.5526115120345987E-5</v>
      </c>
      <c r="G109" s="1"/>
      <c r="H109" s="1">
        <f>SUM(OSRRefH22_21x_0)</f>
        <v>0</v>
      </c>
      <c r="I109" s="1"/>
      <c r="J109" s="5">
        <f t="shared" si="70"/>
        <v>0</v>
      </c>
      <c r="K109" s="1"/>
      <c r="L109" s="1">
        <f t="shared" si="71"/>
        <v>14</v>
      </c>
      <c r="M109" s="1"/>
      <c r="N109" s="5">
        <f t="shared" si="72"/>
        <v>0</v>
      </c>
      <c r="O109" s="13"/>
      <c r="P109" s="1">
        <f>SUM(OSRRefP22_21x_0)</f>
        <v>110</v>
      </c>
      <c r="Q109" s="1"/>
      <c r="R109" s="5">
        <f t="shared" si="73"/>
        <v>4.9953225389166397E-5</v>
      </c>
      <c r="S109" s="1"/>
      <c r="T109" s="1">
        <f>SUM(OSRRefT22_21x_0)</f>
        <v>2200</v>
      </c>
      <c r="U109" s="1"/>
      <c r="V109" s="5">
        <f t="shared" si="74"/>
        <v>1.010370906241162E-3</v>
      </c>
      <c r="W109" s="1"/>
      <c r="X109" s="1">
        <f t="shared" si="75"/>
        <v>-2090</v>
      </c>
      <c r="Y109" s="1"/>
      <c r="Z109" s="5">
        <f t="shared" si="76"/>
        <v>-0.95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6">
        <v>14</v>
      </c>
      <c r="E110" s="2"/>
      <c r="F110" s="7">
        <f t="shared" si="69"/>
        <v>3.5526115120345987E-5</v>
      </c>
      <c r="G110" s="2"/>
      <c r="H110" s="6"/>
      <c r="I110" s="2"/>
      <c r="J110" s="7">
        <f t="shared" si="70"/>
        <v>0</v>
      </c>
      <c r="K110" s="2"/>
      <c r="L110" s="6">
        <f t="shared" si="71"/>
        <v>14</v>
      </c>
      <c r="M110" s="2"/>
      <c r="N110" s="7">
        <f t="shared" si="72"/>
        <v>0</v>
      </c>
      <c r="O110" s="11"/>
      <c r="P110" s="6">
        <v>110</v>
      </c>
      <c r="Q110" s="2"/>
      <c r="R110" s="7">
        <f t="shared" si="73"/>
        <v>4.9953225389166397E-5</v>
      </c>
      <c r="S110" s="2"/>
      <c r="T110" s="6">
        <v>2200</v>
      </c>
      <c r="U110" s="2"/>
      <c r="V110" s="7">
        <f t="shared" si="74"/>
        <v>1.010370906241162E-3</v>
      </c>
      <c r="W110" s="2"/>
      <c r="X110" s="6">
        <f t="shared" si="75"/>
        <v>-2090</v>
      </c>
      <c r="Y110" s="2"/>
      <c r="Z110" s="7">
        <f t="shared" si="76"/>
        <v>-0.95</v>
      </c>
    </row>
    <row r="111" spans="1:26" s="27" customFormat="1" outlineLevel="1" collapsed="1" x14ac:dyDescent="0.25">
      <c r="A111" s="26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SUM(OSRRefD22_22x_0)</f>
        <v>0</v>
      </c>
      <c r="E111" s="1"/>
      <c r="F111" s="5">
        <f t="shared" si="69"/>
        <v>0</v>
      </c>
      <c r="G111" s="1"/>
      <c r="H111" s="1">
        <f>SUM(OSRRefH22_22x_0)</f>
        <v>0</v>
      </c>
      <c r="I111" s="1"/>
      <c r="J111" s="5">
        <f t="shared" si="70"/>
        <v>0</v>
      </c>
      <c r="K111" s="1"/>
      <c r="L111" s="1">
        <f t="shared" si="71"/>
        <v>0</v>
      </c>
      <c r="M111" s="1"/>
      <c r="N111" s="5">
        <f t="shared" si="72"/>
        <v>0</v>
      </c>
      <c r="O111" s="13"/>
      <c r="P111" s="1">
        <f>SUM(OSRRefP22_22x_0)</f>
        <v>0</v>
      </c>
      <c r="Q111" s="1"/>
      <c r="R111" s="5">
        <f t="shared" si="73"/>
        <v>0</v>
      </c>
      <c r="S111" s="1"/>
      <c r="T111" s="1">
        <f>SUM(OSRRefT22_22x_0)</f>
        <v>1000</v>
      </c>
      <c r="U111" s="1"/>
      <c r="V111" s="5">
        <f t="shared" si="74"/>
        <v>4.5925950283689181E-4</v>
      </c>
      <c r="W111" s="1"/>
      <c r="X111" s="1">
        <f t="shared" si="75"/>
        <v>-1000</v>
      </c>
      <c r="Y111" s="1"/>
      <c r="Z111" s="5">
        <f t="shared" si="76"/>
        <v>-1</v>
      </c>
    </row>
    <row r="112" spans="1:26" s="24" customFormat="1" hidden="1" outlineLevel="2" x14ac:dyDescent="0.25">
      <c r="A112" s="25"/>
      <c r="B112" s="11" t="str">
        <f>CONCATENATE("          ", "6292", " - ", "TRAVEL/CONFERENCE")</f>
        <v xml:space="preserve">          6292 - TRAVEL/CONFERENCE</v>
      </c>
      <c r="C112" s="11"/>
      <c r="D112" s="6"/>
      <c r="E112" s="2"/>
      <c r="F112" s="7">
        <f t="shared" si="69"/>
        <v>0</v>
      </c>
      <c r="G112" s="2"/>
      <c r="H112" s="6"/>
      <c r="I112" s="2"/>
      <c r="J112" s="7">
        <f t="shared" si="70"/>
        <v>0</v>
      </c>
      <c r="K112" s="2"/>
      <c r="L112" s="6">
        <f t="shared" si="71"/>
        <v>0</v>
      </c>
      <c r="M112" s="2"/>
      <c r="N112" s="7">
        <f t="shared" si="72"/>
        <v>0</v>
      </c>
      <c r="O112" s="11"/>
      <c r="P112" s="6"/>
      <c r="Q112" s="2"/>
      <c r="R112" s="7">
        <f t="shared" si="73"/>
        <v>0</v>
      </c>
      <c r="S112" s="2"/>
      <c r="T112" s="6">
        <v>1000</v>
      </c>
      <c r="U112" s="2"/>
      <c r="V112" s="7">
        <f t="shared" si="74"/>
        <v>4.5925950283689181E-4</v>
      </c>
      <c r="W112" s="2"/>
      <c r="X112" s="6">
        <f t="shared" si="75"/>
        <v>-1000</v>
      </c>
      <c r="Y112" s="2"/>
      <c r="Z112" s="7">
        <f t="shared" si="76"/>
        <v>-1</v>
      </c>
    </row>
    <row r="113" spans="1:26" s="27" customFormat="1" outlineLevel="1" collapsed="1" x14ac:dyDescent="0.25">
      <c r="A113" s="26"/>
      <c r="B113" s="13" t="str">
        <f>CONCATENATE("     ","Utilities                                         ")</f>
        <v xml:space="preserve">     Utilities                                         </v>
      </c>
      <c r="C113" s="13"/>
      <c r="D113" s="1">
        <f>SUM(OSRRefD22_23x_0)</f>
        <v>1126</v>
      </c>
      <c r="E113" s="1"/>
      <c r="F113" s="5">
        <f t="shared" si="69"/>
        <v>2.857314687536399E-3</v>
      </c>
      <c r="G113" s="1"/>
      <c r="H113" s="1">
        <f>SUM(OSRRefH22_23x_0)</f>
        <v>1140</v>
      </c>
      <c r="I113" s="1"/>
      <c r="J113" s="5">
        <f t="shared" si="70"/>
        <v>3.0739445449618321E-3</v>
      </c>
      <c r="K113" s="1"/>
      <c r="L113" s="1">
        <f t="shared" si="71"/>
        <v>-14</v>
      </c>
      <c r="M113" s="1"/>
      <c r="N113" s="5">
        <f t="shared" si="72"/>
        <v>-1.2280701754385965E-2</v>
      </c>
      <c r="O113" s="13"/>
      <c r="P113" s="1">
        <f>SUM(OSRRefP22_23x_0)</f>
        <v>7681.12</v>
      </c>
      <c r="Q113" s="1"/>
      <c r="R113" s="5">
        <f t="shared" si="73"/>
        <v>3.4881519872839435E-3</v>
      </c>
      <c r="S113" s="1"/>
      <c r="T113" s="1">
        <f>SUM(OSRRefT22_23x_0)</f>
        <v>9028</v>
      </c>
      <c r="U113" s="1"/>
      <c r="V113" s="5">
        <f t="shared" si="74"/>
        <v>4.1461947916114593E-3</v>
      </c>
      <c r="W113" s="1"/>
      <c r="X113" s="1">
        <f t="shared" si="75"/>
        <v>-1346.88</v>
      </c>
      <c r="Y113" s="1"/>
      <c r="Z113" s="5">
        <f t="shared" si="76"/>
        <v>-0.14918918918918919</v>
      </c>
    </row>
    <row r="114" spans="1:26" s="24" customFormat="1" hidden="1" outlineLevel="2" x14ac:dyDescent="0.25">
      <c r="A114" s="25"/>
      <c r="B114" s="11" t="str">
        <f>CONCATENATE("          ", "6274", " - ", "UTILITIES")</f>
        <v xml:space="preserve">          6274 - UTILITIES</v>
      </c>
      <c r="C114" s="11"/>
      <c r="D114" s="6">
        <v>1126</v>
      </c>
      <c r="E114" s="2"/>
      <c r="F114" s="7">
        <f t="shared" si="69"/>
        <v>2.857314687536399E-3</v>
      </c>
      <c r="G114" s="2"/>
      <c r="H114" s="6">
        <v>1140</v>
      </c>
      <c r="I114" s="2"/>
      <c r="J114" s="7">
        <f t="shared" si="70"/>
        <v>3.0739445449618321E-3</v>
      </c>
      <c r="K114" s="2"/>
      <c r="L114" s="6">
        <f t="shared" si="71"/>
        <v>-14</v>
      </c>
      <c r="M114" s="2"/>
      <c r="N114" s="7">
        <f t="shared" si="72"/>
        <v>-1.2280701754385965E-2</v>
      </c>
      <c r="O114" s="11"/>
      <c r="P114" s="6">
        <v>7681.12</v>
      </c>
      <c r="Q114" s="2"/>
      <c r="R114" s="7">
        <f t="shared" si="73"/>
        <v>3.4881519872839435E-3</v>
      </c>
      <c r="S114" s="2"/>
      <c r="T114" s="6">
        <v>9028</v>
      </c>
      <c r="U114" s="2"/>
      <c r="V114" s="7">
        <f t="shared" si="74"/>
        <v>4.1461947916114593E-3</v>
      </c>
      <c r="W114" s="2"/>
      <c r="X114" s="6">
        <f t="shared" si="75"/>
        <v>-1346.88</v>
      </c>
      <c r="Y114" s="2"/>
      <c r="Z114" s="7">
        <f t="shared" si="76"/>
        <v>-0.14918918918918919</v>
      </c>
    </row>
    <row r="115" spans="1:26" s="53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x14ac:dyDescent="0.25">
      <c r="A116" s="10"/>
      <c r="B116" s="29" t="s">
        <v>0</v>
      </c>
      <c r="C116" s="10"/>
      <c r="D116" s="4">
        <f>SUM(0)</f>
        <v>0</v>
      </c>
      <c r="E116" s="4"/>
      <c r="F116" s="12">
        <f>IF(D$12=0,0,D116/D$12)</f>
        <v>0</v>
      </c>
      <c r="G116" s="4"/>
      <c r="H116" s="4">
        <f>SUM(0)</f>
        <v>0</v>
      </c>
      <c r="I116" s="4"/>
      <c r="J116" s="12">
        <f>IF(H$12=0,0,H116/H$12)</f>
        <v>0</v>
      </c>
      <c r="K116" s="4"/>
      <c r="L116" s="4">
        <f>+D116-H116</f>
        <v>0</v>
      </c>
      <c r="M116" s="4"/>
      <c r="N116" s="12">
        <f>IF(H116=0,0,L116/H116)</f>
        <v>0</v>
      </c>
      <c r="O116" s="10"/>
      <c r="P116" s="4">
        <f>SUM(0)</f>
        <v>0</v>
      </c>
      <c r="Q116" s="4"/>
      <c r="R116" s="12">
        <f>IF(P$12=0,0,P116/P$12)</f>
        <v>0</v>
      </c>
      <c r="S116" s="4"/>
      <c r="T116" s="4">
        <f>SUM(0)</f>
        <v>0</v>
      </c>
      <c r="U116" s="4"/>
      <c r="V116" s="12">
        <f>IF(T$12=0,0,T116/T$12)</f>
        <v>0</v>
      </c>
      <c r="W116" s="4"/>
      <c r="X116" s="4">
        <f>+P116-T116</f>
        <v>0</v>
      </c>
      <c r="Y116" s="4"/>
      <c r="Z116" s="12">
        <f>IF(T116=0,0,X116/T116)</f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8" t="s">
        <v>3</v>
      </c>
      <c r="C118" s="28"/>
      <c r="D118" s="21">
        <f>+D30-D32+D116</f>
        <v>89397.459999999919</v>
      </c>
      <c r="E118" s="14"/>
      <c r="F118" s="22">
        <f>IF(D$12=0,0,D118/D$12)</f>
        <v>0.2268531753876088</v>
      </c>
      <c r="G118" s="14"/>
      <c r="H118" s="21">
        <f>+H30-H32+H116</f>
        <v>70218.256804752309</v>
      </c>
      <c r="I118" s="14"/>
      <c r="J118" s="22">
        <f>IF(H$12=0,0,H118/H$12)</f>
        <v>0.18933949777341877</v>
      </c>
      <c r="K118" s="15"/>
      <c r="L118" s="21">
        <f>+D118-H118</f>
        <v>19179.20319524761</v>
      </c>
      <c r="M118" s="15"/>
      <c r="N118" s="22">
        <f>IF(H118=0,0,L118/H118)</f>
        <v>0.27313698841281375</v>
      </c>
      <c r="O118" s="29"/>
      <c r="P118" s="21">
        <f>+P30-P32+P116</f>
        <v>302138.76999999979</v>
      </c>
      <c r="Q118" s="14"/>
      <c r="R118" s="22">
        <f>IF(P$12=0,0,P118/P$12)</f>
        <v>0.13720732796923177</v>
      </c>
      <c r="S118" s="14"/>
      <c r="T118" s="21">
        <f>+T30-T32+T116</f>
        <v>294186.20533104287</v>
      </c>
      <c r="U118" s="14"/>
      <c r="V118" s="22">
        <f>IF(T$12=0,0,T118/T$12)</f>
        <v>0.13510781040180653</v>
      </c>
      <c r="W118" s="15"/>
      <c r="X118" s="21">
        <f>+P118-T118</f>
        <v>7952.5646689569112</v>
      </c>
      <c r="Y118" s="15"/>
      <c r="Z118" s="22">
        <f>IF(T118=0,0,X118/T118)</f>
        <v>2.703241866833294E-2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2"/>
      <c r="B120" s="10" t="s">
        <v>14</v>
      </c>
      <c r="C120" s="10"/>
      <c r="D120" s="4">
        <v>35886.369999999995</v>
      </c>
      <c r="E120" s="4"/>
      <c r="F120" s="12">
        <f>IF(D$12=0,0,D120/D$12)</f>
        <v>9.1064522276523618E-2</v>
      </c>
      <c r="G120" s="4"/>
      <c r="H120" s="4">
        <v>39405</v>
      </c>
      <c r="I120" s="4"/>
      <c r="J120" s="12">
        <f>IF(H$12=0,0,H120/H$12)</f>
        <v>0.10625331999493069</v>
      </c>
      <c r="K120" s="4"/>
      <c r="L120" s="4">
        <f>+D120-H120</f>
        <v>-3518.6300000000047</v>
      </c>
      <c r="M120" s="4"/>
      <c r="N120" s="12">
        <f>IF(H120=0,0,L120/H120)</f>
        <v>-8.929399822357581E-2</v>
      </c>
      <c r="O120" s="10"/>
      <c r="P120" s="4">
        <v>224433.46</v>
      </c>
      <c r="Q120" s="4"/>
      <c r="R120" s="12">
        <f>IF(P$12=0,0,P120/P$12)</f>
        <v>0.10191977465682237</v>
      </c>
      <c r="S120" s="4"/>
      <c r="T120" s="4">
        <v>261834.99999999997</v>
      </c>
      <c r="U120" s="4"/>
      <c r="V120" s="12">
        <f>IF(T$12=0,0,T120/T$12)</f>
        <v>0.12025021192529756</v>
      </c>
      <c r="W120" s="4"/>
      <c r="X120" s="4">
        <f>+P120-T120</f>
        <v>-37401.539999999979</v>
      </c>
      <c r="Y120" s="4"/>
      <c r="Z120" s="12">
        <f>IF(T120=0,0,X120/T120)</f>
        <v>-0.14284392842820853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4</v>
      </c>
      <c r="C122" s="28"/>
      <c r="D122" s="31">
        <f>+D118-D120</f>
        <v>53511.089999999924</v>
      </c>
      <c r="E122" s="14"/>
      <c r="F122" s="32">
        <f>IF(D$12=0,0,D122/D$12)</f>
        <v>0.13578865311108518</v>
      </c>
      <c r="G122" s="14"/>
      <c r="H122" s="31">
        <f>+H118-H120</f>
        <v>30813.256804752309</v>
      </c>
      <c r="I122" s="14"/>
      <c r="J122" s="32">
        <f>IF(H$12=0,0,H122/H$12)</f>
        <v>8.3086177778488077E-2</v>
      </c>
      <c r="K122" s="15"/>
      <c r="L122" s="31">
        <f>D122-H122</f>
        <v>22697.833195247615</v>
      </c>
      <c r="M122" s="15"/>
      <c r="N122" s="32">
        <f>IF(H122=0,0,L122/H122)</f>
        <v>0.73662558096575315</v>
      </c>
      <c r="O122" s="29"/>
      <c r="P122" s="31">
        <f>+P118-P120</f>
        <v>77705.309999999794</v>
      </c>
      <c r="Q122" s="14"/>
      <c r="R122" s="32">
        <f>IF(P$12=0,0,P122/P$12)</f>
        <v>3.528755331240941E-2</v>
      </c>
      <c r="S122" s="14"/>
      <c r="T122" s="31">
        <f>+T118-T120</f>
        <v>32351.205331042904</v>
      </c>
      <c r="U122" s="14"/>
      <c r="V122" s="32">
        <f>IF(T$12=0,0,T122/T$12)</f>
        <v>1.4857598476508969E-2</v>
      </c>
      <c r="W122" s="15"/>
      <c r="X122" s="31">
        <f>P122-T122</f>
        <v>45354.10466895689</v>
      </c>
      <c r="Y122" s="15"/>
      <c r="Z122" s="32">
        <f>IF(T122=0,0,X122/T122)</f>
        <v>1.4019293625958638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5</v>
      </c>
      <c r="C125" s="28"/>
      <c r="D125" s="33">
        <f>SUM(D122:D124)</f>
        <v>53511.089999999924</v>
      </c>
      <c r="E125" s="14"/>
      <c r="F125" s="30">
        <f>IF(D$12=0,0,D125/D$12)</f>
        <v>0.13578865311108518</v>
      </c>
      <c r="G125" s="14"/>
      <c r="H125" s="33">
        <f>SUM(H122:H124)</f>
        <v>30813.256804752309</v>
      </c>
      <c r="I125" s="14"/>
      <c r="J125" s="30">
        <f>IF(H$12=0,0,H125/H$12)</f>
        <v>8.3086177778488077E-2</v>
      </c>
      <c r="K125" s="15"/>
      <c r="L125" s="33">
        <f>+D125-H125</f>
        <v>22697.833195247615</v>
      </c>
      <c r="M125" s="15"/>
      <c r="N125" s="30">
        <f>IF(H125=0,0,L125/H125)</f>
        <v>0.73662558096575315</v>
      </c>
      <c r="O125" s="29"/>
      <c r="P125" s="33">
        <f>SUM(P122:P124)</f>
        <v>77705.309999999794</v>
      </c>
      <c r="Q125" s="14"/>
      <c r="R125" s="30">
        <f>IF(P$12=0,0,P125/P$12)</f>
        <v>3.528755331240941E-2</v>
      </c>
      <c r="S125" s="14"/>
      <c r="T125" s="33">
        <f>SUM(T122:T124)</f>
        <v>32351.205331042904</v>
      </c>
      <c r="U125" s="14"/>
      <c r="V125" s="30">
        <f>IF(T$12=0,0,T125/T$12)</f>
        <v>1.4857598476508969E-2</v>
      </c>
      <c r="W125" s="15"/>
      <c r="X125" s="33">
        <f>+P125-T125</f>
        <v>45354.10466895689</v>
      </c>
      <c r="Y125" s="15"/>
      <c r="Z125" s="30">
        <f>IF(T125=0,0,X125/T125)</f>
        <v>1.4019293625958638</v>
      </c>
    </row>
    <row r="126" spans="1:26" ht="15.75" thickTop="1" x14ac:dyDescent="0.25">
      <c r="A126" s="9"/>
      <c r="C126" s="9"/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9">
        <v>43908.494065856481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63" t="s">
        <v>314</v>
      </c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57"/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49349.33</v>
      </c>
      <c r="E12" s="4"/>
      <c r="F12" s="12"/>
      <c r="G12" s="4"/>
      <c r="H12" s="4">
        <f>SUM(OSRRefH13x_0)</f>
        <v>45787</v>
      </c>
      <c r="I12" s="4"/>
      <c r="J12" s="12"/>
      <c r="K12" s="4"/>
      <c r="L12" s="4">
        <f t="shared" ref="L12:L15" si="0">+D12-H12</f>
        <v>3562.3300000000017</v>
      </c>
      <c r="M12" s="4"/>
      <c r="N12" s="12">
        <f t="shared" ref="N12:N15" si="1">IF(H12=0,0,L12/H12)</f>
        <v>7.7802214602398098E-2</v>
      </c>
      <c r="O12" s="10"/>
      <c r="P12" s="4">
        <f>SUM(OSRRefP13x_0)</f>
        <v>268570.49</v>
      </c>
      <c r="Q12" s="4"/>
      <c r="R12" s="12"/>
      <c r="S12" s="4"/>
      <c r="T12" s="4">
        <f>SUM(OSRRefT13x_0)</f>
        <v>276821</v>
      </c>
      <c r="U12" s="4"/>
      <c r="V12" s="12"/>
      <c r="W12" s="4"/>
      <c r="X12" s="4">
        <f t="shared" ref="X12:X15" si="2">+P12-T12</f>
        <v>-8250.5100000000093</v>
      </c>
      <c r="Y12" s="4"/>
      <c r="Z12" s="12">
        <f t="shared" ref="Z12:Z15" si="3">IF(T12=0,0,X12/T12)</f>
        <v>-2.980449460120442E-2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--11994.62</f>
        <v>11994.62</v>
      </c>
      <c r="E13" s="2"/>
      <c r="F13" s="19"/>
      <c r="G13" s="2"/>
      <c r="H13" s="2"/>
      <c r="I13" s="2"/>
      <c r="J13" s="19"/>
      <c r="K13" s="2"/>
      <c r="L13" s="2">
        <f t="shared" si="0"/>
        <v>11994.62</v>
      </c>
      <c r="M13" s="2"/>
      <c r="N13" s="19">
        <f t="shared" si="1"/>
        <v>0</v>
      </c>
      <c r="O13" s="11"/>
      <c r="P13" s="2">
        <f>--60658.8</f>
        <v>60658.8</v>
      </c>
      <c r="Q13" s="2"/>
      <c r="R13" s="19"/>
      <c r="S13" s="2"/>
      <c r="T13" s="2"/>
      <c r="U13" s="2"/>
      <c r="V13" s="19"/>
      <c r="W13" s="2"/>
      <c r="X13" s="2">
        <f t="shared" si="2"/>
        <v>60658.8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45787</v>
      </c>
      <c r="I14" s="2"/>
      <c r="J14" s="19"/>
      <c r="K14" s="2"/>
      <c r="L14" s="2">
        <f t="shared" si="0"/>
        <v>-45787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276821</v>
      </c>
      <c r="U14" s="2"/>
      <c r="V14" s="19"/>
      <c r="W14" s="2"/>
      <c r="X14" s="2">
        <f t="shared" si="2"/>
        <v>-276821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--37354.71</f>
        <v>37354.71</v>
      </c>
      <c r="E15" s="2"/>
      <c r="F15" s="19"/>
      <c r="G15" s="2"/>
      <c r="H15" s="2"/>
      <c r="I15" s="2"/>
      <c r="J15" s="19"/>
      <c r="K15" s="2"/>
      <c r="L15" s="2">
        <f t="shared" si="0"/>
        <v>37354.71</v>
      </c>
      <c r="M15" s="2"/>
      <c r="N15" s="19">
        <f t="shared" si="1"/>
        <v>0</v>
      </c>
      <c r="O15" s="11"/>
      <c r="P15" s="2">
        <f>--207911.69</f>
        <v>207911.69</v>
      </c>
      <c r="Q15" s="2"/>
      <c r="R15" s="19"/>
      <c r="S15" s="2"/>
      <c r="T15" s="2"/>
      <c r="U15" s="2"/>
      <c r="V15" s="19"/>
      <c r="W15" s="2"/>
      <c r="X15" s="2">
        <f t="shared" si="2"/>
        <v>207911.69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24428.079999999998</v>
      </c>
      <c r="E17" s="4"/>
      <c r="F17" s="12">
        <f t="shared" ref="F17:F20" si="4">IF(D$12=0,0,D17/D$12)</f>
        <v>0.49500327562704494</v>
      </c>
      <c r="G17" s="4"/>
      <c r="H17" s="4">
        <f>SUM(OSRRefH16x_0)</f>
        <v>22664</v>
      </c>
      <c r="I17" s="4"/>
      <c r="J17" s="12">
        <f t="shared" ref="J17:J20" si="5">IF(H$12=0,0,H17/H$12)</f>
        <v>0.49498766025291019</v>
      </c>
      <c r="K17" s="4"/>
      <c r="L17" s="4">
        <f t="shared" ref="L17:L20" si="6">+D17-H17</f>
        <v>1764.0799999999981</v>
      </c>
      <c r="M17" s="4"/>
      <c r="N17" s="12">
        <f t="shared" ref="N17:N20" si="7">IF(H17=0,0,L17/H17)</f>
        <v>7.783621602541467E-2</v>
      </c>
      <c r="O17" s="10"/>
      <c r="P17" s="4">
        <f>SUM(OSRRefP16x_0)</f>
        <v>125827.84000000001</v>
      </c>
      <c r="Q17" s="4"/>
      <c r="R17" s="12">
        <f t="shared" ref="R17:R20" si="8">IF(P$12=0,0,P17/P$12)</f>
        <v>0.46850955218497764</v>
      </c>
      <c r="S17" s="4"/>
      <c r="T17" s="4">
        <f>SUM(OSRRefT16x_0)</f>
        <v>137025</v>
      </c>
      <c r="U17" s="4"/>
      <c r="V17" s="12">
        <f t="shared" ref="V17:V20" si="9">IF(T$12=0,0,T17/T$12)</f>
        <v>0.49499496064243681</v>
      </c>
      <c r="W17" s="4"/>
      <c r="X17" s="4">
        <f t="shared" ref="X17:X20" si="10">+P17-T17</f>
        <v>-11197.159999999989</v>
      </c>
      <c r="Y17" s="4"/>
      <c r="Z17" s="12">
        <f t="shared" ref="Z17:Z20" si="11">IF(T17=0,0,X17/T17)</f>
        <v>-8.1716183178252064E-2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22664</v>
      </c>
      <c r="I18" s="2"/>
      <c r="J18" s="19">
        <f t="shared" si="5"/>
        <v>0.49498766025291019</v>
      </c>
      <c r="K18" s="2"/>
      <c r="L18" s="2">
        <f t="shared" si="6"/>
        <v>-22664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137025</v>
      </c>
      <c r="U18" s="2"/>
      <c r="V18" s="19">
        <f t="shared" si="9"/>
        <v>0.49499496064243681</v>
      </c>
      <c r="W18" s="2"/>
      <c r="X18" s="2">
        <f t="shared" si="10"/>
        <v>-137025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23390.46</v>
      </c>
      <c r="E19" s="2"/>
      <c r="F19" s="19">
        <f t="shared" si="4"/>
        <v>0.47397725561826265</v>
      </c>
      <c r="G19" s="2"/>
      <c r="H19" s="2"/>
      <c r="I19" s="2"/>
      <c r="J19" s="19">
        <f t="shared" si="5"/>
        <v>0</v>
      </c>
      <c r="K19" s="2"/>
      <c r="L19" s="2">
        <f t="shared" si="6"/>
        <v>23390.46</v>
      </c>
      <c r="M19" s="2"/>
      <c r="N19" s="19">
        <f t="shared" si="7"/>
        <v>0</v>
      </c>
      <c r="O19" s="11"/>
      <c r="P19" s="2">
        <v>134484.51</v>
      </c>
      <c r="Q19" s="2"/>
      <c r="R19" s="19">
        <f t="shared" si="8"/>
        <v>0.50074194674180328</v>
      </c>
      <c r="S19" s="2"/>
      <c r="T19" s="2"/>
      <c r="U19" s="2"/>
      <c r="V19" s="19">
        <f t="shared" si="9"/>
        <v>0</v>
      </c>
      <c r="W19" s="2"/>
      <c r="X19" s="2">
        <f t="shared" si="10"/>
        <v>134484.51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1037.6199999999999</v>
      </c>
      <c r="E20" s="2"/>
      <c r="F20" s="19">
        <f t="shared" si="4"/>
        <v>2.1026020008782283E-2</v>
      </c>
      <c r="G20" s="2"/>
      <c r="H20" s="2"/>
      <c r="I20" s="2"/>
      <c r="J20" s="19">
        <f t="shared" si="5"/>
        <v>0</v>
      </c>
      <c r="K20" s="2"/>
      <c r="L20" s="2">
        <f t="shared" si="6"/>
        <v>1037.6199999999999</v>
      </c>
      <c r="M20" s="2"/>
      <c r="N20" s="19">
        <f t="shared" si="7"/>
        <v>0</v>
      </c>
      <c r="O20" s="11"/>
      <c r="P20" s="2">
        <v>-8656.67</v>
      </c>
      <c r="Q20" s="2"/>
      <c r="R20" s="19">
        <f t="shared" si="8"/>
        <v>-3.223239455682566E-2</v>
      </c>
      <c r="S20" s="2"/>
      <c r="T20" s="2"/>
      <c r="U20" s="2"/>
      <c r="V20" s="19">
        <f t="shared" si="9"/>
        <v>0</v>
      </c>
      <c r="W20" s="2"/>
      <c r="X20" s="2">
        <f t="shared" si="10"/>
        <v>-8656.67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D12-D17</f>
        <v>24921.250000000004</v>
      </c>
      <c r="E22" s="14"/>
      <c r="F22" s="22">
        <f>IF(D$12=0,0,D22/D$12)</f>
        <v>0.50499672437295506</v>
      </c>
      <c r="G22" s="14"/>
      <c r="H22" s="21">
        <f>H12-H17</f>
        <v>23123</v>
      </c>
      <c r="I22" s="14"/>
      <c r="J22" s="22">
        <f>IF(H$12=0,0,H22/H$12)</f>
        <v>0.50501233974708981</v>
      </c>
      <c r="K22" s="15"/>
      <c r="L22" s="21">
        <f>+D22-H22</f>
        <v>1798.2500000000036</v>
      </c>
      <c r="M22" s="15"/>
      <c r="N22" s="22">
        <f>IF(H22=0,0,L22/H22)</f>
        <v>7.7768888120053781E-2</v>
      </c>
      <c r="O22" s="29"/>
      <c r="P22" s="21">
        <f>P12-P17</f>
        <v>142742.64999999997</v>
      </c>
      <c r="Q22" s="14"/>
      <c r="R22" s="22">
        <f>IF(P$12=0,0,P22/P$12)</f>
        <v>0.5314904478150223</v>
      </c>
      <c r="S22" s="14"/>
      <c r="T22" s="21">
        <f>T12-T17</f>
        <v>139796</v>
      </c>
      <c r="U22" s="14"/>
      <c r="V22" s="22">
        <f>IF(T$12=0,0,T22/T$12)</f>
        <v>0.50500503935756325</v>
      </c>
      <c r="W22" s="15"/>
      <c r="X22" s="21">
        <f>+P22-T22</f>
        <v>2946.6499999999651</v>
      </c>
      <c r="Y22" s="15"/>
      <c r="Z22" s="22">
        <f>IF(T22=0,0,X22/T22)</f>
        <v>2.10782139689259E-2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14965.26</v>
      </c>
      <c r="E24" s="20"/>
      <c r="F24" s="34">
        <f t="shared" ref="F24:F34" si="12">IF(D$12=0,0,D24/D$12)</f>
        <v>0.30325153350612866</v>
      </c>
      <c r="G24" s="20"/>
      <c r="H24" s="20">
        <f>SUM(OSRRefH22x_0)</f>
        <v>16256.529458064619</v>
      </c>
      <c r="I24" s="20"/>
      <c r="J24" s="34">
        <f t="shared" ref="J24:J34" si="13">IF(H$12=0,0,H24/H$12)</f>
        <v>0.35504683552241068</v>
      </c>
      <c r="K24" s="4"/>
      <c r="L24" s="20">
        <f t="shared" ref="L24:L34" si="14">+D24-H24</f>
        <v>-1291.2694580646184</v>
      </c>
      <c r="M24" s="4"/>
      <c r="N24" s="34">
        <f t="shared" ref="N24:N34" si="15">IF(H24=0,0,L24/H24)</f>
        <v>-7.9430819560569813E-2</v>
      </c>
      <c r="O24" s="10"/>
      <c r="P24" s="20">
        <f>SUM(OSRRefP22x_0)</f>
        <v>115920.48</v>
      </c>
      <c r="Q24" s="20"/>
      <c r="R24" s="34">
        <f t="shared" ref="R24:R34" si="16">IF(P$12=0,0,P24/P$12)</f>
        <v>0.43162031688589464</v>
      </c>
      <c r="S24" s="20"/>
      <c r="T24" s="20">
        <f>SUM(OSRRefT22x_0)</f>
        <v>103159.51532764541</v>
      </c>
      <c r="U24" s="20"/>
      <c r="V24" s="34">
        <f t="shared" ref="V24:V34" si="17">IF(T$12=0,0,T24/T$12)</f>
        <v>0.37265783783616635</v>
      </c>
      <c r="W24" s="4"/>
      <c r="X24" s="20">
        <f t="shared" ref="X24:X34" si="18">+P24-T24</f>
        <v>12760.964672354588</v>
      </c>
      <c r="Y24" s="4"/>
      <c r="Z24" s="34">
        <f t="shared" ref="Z24:Z34" si="19">IF(T24=0,0,X24/T24)</f>
        <v>0.12370128564315594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679.53</v>
      </c>
      <c r="E25" s="1"/>
      <c r="F25" s="5">
        <f t="shared" si="12"/>
        <v>1.3769791808723644E-2</v>
      </c>
      <c r="G25" s="1"/>
      <c r="H25" s="1">
        <f>SUM(OSRRefH22_0x_0)</f>
        <v>1631.5006426799996</v>
      </c>
      <c r="I25" s="1"/>
      <c r="J25" s="5">
        <f t="shared" si="13"/>
        <v>3.5632398774324579E-2</v>
      </c>
      <c r="K25" s="1"/>
      <c r="L25" s="1">
        <f t="shared" si="14"/>
        <v>-951.97064267999963</v>
      </c>
      <c r="M25" s="1"/>
      <c r="N25" s="5">
        <f t="shared" si="15"/>
        <v>-0.58349388150790815</v>
      </c>
      <c r="O25" s="13"/>
      <c r="P25" s="1">
        <f>SUM(OSRRefP22_0x_0)</f>
        <v>12136.539999999999</v>
      </c>
      <c r="Q25" s="1"/>
      <c r="R25" s="5">
        <f t="shared" si="16"/>
        <v>4.5189402603391014E-2</v>
      </c>
      <c r="S25" s="1"/>
      <c r="T25" s="1">
        <f>SUM(OSRRefT22_0x_0)</f>
        <v>12344.605493029996</v>
      </c>
      <c r="U25" s="1"/>
      <c r="V25" s="5">
        <f t="shared" si="17"/>
        <v>4.4594179968391115E-2</v>
      </c>
      <c r="W25" s="1"/>
      <c r="X25" s="1">
        <f t="shared" si="18"/>
        <v>-208.06549302999701</v>
      </c>
      <c r="Y25" s="1"/>
      <c r="Z25" s="5">
        <f t="shared" si="19"/>
        <v>-1.685477054309065E-2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481.71</v>
      </c>
      <c r="E26" s="2"/>
      <c r="F26" s="7">
        <f t="shared" si="12"/>
        <v>9.7612267481645646E-3</v>
      </c>
      <c r="G26" s="2"/>
      <c r="H26" s="6">
        <v>159.21694446461498</v>
      </c>
      <c r="I26" s="2"/>
      <c r="J26" s="7">
        <f t="shared" si="13"/>
        <v>3.4773395169942337E-3</v>
      </c>
      <c r="K26" s="2"/>
      <c r="L26" s="6">
        <f t="shared" si="14"/>
        <v>322.493055535385</v>
      </c>
      <c r="M26" s="2"/>
      <c r="N26" s="7">
        <f t="shared" si="15"/>
        <v>2.0254945641608963</v>
      </c>
      <c r="O26" s="11"/>
      <c r="P26" s="6">
        <v>3107.98</v>
      </c>
      <c r="Q26" s="2"/>
      <c r="R26" s="7">
        <f t="shared" si="16"/>
        <v>1.1572306398964383E-2</v>
      </c>
      <c r="S26" s="2"/>
      <c r="T26" s="6">
        <v>1478.599060045382</v>
      </c>
      <c r="U26" s="2"/>
      <c r="V26" s="7">
        <f t="shared" si="17"/>
        <v>5.3413543771801348E-3</v>
      </c>
      <c r="W26" s="2"/>
      <c r="X26" s="6">
        <f t="shared" si="18"/>
        <v>1629.380939954618</v>
      </c>
      <c r="Y26" s="2"/>
      <c r="Z26" s="7">
        <f t="shared" si="19"/>
        <v>1.1019761773043519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174.01</v>
      </c>
      <c r="E27" s="2"/>
      <c r="F27" s="7">
        <f t="shared" si="12"/>
        <v>3.5260863723985711E-3</v>
      </c>
      <c r="G27" s="2"/>
      <c r="H27" s="6">
        <v>206.663976307692</v>
      </c>
      <c r="I27" s="2"/>
      <c r="J27" s="7">
        <f t="shared" si="13"/>
        <v>4.5135950446129249E-3</v>
      </c>
      <c r="K27" s="2"/>
      <c r="L27" s="6">
        <f t="shared" si="14"/>
        <v>-32.653976307692005</v>
      </c>
      <c r="M27" s="2"/>
      <c r="N27" s="7">
        <f t="shared" si="15"/>
        <v>-0.15800516805635773</v>
      </c>
      <c r="O27" s="11"/>
      <c r="P27" s="6">
        <v>1146.98</v>
      </c>
      <c r="Q27" s="2"/>
      <c r="R27" s="7">
        <f t="shared" si="16"/>
        <v>4.2706851374475288E-3</v>
      </c>
      <c r="S27" s="2"/>
      <c r="T27" s="6">
        <v>1282.5890266923057</v>
      </c>
      <c r="U27" s="2"/>
      <c r="V27" s="7">
        <f t="shared" si="17"/>
        <v>4.6332793635320505E-3</v>
      </c>
      <c r="W27" s="2"/>
      <c r="X27" s="6">
        <f t="shared" si="18"/>
        <v>-135.60902669230563</v>
      </c>
      <c r="Y27" s="2"/>
      <c r="Z27" s="7">
        <f t="shared" si="19"/>
        <v>-0.10573069305140591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690.5</v>
      </c>
      <c r="I28" s="2"/>
      <c r="J28" s="7">
        <f t="shared" si="13"/>
        <v>1.5080699761941162E-2</v>
      </c>
      <c r="K28" s="2"/>
      <c r="L28" s="6">
        <f t="shared" si="14"/>
        <v>-690.5</v>
      </c>
      <c r="M28" s="2"/>
      <c r="N28" s="7">
        <f t="shared" si="15"/>
        <v>-1</v>
      </c>
      <c r="O28" s="11"/>
      <c r="P28" s="6">
        <v>4829.7</v>
      </c>
      <c r="Q28" s="2"/>
      <c r="R28" s="7">
        <f t="shared" si="16"/>
        <v>1.7982988376720018E-2</v>
      </c>
      <c r="S28" s="2"/>
      <c r="T28" s="6">
        <v>5524</v>
      </c>
      <c r="U28" s="2"/>
      <c r="V28" s="7">
        <f t="shared" si="17"/>
        <v>1.9955133461695463E-2</v>
      </c>
      <c r="W28" s="2"/>
      <c r="X28" s="6">
        <f t="shared" si="18"/>
        <v>-694.30000000000018</v>
      </c>
      <c r="Y28" s="2"/>
      <c r="Z28" s="7">
        <f t="shared" si="19"/>
        <v>-0.12568790731354096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23.81</v>
      </c>
      <c r="E29" s="2"/>
      <c r="F29" s="7">
        <f t="shared" si="12"/>
        <v>4.824786881605079E-4</v>
      </c>
      <c r="G29" s="2"/>
      <c r="H29" s="6">
        <v>28.280333599999999</v>
      </c>
      <c r="I29" s="2"/>
      <c r="J29" s="7">
        <f t="shared" si="13"/>
        <v>6.1764984821019062E-4</v>
      </c>
      <c r="K29" s="2"/>
      <c r="L29" s="6">
        <f t="shared" si="14"/>
        <v>-4.4703336</v>
      </c>
      <c r="M29" s="2"/>
      <c r="N29" s="7">
        <f t="shared" si="15"/>
        <v>-0.15807216644714545</v>
      </c>
      <c r="O29" s="11"/>
      <c r="P29" s="6">
        <v>170.01</v>
      </c>
      <c r="Q29" s="2"/>
      <c r="R29" s="7">
        <f t="shared" si="16"/>
        <v>6.3301816964328429E-4</v>
      </c>
      <c r="S29" s="2"/>
      <c r="T29" s="6">
        <v>175.51218259999999</v>
      </c>
      <c r="U29" s="2"/>
      <c r="V29" s="7">
        <f t="shared" si="17"/>
        <v>6.3402770237807097E-4</v>
      </c>
      <c r="W29" s="2"/>
      <c r="X29" s="6">
        <f t="shared" si="18"/>
        <v>-5.5021825999999976</v>
      </c>
      <c r="Y29" s="2"/>
      <c r="Z29" s="7">
        <f t="shared" si="19"/>
        <v>-3.1349291647404978E-2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178.918819076923</v>
      </c>
      <c r="I30" s="2"/>
      <c r="J30" s="7">
        <f t="shared" si="13"/>
        <v>3.9076335876323627E-3</v>
      </c>
      <c r="K30" s="2"/>
      <c r="L30" s="6">
        <f t="shared" si="14"/>
        <v>-178.918819076923</v>
      </c>
      <c r="M30" s="2"/>
      <c r="N30" s="7">
        <f t="shared" si="15"/>
        <v>-1</v>
      </c>
      <c r="O30" s="11"/>
      <c r="P30" s="6">
        <v>938.77</v>
      </c>
      <c r="Q30" s="2"/>
      <c r="R30" s="7">
        <f t="shared" si="16"/>
        <v>3.4954324281867306E-3</v>
      </c>
      <c r="S30" s="2"/>
      <c r="T30" s="6">
        <v>1508.054342923077</v>
      </c>
      <c r="U30" s="2"/>
      <c r="V30" s="7">
        <f t="shared" si="17"/>
        <v>5.4477598987182222E-3</v>
      </c>
      <c r="W30" s="2"/>
      <c r="X30" s="6">
        <f t="shared" si="18"/>
        <v>-569.28434292307702</v>
      </c>
      <c r="Y30" s="2"/>
      <c r="Z30" s="7">
        <f t="shared" si="19"/>
        <v>-0.37749590762069452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62.413541538461502</v>
      </c>
      <c r="I32" s="2"/>
      <c r="J32" s="7">
        <f t="shared" si="13"/>
        <v>1.3631279956857077E-3</v>
      </c>
      <c r="K32" s="2"/>
      <c r="L32" s="6">
        <f t="shared" si="14"/>
        <v>-62.413541538461502</v>
      </c>
      <c r="M32" s="2"/>
      <c r="N32" s="7">
        <f t="shared" si="15"/>
        <v>-1</v>
      </c>
      <c r="O32" s="11"/>
      <c r="P32" s="6">
        <v>480.48</v>
      </c>
      <c r="Q32" s="2"/>
      <c r="R32" s="7">
        <f t="shared" si="16"/>
        <v>1.7890275286759913E-3</v>
      </c>
      <c r="S32" s="2"/>
      <c r="T32" s="6">
        <v>526.06546846153822</v>
      </c>
      <c r="U32" s="2"/>
      <c r="V32" s="7">
        <f t="shared" si="17"/>
        <v>1.9003813600179836E-3</v>
      </c>
      <c r="W32" s="2"/>
      <c r="X32" s="6">
        <f t="shared" si="18"/>
        <v>-45.585468461538198</v>
      </c>
      <c r="Y32" s="2"/>
      <c r="Z32" s="7">
        <f t="shared" si="19"/>
        <v>-8.6653603390565548E-2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305.50702769230804</v>
      </c>
      <c r="I33" s="2"/>
      <c r="J33" s="7">
        <f t="shared" si="13"/>
        <v>6.6723530192479971E-3</v>
      </c>
      <c r="K33" s="2"/>
      <c r="L33" s="6">
        <f t="shared" si="14"/>
        <v>-305.50702769230804</v>
      </c>
      <c r="M33" s="2"/>
      <c r="N33" s="7">
        <f t="shared" si="15"/>
        <v>-1</v>
      </c>
      <c r="O33" s="11"/>
      <c r="P33" s="6">
        <v>575.64</v>
      </c>
      <c r="Q33" s="2"/>
      <c r="R33" s="7">
        <f t="shared" si="16"/>
        <v>2.1433479158488337E-3</v>
      </c>
      <c r="S33" s="2"/>
      <c r="T33" s="6">
        <v>1849.7854123076947</v>
      </c>
      <c r="U33" s="2"/>
      <c r="V33" s="7">
        <f t="shared" si="17"/>
        <v>6.6822438048691922E-3</v>
      </c>
      <c r="W33" s="2"/>
      <c r="X33" s="6">
        <f t="shared" si="18"/>
        <v>-1274.1454123076946</v>
      </c>
      <c r="Y33" s="2"/>
      <c r="Z33" s="7">
        <f t="shared" si="19"/>
        <v>-0.68880714694259482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2"/>
        <v>0</v>
      </c>
      <c r="G34" s="2"/>
      <c r="H34" s="6"/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>
        <v>886.98</v>
      </c>
      <c r="Q34" s="2"/>
      <c r="R34" s="7">
        <f t="shared" si="16"/>
        <v>3.3025966479042429E-3</v>
      </c>
      <c r="S34" s="2"/>
      <c r="T34" s="6"/>
      <c r="U34" s="2"/>
      <c r="V34" s="7">
        <f t="shared" si="17"/>
        <v>0</v>
      </c>
      <c r="W34" s="2"/>
      <c r="X34" s="6">
        <f t="shared" si="18"/>
        <v>886.98</v>
      </c>
      <c r="Y34" s="2"/>
      <c r="Z34" s="7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8535.52</v>
      </c>
      <c r="E35" s="1"/>
      <c r="F35" s="5">
        <f t="shared" ref="F35:F45" si="20">IF(D$12=0,0,D35/D$12)</f>
        <v>0.17296121345517762</v>
      </c>
      <c r="G35" s="1"/>
      <c r="H35" s="1">
        <f>SUM(OSRRefH22_1x_0)</f>
        <v>10773.02881538462</v>
      </c>
      <c r="I35" s="1"/>
      <c r="J35" s="5">
        <f t="shared" ref="J35:J45" si="21">IF(H$12=0,0,H35/H$12)</f>
        <v>0.23528575393418699</v>
      </c>
      <c r="K35" s="1"/>
      <c r="L35" s="1">
        <f t="shared" ref="L35:L45" si="22">+D35-H35</f>
        <v>-2237.5088153846191</v>
      </c>
      <c r="M35" s="1"/>
      <c r="N35" s="5">
        <f t="shared" ref="N35:N45" si="23">IF(H35=0,0,L35/H35)</f>
        <v>-0.20769542658136253</v>
      </c>
      <c r="O35" s="13"/>
      <c r="P35" s="1">
        <f>SUM(OSRRefP22_1x_0)</f>
        <v>65935.199999999997</v>
      </c>
      <c r="Q35" s="1"/>
      <c r="R35" s="5">
        <f t="shared" ref="R35:R45" si="24">IF(P$12=0,0,P35/P$12)</f>
        <v>0.24550426221436317</v>
      </c>
      <c r="S35" s="1"/>
      <c r="T35" s="1">
        <f>SUM(OSRRefT22_1x_0)</f>
        <v>66627.909834615406</v>
      </c>
      <c r="U35" s="1"/>
      <c r="V35" s="5">
        <f t="shared" ref="V35:V45" si="25">IF(T$12=0,0,T35/T$12)</f>
        <v>0.24068950634025382</v>
      </c>
      <c r="W35" s="1"/>
      <c r="X35" s="1">
        <f t="shared" ref="X35:X45" si="26">+P35-T35</f>
        <v>-692.70983461540891</v>
      </c>
      <c r="Y35" s="1"/>
      <c r="Z35" s="5">
        <f t="shared" ref="Z35:Z45" si="27">IF(T35=0,0,X35/T35)</f>
        <v>-1.0396691661720464E-2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1976.4288153846198</v>
      </c>
      <c r="I36" s="2"/>
      <c r="J36" s="7">
        <f t="shared" si="21"/>
        <v>4.3165719863380872E-2</v>
      </c>
      <c r="K36" s="2"/>
      <c r="L36" s="6">
        <f t="shared" si="22"/>
        <v>-1976.4288153846198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16658.739834615411</v>
      </c>
      <c r="U36" s="2"/>
      <c r="V36" s="7">
        <f t="shared" si="25"/>
        <v>6.0178743067236272E-2</v>
      </c>
      <c r="W36" s="2"/>
      <c r="X36" s="6">
        <f t="shared" si="26"/>
        <v>-16658.739834615411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9840</v>
      </c>
      <c r="Q37" s="2"/>
      <c r="R37" s="7">
        <f t="shared" si="24"/>
        <v>3.6638425911945875E-2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9840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5201.67</v>
      </c>
      <c r="E40" s="2"/>
      <c r="F40" s="7">
        <f t="shared" si="20"/>
        <v>0.10540507844787356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5201.67</v>
      </c>
      <c r="M40" s="2"/>
      <c r="N40" s="7">
        <f t="shared" si="23"/>
        <v>0</v>
      </c>
      <c r="O40" s="11"/>
      <c r="P40" s="6">
        <v>23430.73</v>
      </c>
      <c r="Q40" s="2"/>
      <c r="R40" s="7">
        <f t="shared" si="24"/>
        <v>8.7242384671525161E-2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23430.73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>
        <v>474.56</v>
      </c>
      <c r="E41" s="2"/>
      <c r="F41" s="7">
        <f t="shared" si="20"/>
        <v>9.6163412958190104E-3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474.56</v>
      </c>
      <c r="M41" s="2"/>
      <c r="N41" s="7">
        <f t="shared" si="23"/>
        <v>0</v>
      </c>
      <c r="O41" s="11"/>
      <c r="P41" s="6">
        <v>759.75</v>
      </c>
      <c r="Q41" s="2"/>
      <c r="R41" s="7">
        <f t="shared" si="24"/>
        <v>2.828866268963504E-3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759.75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2859.29</v>
      </c>
      <c r="E42" s="2"/>
      <c r="F42" s="7">
        <f t="shared" si="20"/>
        <v>5.7939793711485034E-2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2859.29</v>
      </c>
      <c r="M42" s="2"/>
      <c r="N42" s="7">
        <f t="shared" si="23"/>
        <v>0</v>
      </c>
      <c r="O42" s="11"/>
      <c r="P42" s="6">
        <v>31847.72</v>
      </c>
      <c r="Q42" s="2"/>
      <c r="R42" s="7">
        <f t="shared" si="24"/>
        <v>0.11858235057768261</v>
      </c>
      <c r="S42" s="2"/>
      <c r="T42" s="6">
        <v>1785</v>
      </c>
      <c r="U42" s="2"/>
      <c r="V42" s="7">
        <f t="shared" si="25"/>
        <v>6.4482102152654602E-3</v>
      </c>
      <c r="W42" s="2"/>
      <c r="X42" s="6">
        <f t="shared" si="26"/>
        <v>30062.720000000001</v>
      </c>
      <c r="Y42" s="2"/>
      <c r="Z42" s="7">
        <f t="shared" si="27"/>
        <v>16.841859943977592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8796.6</v>
      </c>
      <c r="I43" s="2"/>
      <c r="J43" s="7">
        <f t="shared" si="21"/>
        <v>0.19212003407080613</v>
      </c>
      <c r="K43" s="2"/>
      <c r="L43" s="6">
        <f t="shared" si="22"/>
        <v>-8796.6</v>
      </c>
      <c r="M43" s="2"/>
      <c r="N43" s="7">
        <f t="shared" si="23"/>
        <v>-1</v>
      </c>
      <c r="O43" s="11"/>
      <c r="P43" s="6">
        <v>57</v>
      </c>
      <c r="Q43" s="2"/>
      <c r="R43" s="7">
        <f t="shared" si="24"/>
        <v>2.1223478424602793E-4</v>
      </c>
      <c r="S43" s="2"/>
      <c r="T43" s="6">
        <v>48184.17</v>
      </c>
      <c r="U43" s="2"/>
      <c r="V43" s="7">
        <f t="shared" si="25"/>
        <v>0.17406255305775212</v>
      </c>
      <c r="W43" s="2"/>
      <c r="X43" s="6">
        <f t="shared" si="26"/>
        <v>-48127.17</v>
      </c>
      <c r="Y43" s="2"/>
      <c r="Z43" s="7">
        <f t="shared" si="27"/>
        <v>-0.99881703887397044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11.25</v>
      </c>
      <c r="E46" s="1"/>
      <c r="F46" s="5">
        <f t="shared" ref="F46:F54" si="28">IF(D$12=0,0,D46/D$12)</f>
        <v>2.2796662082342353E-4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11.25</v>
      </c>
      <c r="M46" s="1"/>
      <c r="N46" s="5">
        <f t="shared" ref="N46:N54" si="31">IF(H46=0,0,L46/H46)</f>
        <v>0</v>
      </c>
      <c r="O46" s="13"/>
      <c r="P46" s="1">
        <f>SUM(OSRRefP22_2x_0)</f>
        <v>889.84</v>
      </c>
      <c r="Q46" s="1"/>
      <c r="R46" s="5">
        <f t="shared" ref="R46:R54" si="32">IF(P$12=0,0,P46/P$12)</f>
        <v>3.3132456212892191E-3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889.84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11.25</v>
      </c>
      <c r="E47" s="2"/>
      <c r="F47" s="7">
        <f t="shared" si="28"/>
        <v>2.2796662082342353E-4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11.25</v>
      </c>
      <c r="M47" s="2"/>
      <c r="N47" s="7">
        <f t="shared" si="31"/>
        <v>0</v>
      </c>
      <c r="O47" s="11"/>
      <c r="P47" s="6">
        <v>889.84</v>
      </c>
      <c r="Q47" s="2"/>
      <c r="R47" s="7">
        <f t="shared" si="32"/>
        <v>3.3132456212892191E-3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889.84</v>
      </c>
      <c r="Y47" s="2"/>
      <c r="Z47" s="7">
        <f t="shared" si="35"/>
        <v>0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5.1100000000000003</v>
      </c>
      <c r="E48" s="1"/>
      <c r="F48" s="5">
        <f t="shared" si="28"/>
        <v>1.0354750510290616E-4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5.1100000000000003</v>
      </c>
      <c r="M48" s="1"/>
      <c r="N48" s="5">
        <f t="shared" si="31"/>
        <v>0</v>
      </c>
      <c r="O48" s="13"/>
      <c r="P48" s="1">
        <f>SUM(OSRRefP22_3x_0)</f>
        <v>-19.75</v>
      </c>
      <c r="Q48" s="1"/>
      <c r="R48" s="5">
        <f t="shared" si="32"/>
        <v>-7.3537491032614943E-5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-19.75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5.1100000000000003</v>
      </c>
      <c r="E49" s="2"/>
      <c r="F49" s="7">
        <f t="shared" si="28"/>
        <v>1.0354750510290616E-4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5.1100000000000003</v>
      </c>
      <c r="M49" s="2"/>
      <c r="N49" s="7">
        <f t="shared" si="31"/>
        <v>0</v>
      </c>
      <c r="O49" s="11"/>
      <c r="P49" s="6">
        <v>-19.75</v>
      </c>
      <c r="Q49" s="2"/>
      <c r="R49" s="7">
        <f t="shared" si="32"/>
        <v>-7.3537491032614943E-5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-19.75</v>
      </c>
      <c r="Y49" s="2"/>
      <c r="Z49" s="7">
        <f t="shared" si="35"/>
        <v>0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2055.16</v>
      </c>
      <c r="E50" s="1"/>
      <c r="F50" s="5">
        <f t="shared" si="28"/>
        <v>4.1645144929019294E-2</v>
      </c>
      <c r="G50" s="1"/>
      <c r="H50" s="1">
        <f>SUM(OSRRefH22_4x_0)</f>
        <v>1451</v>
      </c>
      <c r="I50" s="1"/>
      <c r="J50" s="5">
        <f t="shared" si="29"/>
        <v>3.1690217747395548E-2</v>
      </c>
      <c r="K50" s="1"/>
      <c r="L50" s="1">
        <f t="shared" si="30"/>
        <v>604.15999999999985</v>
      </c>
      <c r="M50" s="1"/>
      <c r="N50" s="5">
        <f t="shared" si="31"/>
        <v>0.4163749138525154</v>
      </c>
      <c r="O50" s="13"/>
      <c r="P50" s="1">
        <f>SUM(OSRRefP22_4x_0)</f>
        <v>9598.67</v>
      </c>
      <c r="Q50" s="1"/>
      <c r="R50" s="5">
        <f t="shared" si="32"/>
        <v>3.5739853622786331E-2</v>
      </c>
      <c r="S50" s="1"/>
      <c r="T50" s="1">
        <f>SUM(OSRRefT22_4x_0)</f>
        <v>8772</v>
      </c>
      <c r="U50" s="1"/>
      <c r="V50" s="5">
        <f t="shared" si="33"/>
        <v>3.1688347343590259E-2</v>
      </c>
      <c r="W50" s="1"/>
      <c r="X50" s="1">
        <f t="shared" si="34"/>
        <v>826.67000000000007</v>
      </c>
      <c r="Y50" s="1"/>
      <c r="Z50" s="5">
        <f t="shared" si="35"/>
        <v>9.4239626082991343E-2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2055.16</v>
      </c>
      <c r="E51" s="2"/>
      <c r="F51" s="7">
        <f t="shared" si="28"/>
        <v>4.1645144929019294E-2</v>
      </c>
      <c r="G51" s="2"/>
      <c r="H51" s="6">
        <v>1451</v>
      </c>
      <c r="I51" s="2"/>
      <c r="J51" s="7">
        <f t="shared" si="29"/>
        <v>3.1690217747395548E-2</v>
      </c>
      <c r="K51" s="2"/>
      <c r="L51" s="6">
        <f t="shared" si="30"/>
        <v>604.15999999999985</v>
      </c>
      <c r="M51" s="2"/>
      <c r="N51" s="7">
        <f t="shared" si="31"/>
        <v>0.4163749138525154</v>
      </c>
      <c r="O51" s="11"/>
      <c r="P51" s="6">
        <v>9598.67</v>
      </c>
      <c r="Q51" s="2"/>
      <c r="R51" s="7">
        <f t="shared" si="32"/>
        <v>3.5739853622786331E-2</v>
      </c>
      <c r="S51" s="2"/>
      <c r="T51" s="6">
        <v>8772</v>
      </c>
      <c r="U51" s="2"/>
      <c r="V51" s="7">
        <f t="shared" si="33"/>
        <v>3.1688347343590259E-2</v>
      </c>
      <c r="W51" s="2"/>
      <c r="X51" s="6">
        <f t="shared" si="34"/>
        <v>826.67000000000007</v>
      </c>
      <c r="Y51" s="2"/>
      <c r="Z51" s="7">
        <f t="shared" si="35"/>
        <v>9.4239626082991343E-2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155.66999999999999</v>
      </c>
      <c r="E52" s="1"/>
      <c r="F52" s="5">
        <f t="shared" si="28"/>
        <v>3.154450121207319E-3</v>
      </c>
      <c r="G52" s="1"/>
      <c r="H52" s="1">
        <f>SUM(OSRRefH22_5x_0)</f>
        <v>233</v>
      </c>
      <c r="I52" s="1"/>
      <c r="J52" s="5">
        <f t="shared" si="29"/>
        <v>5.0887806582654467E-3</v>
      </c>
      <c r="K52" s="1"/>
      <c r="L52" s="1">
        <f t="shared" si="30"/>
        <v>-77.330000000000013</v>
      </c>
      <c r="M52" s="1"/>
      <c r="N52" s="5">
        <f t="shared" si="31"/>
        <v>-0.33188841201716746</v>
      </c>
      <c r="O52" s="13"/>
      <c r="P52" s="1">
        <f>SUM(OSRRefP22_5x_0)</f>
        <v>1245.3599999999999</v>
      </c>
      <c r="Q52" s="1"/>
      <c r="R52" s="5">
        <f t="shared" si="32"/>
        <v>4.6369949282216369E-3</v>
      </c>
      <c r="S52" s="1"/>
      <c r="T52" s="1">
        <f>SUM(OSRRefT22_5x_0)</f>
        <v>1165</v>
      </c>
      <c r="U52" s="1"/>
      <c r="V52" s="5">
        <f t="shared" si="33"/>
        <v>4.2084957427362809E-3</v>
      </c>
      <c r="W52" s="1"/>
      <c r="X52" s="1">
        <f t="shared" si="34"/>
        <v>80.3599999999999</v>
      </c>
      <c r="Y52" s="1"/>
      <c r="Z52" s="5">
        <f t="shared" si="35"/>
        <v>6.8978540772532099E-2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155.66999999999999</v>
      </c>
      <c r="E53" s="2"/>
      <c r="F53" s="7">
        <f t="shared" si="28"/>
        <v>3.154450121207319E-3</v>
      </c>
      <c r="G53" s="2"/>
      <c r="H53" s="6"/>
      <c r="I53" s="2"/>
      <c r="J53" s="7">
        <f t="shared" si="29"/>
        <v>0</v>
      </c>
      <c r="K53" s="2"/>
      <c r="L53" s="6">
        <f t="shared" si="30"/>
        <v>155.66999999999999</v>
      </c>
      <c r="M53" s="2"/>
      <c r="N53" s="7">
        <f t="shared" si="31"/>
        <v>0</v>
      </c>
      <c r="O53" s="11"/>
      <c r="P53" s="6">
        <v>1245.3599999999999</v>
      </c>
      <c r="Q53" s="2"/>
      <c r="R53" s="7">
        <f t="shared" si="32"/>
        <v>4.6369949282216369E-3</v>
      </c>
      <c r="S53" s="2"/>
      <c r="T53" s="6"/>
      <c r="U53" s="2"/>
      <c r="V53" s="7">
        <f t="shared" si="33"/>
        <v>0</v>
      </c>
      <c r="W53" s="2"/>
      <c r="X53" s="6">
        <f t="shared" si="34"/>
        <v>1245.3599999999999</v>
      </c>
      <c r="Y53" s="2"/>
      <c r="Z53" s="7">
        <f t="shared" si="35"/>
        <v>0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233</v>
      </c>
      <c r="I54" s="2"/>
      <c r="J54" s="7">
        <f t="shared" si="29"/>
        <v>5.0887806582654467E-3</v>
      </c>
      <c r="K54" s="2"/>
      <c r="L54" s="6">
        <f t="shared" si="30"/>
        <v>-233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1165</v>
      </c>
      <c r="U54" s="2"/>
      <c r="V54" s="7">
        <f t="shared" si="33"/>
        <v>4.2084957427362809E-3</v>
      </c>
      <c r="W54" s="2"/>
      <c r="X54" s="6">
        <f t="shared" si="34"/>
        <v>-1165</v>
      </c>
      <c r="Y54" s="2"/>
      <c r="Z54" s="7">
        <f t="shared" si="35"/>
        <v>-1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3" si="36">IF(D$12=0,0,D55/D$12)</f>
        <v>0</v>
      </c>
      <c r="G55" s="1"/>
      <c r="H55" s="1">
        <f>SUM(OSRRefH22_6x_0)</f>
        <v>0</v>
      </c>
      <c r="I55" s="1"/>
      <c r="J55" s="5">
        <f t="shared" ref="J55:J63" si="37">IF(H$12=0,0,H55/H$12)</f>
        <v>0</v>
      </c>
      <c r="K55" s="1"/>
      <c r="L55" s="1">
        <f t="shared" ref="L55:L63" si="38">+D55-H55</f>
        <v>0</v>
      </c>
      <c r="M55" s="1"/>
      <c r="N55" s="5">
        <f t="shared" ref="N55:N63" si="39">IF(H55=0,0,L55/H55)</f>
        <v>0</v>
      </c>
      <c r="O55" s="13"/>
      <c r="P55" s="1">
        <f>SUM(OSRRefP22_6x_0)</f>
        <v>62.26</v>
      </c>
      <c r="Q55" s="1"/>
      <c r="R55" s="5">
        <f t="shared" ref="R55:R63" si="40">IF(P$12=0,0,P55/P$12)</f>
        <v>2.3181995907294207E-4</v>
      </c>
      <c r="S55" s="1"/>
      <c r="T55" s="1">
        <f>SUM(OSRRefT22_6x_0)</f>
        <v>0</v>
      </c>
      <c r="U55" s="1"/>
      <c r="V55" s="5">
        <f t="shared" ref="V55:V63" si="41">IF(T$12=0,0,T55/T$12)</f>
        <v>0</v>
      </c>
      <c r="W55" s="1"/>
      <c r="X55" s="1">
        <f t="shared" ref="X55:X63" si="42">+P55-T55</f>
        <v>62.26</v>
      </c>
      <c r="Y55" s="1"/>
      <c r="Z55" s="5">
        <f t="shared" ref="Z55:Z63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62.26</v>
      </c>
      <c r="Q56" s="2"/>
      <c r="R56" s="7">
        <f t="shared" si="40"/>
        <v>2.3181995907294207E-4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62.26</v>
      </c>
      <c r="Y56" s="2"/>
      <c r="Z56" s="7">
        <f t="shared" si="43"/>
        <v>0</v>
      </c>
    </row>
    <row r="57" spans="1:26" s="27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0</v>
      </c>
      <c r="I57" s="1"/>
      <c r="J57" s="5">
        <f t="shared" si="37"/>
        <v>0</v>
      </c>
      <c r="K57" s="1"/>
      <c r="L57" s="1">
        <f t="shared" si="38"/>
        <v>0</v>
      </c>
      <c r="M57" s="1"/>
      <c r="N57" s="5">
        <f t="shared" si="39"/>
        <v>0</v>
      </c>
      <c r="O57" s="13"/>
      <c r="P57" s="1">
        <f>SUM(OSRRefP22_7x_0)</f>
        <v>12</v>
      </c>
      <c r="Q57" s="1"/>
      <c r="R57" s="5">
        <f t="shared" si="40"/>
        <v>4.4681007209690088E-5</v>
      </c>
      <c r="S57" s="1"/>
      <c r="T57" s="1">
        <f>SUM(OSRRefT22_7x_0)</f>
        <v>0</v>
      </c>
      <c r="U57" s="1"/>
      <c r="V57" s="5">
        <f t="shared" si="41"/>
        <v>0</v>
      </c>
      <c r="W57" s="1"/>
      <c r="X57" s="1">
        <f t="shared" si="42"/>
        <v>12</v>
      </c>
      <c r="Y57" s="1"/>
      <c r="Z57" s="5">
        <f t="shared" si="43"/>
        <v>0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12</v>
      </c>
      <c r="Q58" s="2"/>
      <c r="R58" s="7">
        <f t="shared" si="40"/>
        <v>4.4681007209690088E-5</v>
      </c>
      <c r="S58" s="2"/>
      <c r="T58" s="6"/>
      <c r="U58" s="2"/>
      <c r="V58" s="7">
        <f t="shared" si="41"/>
        <v>0</v>
      </c>
      <c r="W58" s="2"/>
      <c r="X58" s="6">
        <f t="shared" si="42"/>
        <v>12</v>
      </c>
      <c r="Y58" s="2"/>
      <c r="Z58" s="7">
        <f t="shared" si="43"/>
        <v>0</v>
      </c>
    </row>
    <row r="59" spans="1:26" s="27" customFormat="1" outlineLevel="1" collapsed="1" x14ac:dyDescent="0.25">
      <c r="A59" s="26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3</v>
      </c>
      <c r="E59" s="1"/>
      <c r="F59" s="5">
        <f t="shared" si="36"/>
        <v>6.0791098886246272E-5</v>
      </c>
      <c r="G59" s="1"/>
      <c r="H59" s="1">
        <f>SUM(OSRRefH22_8x_0)</f>
        <v>499</v>
      </c>
      <c r="I59" s="1"/>
      <c r="J59" s="5">
        <f t="shared" si="37"/>
        <v>1.0898289907615698E-2</v>
      </c>
      <c r="K59" s="1"/>
      <c r="L59" s="1">
        <f t="shared" si="38"/>
        <v>-496</v>
      </c>
      <c r="M59" s="1"/>
      <c r="N59" s="5">
        <f t="shared" si="39"/>
        <v>-0.9939879759519038</v>
      </c>
      <c r="O59" s="13"/>
      <c r="P59" s="1">
        <f>SUM(OSRRefP22_8x_0)</f>
        <v>5618.89</v>
      </c>
      <c r="Q59" s="1"/>
      <c r="R59" s="5">
        <f t="shared" si="40"/>
        <v>2.0921472050037963E-2</v>
      </c>
      <c r="S59" s="1"/>
      <c r="T59" s="1">
        <f>SUM(OSRRefT22_8x_0)</f>
        <v>3016</v>
      </c>
      <c r="U59" s="1"/>
      <c r="V59" s="5">
        <f t="shared" si="41"/>
        <v>1.0895127176045171E-2</v>
      </c>
      <c r="W59" s="1"/>
      <c r="X59" s="1">
        <f t="shared" si="42"/>
        <v>2602.8900000000003</v>
      </c>
      <c r="Y59" s="1"/>
      <c r="Z59" s="5">
        <f t="shared" si="43"/>
        <v>0.86302718832891256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6">
        <v>3</v>
      </c>
      <c r="E60" s="2"/>
      <c r="F60" s="7">
        <f t="shared" si="36"/>
        <v>6.0791098886246272E-5</v>
      </c>
      <c r="G60" s="2"/>
      <c r="H60" s="6">
        <v>499</v>
      </c>
      <c r="I60" s="2"/>
      <c r="J60" s="7">
        <f t="shared" si="37"/>
        <v>1.0898289907615698E-2</v>
      </c>
      <c r="K60" s="2"/>
      <c r="L60" s="6">
        <f t="shared" si="38"/>
        <v>-496</v>
      </c>
      <c r="M60" s="2"/>
      <c r="N60" s="7">
        <f t="shared" si="39"/>
        <v>-0.9939879759519038</v>
      </c>
      <c r="O60" s="11"/>
      <c r="P60" s="6">
        <v>5618.89</v>
      </c>
      <c r="Q60" s="2"/>
      <c r="R60" s="7">
        <f t="shared" si="40"/>
        <v>2.0921472050037963E-2</v>
      </c>
      <c r="S60" s="2"/>
      <c r="T60" s="6">
        <v>3016</v>
      </c>
      <c r="U60" s="2"/>
      <c r="V60" s="7">
        <f t="shared" si="41"/>
        <v>1.0895127176045171E-2</v>
      </c>
      <c r="W60" s="2"/>
      <c r="X60" s="6">
        <f t="shared" si="42"/>
        <v>2602.8900000000003</v>
      </c>
      <c r="Y60" s="2"/>
      <c r="Z60" s="7">
        <f t="shared" si="43"/>
        <v>0.86302718832891256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93.5</v>
      </c>
      <c r="E61" s="1"/>
      <c r="F61" s="5">
        <f t="shared" si="36"/>
        <v>1.8946559152880089E-3</v>
      </c>
      <c r="G61" s="1"/>
      <c r="H61" s="1">
        <f>SUM(OSRRefH22_9x_0)</f>
        <v>499</v>
      </c>
      <c r="I61" s="1"/>
      <c r="J61" s="5">
        <f t="shared" si="37"/>
        <v>1.0898289907615698E-2</v>
      </c>
      <c r="K61" s="1"/>
      <c r="L61" s="1">
        <f t="shared" si="38"/>
        <v>-405.5</v>
      </c>
      <c r="M61" s="1"/>
      <c r="N61" s="5">
        <f t="shared" si="39"/>
        <v>-0.81262525050100198</v>
      </c>
      <c r="O61" s="13"/>
      <c r="P61" s="1">
        <f>SUM(OSRRefP22_9x_0)</f>
        <v>6245.2400000000007</v>
      </c>
      <c r="Q61" s="1"/>
      <c r="R61" s="5">
        <f t="shared" si="40"/>
        <v>2.3253634455520415E-2</v>
      </c>
      <c r="S61" s="1"/>
      <c r="T61" s="1">
        <f>SUM(OSRRefT22_9x_0)</f>
        <v>3016</v>
      </c>
      <c r="U61" s="1"/>
      <c r="V61" s="5">
        <f t="shared" si="41"/>
        <v>1.0895127176045171E-2</v>
      </c>
      <c r="W61" s="1"/>
      <c r="X61" s="1">
        <f t="shared" si="42"/>
        <v>3229.2400000000007</v>
      </c>
      <c r="Y61" s="1"/>
      <c r="Z61" s="5">
        <f t="shared" si="43"/>
        <v>1.0707029177718834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93.22</v>
      </c>
      <c r="Q62" s="2"/>
      <c r="R62" s="7">
        <f t="shared" si="40"/>
        <v>3.4709695767394251E-4</v>
      </c>
      <c r="S62" s="2"/>
      <c r="T62" s="6"/>
      <c r="U62" s="2"/>
      <c r="V62" s="7">
        <f t="shared" si="41"/>
        <v>0</v>
      </c>
      <c r="W62" s="2"/>
      <c r="X62" s="6">
        <f t="shared" si="42"/>
        <v>93.22</v>
      </c>
      <c r="Y62" s="2"/>
      <c r="Z62" s="7">
        <f t="shared" si="43"/>
        <v>0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93.5</v>
      </c>
      <c r="E63" s="2"/>
      <c r="F63" s="7">
        <f t="shared" si="36"/>
        <v>1.8946559152880089E-3</v>
      </c>
      <c r="G63" s="2"/>
      <c r="H63" s="6">
        <v>499</v>
      </c>
      <c r="I63" s="2"/>
      <c r="J63" s="7">
        <f t="shared" si="37"/>
        <v>1.0898289907615698E-2</v>
      </c>
      <c r="K63" s="2"/>
      <c r="L63" s="6">
        <f t="shared" si="38"/>
        <v>-405.5</v>
      </c>
      <c r="M63" s="2"/>
      <c r="N63" s="7">
        <f t="shared" si="39"/>
        <v>-0.81262525050100198</v>
      </c>
      <c r="O63" s="11"/>
      <c r="P63" s="6">
        <v>6152.02</v>
      </c>
      <c r="Q63" s="2"/>
      <c r="R63" s="7">
        <f t="shared" si="40"/>
        <v>2.290653749784647E-2</v>
      </c>
      <c r="S63" s="2"/>
      <c r="T63" s="6">
        <v>3016</v>
      </c>
      <c r="U63" s="2"/>
      <c r="V63" s="7">
        <f t="shared" si="41"/>
        <v>1.0895127176045171E-2</v>
      </c>
      <c r="W63" s="2"/>
      <c r="X63" s="6">
        <f t="shared" si="42"/>
        <v>3136.0200000000004</v>
      </c>
      <c r="Y63" s="2"/>
      <c r="Z63" s="7">
        <f t="shared" si="43"/>
        <v>1.0397944297082229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SUM(OSRRefD22_10x_0)</f>
        <v>356.77</v>
      </c>
      <c r="E64" s="1"/>
      <c r="F64" s="5">
        <f t="shared" ref="F64:F67" si="44">IF(D$12=0,0,D64/D$12)</f>
        <v>7.2294801165486942E-3</v>
      </c>
      <c r="G64" s="1"/>
      <c r="H64" s="1">
        <f>SUM(OSRRefH22_10x_0)</f>
        <v>408</v>
      </c>
      <c r="I64" s="1"/>
      <c r="J64" s="5">
        <f t="shared" ref="J64:J67" si="45">IF(H$12=0,0,H64/H$12)</f>
        <v>8.9108262170485078E-3</v>
      </c>
      <c r="K64" s="1"/>
      <c r="L64" s="1">
        <f t="shared" ref="L64:L67" si="46">+D64-H64</f>
        <v>-51.230000000000018</v>
      </c>
      <c r="M64" s="1"/>
      <c r="N64" s="5">
        <f t="shared" ref="N64:N67" si="47">IF(H64=0,0,L64/H64)</f>
        <v>-0.12556372549019612</v>
      </c>
      <c r="O64" s="13"/>
      <c r="P64" s="1">
        <f>SUM(OSRRefP22_10x_0)</f>
        <v>3170.63</v>
      </c>
      <c r="Q64" s="1"/>
      <c r="R64" s="5">
        <f t="shared" ref="R64:R67" si="48">IF(P$12=0,0,P64/P$12)</f>
        <v>1.1805578490771641E-2</v>
      </c>
      <c r="S64" s="1"/>
      <c r="T64" s="1">
        <f>SUM(OSRRefT22_10x_0)</f>
        <v>2466</v>
      </c>
      <c r="U64" s="1"/>
      <c r="V64" s="5">
        <f t="shared" ref="V64:V67" si="49">IF(T$12=0,0,T64/T$12)</f>
        <v>8.9082836923499303E-3</v>
      </c>
      <c r="W64" s="1"/>
      <c r="X64" s="1">
        <f t="shared" ref="X64:X67" si="50">+P64-T64</f>
        <v>704.63000000000011</v>
      </c>
      <c r="Y64" s="1"/>
      <c r="Z64" s="5">
        <f t="shared" ref="Z64:Z67" si="51">IF(T64=0,0,X64/T64)</f>
        <v>0.2857380373073804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327.93</v>
      </c>
      <c r="E65" s="2"/>
      <c r="F65" s="7">
        <f t="shared" si="44"/>
        <v>6.6450750192555801E-3</v>
      </c>
      <c r="G65" s="2"/>
      <c r="H65" s="6">
        <v>408</v>
      </c>
      <c r="I65" s="2"/>
      <c r="J65" s="7">
        <f t="shared" si="45"/>
        <v>8.9108262170485078E-3</v>
      </c>
      <c r="K65" s="2"/>
      <c r="L65" s="6">
        <f t="shared" si="46"/>
        <v>-80.069999999999993</v>
      </c>
      <c r="M65" s="2"/>
      <c r="N65" s="7">
        <f t="shared" si="47"/>
        <v>-0.19624999999999998</v>
      </c>
      <c r="O65" s="11"/>
      <c r="P65" s="6">
        <v>2765.37</v>
      </c>
      <c r="Q65" s="2"/>
      <c r="R65" s="7">
        <f t="shared" si="48"/>
        <v>1.0296626408955057E-2</v>
      </c>
      <c r="S65" s="2"/>
      <c r="T65" s="6">
        <v>2466</v>
      </c>
      <c r="U65" s="2"/>
      <c r="V65" s="7">
        <f t="shared" si="49"/>
        <v>8.9082836923499303E-3</v>
      </c>
      <c r="W65" s="2"/>
      <c r="X65" s="6">
        <f t="shared" si="50"/>
        <v>299.36999999999989</v>
      </c>
      <c r="Y65" s="2"/>
      <c r="Z65" s="7">
        <f t="shared" si="51"/>
        <v>0.12139902676399023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6">
        <v>28.84</v>
      </c>
      <c r="E66" s="2"/>
      <c r="F66" s="7">
        <f t="shared" si="44"/>
        <v>5.8440509729311418E-4</v>
      </c>
      <c r="G66" s="2"/>
      <c r="H66" s="6"/>
      <c r="I66" s="2"/>
      <c r="J66" s="7">
        <f t="shared" si="45"/>
        <v>0</v>
      </c>
      <c r="K66" s="2"/>
      <c r="L66" s="6">
        <f t="shared" si="46"/>
        <v>28.84</v>
      </c>
      <c r="M66" s="2"/>
      <c r="N66" s="7">
        <f t="shared" si="47"/>
        <v>0</v>
      </c>
      <c r="O66" s="11"/>
      <c r="P66" s="6">
        <v>219.26</v>
      </c>
      <c r="Q66" s="2"/>
      <c r="R66" s="7">
        <f t="shared" si="48"/>
        <v>8.1639647006638745E-4</v>
      </c>
      <c r="S66" s="2"/>
      <c r="T66" s="6"/>
      <c r="U66" s="2"/>
      <c r="V66" s="7">
        <f t="shared" si="49"/>
        <v>0</v>
      </c>
      <c r="W66" s="2"/>
      <c r="X66" s="6">
        <f t="shared" si="50"/>
        <v>219.26</v>
      </c>
      <c r="Y66" s="2"/>
      <c r="Z66" s="7">
        <f t="shared" si="51"/>
        <v>0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186</v>
      </c>
      <c r="Q67" s="2"/>
      <c r="R67" s="7">
        <f t="shared" si="48"/>
        <v>6.9255561175019637E-4</v>
      </c>
      <c r="S67" s="2"/>
      <c r="T67" s="6"/>
      <c r="U67" s="2"/>
      <c r="V67" s="7">
        <f t="shared" si="49"/>
        <v>0</v>
      </c>
      <c r="W67" s="2"/>
      <c r="X67" s="6">
        <f t="shared" si="50"/>
        <v>186</v>
      </c>
      <c r="Y67" s="2"/>
      <c r="Z67" s="7">
        <f t="shared" si="51"/>
        <v>0</v>
      </c>
    </row>
    <row r="68" spans="1:26" s="27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2978.74</v>
      </c>
      <c r="E68" s="1"/>
      <c r="F68" s="5">
        <f t="shared" ref="F68:F71" si="52">IF(D$12=0,0,D68/D$12)</f>
        <v>6.0360292632139073E-2</v>
      </c>
      <c r="G68" s="1"/>
      <c r="H68" s="1">
        <f>SUM(OSRRefH22_11x_0)</f>
        <v>687</v>
      </c>
      <c r="I68" s="1"/>
      <c r="J68" s="5">
        <f t="shared" ref="J68:J71" si="53">IF(H$12=0,0,H68/H$12)</f>
        <v>1.5004258850765501E-2</v>
      </c>
      <c r="K68" s="1"/>
      <c r="L68" s="1">
        <f t="shared" ref="L68:L71" si="54">+D68-H68</f>
        <v>2291.7399999999998</v>
      </c>
      <c r="M68" s="1"/>
      <c r="N68" s="5">
        <f t="shared" ref="N68:N71" si="55">IF(H68=0,0,L68/H68)</f>
        <v>3.3358660844250361</v>
      </c>
      <c r="O68" s="13"/>
      <c r="P68" s="1">
        <f>SUM(OSRRefP22_11x_0)</f>
        <v>10297.52</v>
      </c>
      <c r="Q68" s="1"/>
      <c r="R68" s="5">
        <f t="shared" ref="R68:R71" si="56">IF(P$12=0,0,P68/P$12)</f>
        <v>3.8341963780160658E-2</v>
      </c>
      <c r="S68" s="1"/>
      <c r="T68" s="1">
        <f>SUM(OSRRefT22_11x_0)</f>
        <v>4152</v>
      </c>
      <c r="U68" s="1"/>
      <c r="V68" s="5">
        <f t="shared" ref="V68:V71" si="57">IF(T$12=0,0,T68/T$12)</f>
        <v>1.4998862080550247E-2</v>
      </c>
      <c r="W68" s="1"/>
      <c r="X68" s="1">
        <f t="shared" ref="X68:X71" si="58">+P68-T68</f>
        <v>6145.52</v>
      </c>
      <c r="Y68" s="1"/>
      <c r="Z68" s="5">
        <f t="shared" ref="Z68:Z71" si="59">IF(T68=0,0,X68/T68)</f>
        <v>1.4801348747591523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>
        <v>101.43</v>
      </c>
      <c r="E69" s="2"/>
      <c r="F69" s="7">
        <f t="shared" si="52"/>
        <v>2.0553470533439867E-3</v>
      </c>
      <c r="G69" s="2"/>
      <c r="H69" s="6"/>
      <c r="I69" s="2"/>
      <c r="J69" s="7">
        <f t="shared" si="53"/>
        <v>0</v>
      </c>
      <c r="K69" s="2"/>
      <c r="L69" s="6">
        <f t="shared" si="54"/>
        <v>101.43</v>
      </c>
      <c r="M69" s="2"/>
      <c r="N69" s="7">
        <f t="shared" si="55"/>
        <v>0</v>
      </c>
      <c r="O69" s="11"/>
      <c r="P69" s="6">
        <v>1096.97</v>
      </c>
      <c r="Q69" s="2"/>
      <c r="R69" s="7">
        <f t="shared" si="56"/>
        <v>4.0844770399011453E-3</v>
      </c>
      <c r="S69" s="2"/>
      <c r="T69" s="6"/>
      <c r="U69" s="2"/>
      <c r="V69" s="7">
        <f t="shared" si="57"/>
        <v>0</v>
      </c>
      <c r="W69" s="2"/>
      <c r="X69" s="6">
        <f t="shared" si="58"/>
        <v>1096.97</v>
      </c>
      <c r="Y69" s="2"/>
      <c r="Z69" s="7">
        <f t="shared" si="59"/>
        <v>0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>
        <v>37.15</v>
      </c>
      <c r="E70" s="2"/>
      <c r="F70" s="7">
        <f t="shared" si="52"/>
        <v>7.5279644120801632E-4</v>
      </c>
      <c r="G70" s="2"/>
      <c r="H70" s="6"/>
      <c r="I70" s="2"/>
      <c r="J70" s="7">
        <f t="shared" si="53"/>
        <v>0</v>
      </c>
      <c r="K70" s="2"/>
      <c r="L70" s="6">
        <f t="shared" si="54"/>
        <v>37.15</v>
      </c>
      <c r="M70" s="2"/>
      <c r="N70" s="7">
        <f t="shared" si="55"/>
        <v>0</v>
      </c>
      <c r="O70" s="11"/>
      <c r="P70" s="6">
        <v>741.91</v>
      </c>
      <c r="Q70" s="2"/>
      <c r="R70" s="7">
        <f t="shared" si="56"/>
        <v>2.7624405049117644E-3</v>
      </c>
      <c r="S70" s="2"/>
      <c r="T70" s="6"/>
      <c r="U70" s="2"/>
      <c r="V70" s="7">
        <f t="shared" si="57"/>
        <v>0</v>
      </c>
      <c r="W70" s="2"/>
      <c r="X70" s="6">
        <f t="shared" si="58"/>
        <v>741.91</v>
      </c>
      <c r="Y70" s="2"/>
      <c r="Z70" s="7">
        <f t="shared" si="59"/>
        <v>0</v>
      </c>
    </row>
    <row r="71" spans="1:26" s="24" customFormat="1" hidden="1" outlineLevel="2" x14ac:dyDescent="0.25">
      <c r="A71" s="25"/>
      <c r="B71" s="11" t="str">
        <f>CONCATENATE("          ", "6247", " - ", "STORE SUPPLIES")</f>
        <v xml:space="preserve">          6247 - STORE SUPPLIES</v>
      </c>
      <c r="C71" s="11"/>
      <c r="D71" s="6">
        <v>2840.16</v>
      </c>
      <c r="E71" s="2"/>
      <c r="F71" s="7">
        <f t="shared" si="52"/>
        <v>5.7552149137587071E-2</v>
      </c>
      <c r="G71" s="2"/>
      <c r="H71" s="6">
        <v>687</v>
      </c>
      <c r="I71" s="2"/>
      <c r="J71" s="7">
        <f t="shared" si="53"/>
        <v>1.5004258850765501E-2</v>
      </c>
      <c r="K71" s="2"/>
      <c r="L71" s="6">
        <f t="shared" si="54"/>
        <v>2153.16</v>
      </c>
      <c r="M71" s="2"/>
      <c r="N71" s="7">
        <f t="shared" si="55"/>
        <v>3.1341484716157204</v>
      </c>
      <c r="O71" s="11"/>
      <c r="P71" s="6">
        <v>8458.64</v>
      </c>
      <c r="Q71" s="2"/>
      <c r="R71" s="7">
        <f t="shared" si="56"/>
        <v>3.1495046235347747E-2</v>
      </c>
      <c r="S71" s="2"/>
      <c r="T71" s="6">
        <v>4152</v>
      </c>
      <c r="U71" s="2"/>
      <c r="V71" s="7">
        <f t="shared" si="57"/>
        <v>1.4998862080550247E-2</v>
      </c>
      <c r="W71" s="2"/>
      <c r="X71" s="6">
        <f t="shared" si="58"/>
        <v>4306.6399999999994</v>
      </c>
      <c r="Y71" s="2"/>
      <c r="Z71" s="7">
        <f t="shared" si="59"/>
        <v>1.0372447013487474</v>
      </c>
    </row>
    <row r="72" spans="1:26" s="27" customFormat="1" outlineLevel="1" collapsed="1" x14ac:dyDescent="0.25">
      <c r="A72" s="26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SUM(OSRRefD22_12x_0)</f>
        <v>91.01</v>
      </c>
      <c r="E72" s="1"/>
      <c r="F72" s="5">
        <f t="shared" ref="F72:F75" si="60">IF(D$12=0,0,D72/D$12)</f>
        <v>1.8441993032124247E-3</v>
      </c>
      <c r="G72" s="1"/>
      <c r="H72" s="1">
        <f>SUM(OSRRefH22_12x_0)</f>
        <v>75</v>
      </c>
      <c r="I72" s="1"/>
      <c r="J72" s="5">
        <f t="shared" ref="J72:J75" si="61">IF(H$12=0,0,H72/H$12)</f>
        <v>1.6380195251927403E-3</v>
      </c>
      <c r="K72" s="1"/>
      <c r="L72" s="1">
        <f t="shared" ref="L72:L75" si="62">+D72-H72</f>
        <v>16.010000000000005</v>
      </c>
      <c r="M72" s="1"/>
      <c r="N72" s="5">
        <f t="shared" ref="N72:N75" si="63">IF(H72=0,0,L72/H72)</f>
        <v>0.21346666666666672</v>
      </c>
      <c r="O72" s="13"/>
      <c r="P72" s="1">
        <f>SUM(OSRRefP22_12x_0)</f>
        <v>728.08</v>
      </c>
      <c r="Q72" s="1"/>
      <c r="R72" s="5">
        <f t="shared" ref="R72:R75" si="64">IF(P$12=0,0,P72/P$12)</f>
        <v>2.710945644102597E-3</v>
      </c>
      <c r="S72" s="1"/>
      <c r="T72" s="1">
        <f>SUM(OSRRefT22_12x_0)</f>
        <v>600</v>
      </c>
      <c r="U72" s="1"/>
      <c r="V72" s="5">
        <f t="shared" ref="V72:V75" si="65">IF(T$12=0,0,T72/T$12)</f>
        <v>2.1674656185766252E-3</v>
      </c>
      <c r="W72" s="1"/>
      <c r="X72" s="1">
        <f t="shared" ref="X72:X75" si="66">+P72-T72</f>
        <v>128.08000000000004</v>
      </c>
      <c r="Y72" s="1"/>
      <c r="Z72" s="5">
        <f t="shared" ref="Z72:Z75" si="67">IF(T72=0,0,X72/T72)</f>
        <v>0.21346666666666672</v>
      </c>
    </row>
    <row r="73" spans="1:26" s="24" customFormat="1" hidden="1" outlineLevel="2" x14ac:dyDescent="0.25">
      <c r="A73" s="25"/>
      <c r="B73" s="11" t="str">
        <f>CONCATENATE("          ", "6309", " - ", "TELEPHONE")</f>
        <v xml:space="preserve">          6309 - TELEPHONE</v>
      </c>
      <c r="C73" s="11"/>
      <c r="D73" s="6">
        <v>91.01</v>
      </c>
      <c r="E73" s="2"/>
      <c r="F73" s="7">
        <f t="shared" si="60"/>
        <v>1.8441993032124247E-3</v>
      </c>
      <c r="G73" s="2"/>
      <c r="H73" s="6">
        <v>75</v>
      </c>
      <c r="I73" s="2"/>
      <c r="J73" s="7">
        <f t="shared" si="61"/>
        <v>1.6380195251927403E-3</v>
      </c>
      <c r="K73" s="2"/>
      <c r="L73" s="6">
        <f t="shared" si="62"/>
        <v>16.010000000000005</v>
      </c>
      <c r="M73" s="2"/>
      <c r="N73" s="7">
        <f t="shared" si="63"/>
        <v>0.21346666666666672</v>
      </c>
      <c r="O73" s="11"/>
      <c r="P73" s="6">
        <v>728.08</v>
      </c>
      <c r="Q73" s="2"/>
      <c r="R73" s="7">
        <f t="shared" si="64"/>
        <v>2.710945644102597E-3</v>
      </c>
      <c r="S73" s="2"/>
      <c r="T73" s="6">
        <v>600</v>
      </c>
      <c r="U73" s="2"/>
      <c r="V73" s="7">
        <f t="shared" si="65"/>
        <v>2.1674656185766252E-3</v>
      </c>
      <c r="W73" s="2"/>
      <c r="X73" s="6">
        <f t="shared" si="66"/>
        <v>128.08000000000004</v>
      </c>
      <c r="Y73" s="2"/>
      <c r="Z73" s="7">
        <f t="shared" si="67"/>
        <v>0.21346666666666672</v>
      </c>
    </row>
    <row r="74" spans="1:26" s="27" customFormat="1" outlineLevel="1" collapsed="1" x14ac:dyDescent="0.25">
      <c r="A74" s="26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SUM(OSRRefD22_13x_0)</f>
        <v>0</v>
      </c>
      <c r="E74" s="1"/>
      <c r="F74" s="5">
        <f t="shared" si="60"/>
        <v>0</v>
      </c>
      <c r="G74" s="1"/>
      <c r="H74" s="1">
        <f>SUM(OSRRefH22_13x_0)</f>
        <v>0</v>
      </c>
      <c r="I74" s="1"/>
      <c r="J74" s="5">
        <f t="shared" si="61"/>
        <v>0</v>
      </c>
      <c r="K74" s="1"/>
      <c r="L74" s="1">
        <f t="shared" si="62"/>
        <v>0</v>
      </c>
      <c r="M74" s="1"/>
      <c r="N74" s="5">
        <f t="shared" si="63"/>
        <v>0</v>
      </c>
      <c r="O74" s="13"/>
      <c r="P74" s="1">
        <f>SUM(OSRRefP22_13x_0)</f>
        <v>0</v>
      </c>
      <c r="Q74" s="1"/>
      <c r="R74" s="5">
        <f t="shared" si="64"/>
        <v>0</v>
      </c>
      <c r="S74" s="1"/>
      <c r="T74" s="1">
        <f>SUM(OSRRefT22_13x_0)</f>
        <v>1000</v>
      </c>
      <c r="U74" s="1"/>
      <c r="V74" s="5">
        <f t="shared" si="65"/>
        <v>3.6124426976277091E-3</v>
      </c>
      <c r="W74" s="1"/>
      <c r="X74" s="1">
        <f t="shared" si="66"/>
        <v>-1000</v>
      </c>
      <c r="Y74" s="1"/>
      <c r="Z74" s="5">
        <f t="shared" si="67"/>
        <v>-1</v>
      </c>
    </row>
    <row r="75" spans="1:26" s="24" customFormat="1" hidden="1" outlineLevel="2" x14ac:dyDescent="0.25">
      <c r="A75" s="25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60"/>
        <v>0</v>
      </c>
      <c r="G75" s="2"/>
      <c r="H75" s="6"/>
      <c r="I75" s="2"/>
      <c r="J75" s="7">
        <f t="shared" si="61"/>
        <v>0</v>
      </c>
      <c r="K75" s="2"/>
      <c r="L75" s="6">
        <f t="shared" si="62"/>
        <v>0</v>
      </c>
      <c r="M75" s="2"/>
      <c r="N75" s="7">
        <f t="shared" si="63"/>
        <v>0</v>
      </c>
      <c r="O75" s="11"/>
      <c r="P75" s="6"/>
      <c r="Q75" s="2"/>
      <c r="R75" s="7">
        <f t="shared" si="64"/>
        <v>0</v>
      </c>
      <c r="S75" s="2"/>
      <c r="T75" s="6">
        <v>1000</v>
      </c>
      <c r="U75" s="2"/>
      <c r="V75" s="7">
        <f t="shared" si="65"/>
        <v>3.6124426976277091E-3</v>
      </c>
      <c r="W75" s="2"/>
      <c r="X75" s="6">
        <f t="shared" si="66"/>
        <v>-1000</v>
      </c>
      <c r="Y75" s="2"/>
      <c r="Z75" s="7">
        <f t="shared" si="67"/>
        <v>-1</v>
      </c>
    </row>
    <row r="76" spans="1:26" s="5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3</v>
      </c>
      <c r="C79" s="28"/>
      <c r="D79" s="21">
        <f>+D22-D24+D77</f>
        <v>9955.9900000000034</v>
      </c>
      <c r="E79" s="14"/>
      <c r="F79" s="22">
        <f>IF(D$12=0,0,D79/D$12)</f>
        <v>0.20174519086682641</v>
      </c>
      <c r="G79" s="14"/>
      <c r="H79" s="21">
        <f>+H22-H24+H77</f>
        <v>6866.4705419353813</v>
      </c>
      <c r="I79" s="14"/>
      <c r="J79" s="22">
        <f>IF(H$12=0,0,H79/H$12)</f>
        <v>0.14996550422467908</v>
      </c>
      <c r="K79" s="15"/>
      <c r="L79" s="21">
        <f>+D79-H79</f>
        <v>3089.5194580646221</v>
      </c>
      <c r="M79" s="15"/>
      <c r="N79" s="22">
        <f>IF(H79=0,0,L79/H79)</f>
        <v>0.4499428693673258</v>
      </c>
      <c r="O79" s="29"/>
      <c r="P79" s="21">
        <f>+P22-P24+P77</f>
        <v>26822.169999999969</v>
      </c>
      <c r="Q79" s="14"/>
      <c r="R79" s="22">
        <f>IF(P$12=0,0,P79/P$12)</f>
        <v>9.9870130929127651E-2</v>
      </c>
      <c r="S79" s="14"/>
      <c r="T79" s="21">
        <f>+T22-T24+T77</f>
        <v>36636.484672354592</v>
      </c>
      <c r="U79" s="14"/>
      <c r="V79" s="22">
        <f>IF(T$12=0,0,T79/T$12)</f>
        <v>0.13234720152139684</v>
      </c>
      <c r="W79" s="15"/>
      <c r="X79" s="21">
        <f>+P79-T79</f>
        <v>-9814.3146723546233</v>
      </c>
      <c r="Y79" s="15"/>
      <c r="Z79" s="22">
        <f>IF(T79=0,0,X79/T79)</f>
        <v>-0.26788363458245151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4510.9799999999996</v>
      </c>
      <c r="E81" s="4"/>
      <c r="F81" s="12">
        <f>IF(D$12=0,0,D81/D$12)</f>
        <v>9.1409143751293068E-2</v>
      </c>
      <c r="G81" s="4"/>
      <c r="H81" s="4">
        <v>4842</v>
      </c>
      <c r="I81" s="4"/>
      <c r="J81" s="12">
        <f>IF(H$12=0,0,H81/H$12)</f>
        <v>0.10575054054644331</v>
      </c>
      <c r="K81" s="4"/>
      <c r="L81" s="4">
        <f>+D81-H81</f>
        <v>-331.02000000000044</v>
      </c>
      <c r="M81" s="4"/>
      <c r="N81" s="12">
        <f>IF(H81=0,0,L81/H81)</f>
        <v>-6.8364312267658087E-2</v>
      </c>
      <c r="O81" s="10"/>
      <c r="P81" s="4">
        <v>27372.639999999999</v>
      </c>
      <c r="Q81" s="4"/>
      <c r="R81" s="12">
        <f>IF(P$12=0,0,P81/P$12)</f>
        <v>0.10191976043235428</v>
      </c>
      <c r="S81" s="4"/>
      <c r="T81" s="4">
        <v>33287</v>
      </c>
      <c r="U81" s="4"/>
      <c r="V81" s="12">
        <f>IF(T$12=0,0,T81/T$12)</f>
        <v>0.12024738007593355</v>
      </c>
      <c r="W81" s="4"/>
      <c r="X81" s="4">
        <f>+P81-T81</f>
        <v>-5914.3600000000006</v>
      </c>
      <c r="Y81" s="4"/>
      <c r="Z81" s="12">
        <f>IF(T81=0,0,X81/T81)</f>
        <v>-0.1776777721032235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4</v>
      </c>
      <c r="C83" s="28"/>
      <c r="D83" s="31">
        <f>+D79-D81</f>
        <v>5445.0100000000039</v>
      </c>
      <c r="E83" s="14"/>
      <c r="F83" s="32">
        <f>IF(D$12=0,0,D83/D$12)</f>
        <v>0.11033604711553335</v>
      </c>
      <c r="G83" s="14"/>
      <c r="H83" s="31">
        <f>+H79-H81</f>
        <v>2024.4705419353813</v>
      </c>
      <c r="I83" s="14"/>
      <c r="J83" s="32">
        <f>IF(H$12=0,0,H83/H$12)</f>
        <v>4.4214963678235776E-2</v>
      </c>
      <c r="K83" s="15"/>
      <c r="L83" s="31">
        <f>D83-H83</f>
        <v>3420.5394580646225</v>
      </c>
      <c r="M83" s="15"/>
      <c r="N83" s="32">
        <f>IF(H83=0,0,L83/H83)</f>
        <v>1.6895970512836447</v>
      </c>
      <c r="O83" s="29"/>
      <c r="P83" s="31">
        <f>+P79-P81</f>
        <v>-550.47000000003027</v>
      </c>
      <c r="Q83" s="14"/>
      <c r="R83" s="32">
        <f>IF(P$12=0,0,P83/P$12)</f>
        <v>-2.0496295032266213E-3</v>
      </c>
      <c r="S83" s="14"/>
      <c r="T83" s="31">
        <f>+T79-T81</f>
        <v>3349.4846723545925</v>
      </c>
      <c r="U83" s="14"/>
      <c r="V83" s="32">
        <f>IF(T$12=0,0,T83/T$12)</f>
        <v>1.2099821445463286E-2</v>
      </c>
      <c r="W83" s="15"/>
      <c r="X83" s="31">
        <f>P83-T83</f>
        <v>-3899.9546723546227</v>
      </c>
      <c r="Y83" s="15"/>
      <c r="Z83" s="32">
        <f>IF(T83=0,0,X83/T83)</f>
        <v>-1.1643446839877807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5</v>
      </c>
      <c r="C86" s="28"/>
      <c r="D86" s="33">
        <f>SUM(D83:D85)</f>
        <v>5445.0100000000039</v>
      </c>
      <c r="E86" s="14"/>
      <c r="F86" s="30">
        <f>IF(D$12=0,0,D86/D$12)</f>
        <v>0.11033604711553335</v>
      </c>
      <c r="G86" s="14"/>
      <c r="H86" s="33">
        <f>SUM(H83:H85)</f>
        <v>2024.4705419353813</v>
      </c>
      <c r="I86" s="14"/>
      <c r="J86" s="30">
        <f>IF(H$12=0,0,H86/H$12)</f>
        <v>4.4214963678235776E-2</v>
      </c>
      <c r="K86" s="15"/>
      <c r="L86" s="33">
        <f>+D86-H86</f>
        <v>3420.5394580646225</v>
      </c>
      <c r="M86" s="15"/>
      <c r="N86" s="30">
        <f>IF(H86=0,0,L86/H86)</f>
        <v>1.6895970512836447</v>
      </c>
      <c r="O86" s="29"/>
      <c r="P86" s="33">
        <f>SUM(P83:P85)</f>
        <v>-550.47000000003027</v>
      </c>
      <c r="Q86" s="14"/>
      <c r="R86" s="30">
        <f>IF(P$12=0,0,P86/P$12)</f>
        <v>-2.0496295032266213E-3</v>
      </c>
      <c r="S86" s="14"/>
      <c r="T86" s="33">
        <f>SUM(T83:T85)</f>
        <v>3349.4846723545925</v>
      </c>
      <c r="U86" s="14"/>
      <c r="V86" s="30">
        <f>IF(T$12=0,0,T86/T$12)</f>
        <v>1.2099821445463286E-2</v>
      </c>
      <c r="W86" s="15"/>
      <c r="X86" s="33">
        <f>+P86-T86</f>
        <v>-3899.9546723546227</v>
      </c>
      <c r="Y86" s="15"/>
      <c r="Z86" s="30">
        <f>IF(T86=0,0,X86/T86)</f>
        <v>-1.1643446839877807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9">
        <v>43908.49464016204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3" t="s">
        <v>314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7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82283.05</v>
      </c>
      <c r="E12" s="4"/>
      <c r="F12" s="12"/>
      <c r="G12" s="4"/>
      <c r="H12" s="4">
        <f>SUM(OSRRefH13x_0)</f>
        <v>74650</v>
      </c>
      <c r="I12" s="4"/>
      <c r="J12" s="12"/>
      <c r="K12" s="4"/>
      <c r="L12" s="4">
        <f t="shared" ref="L12:L19" si="0">+D12-H12</f>
        <v>7633.0500000000029</v>
      </c>
      <c r="M12" s="4"/>
      <c r="N12" s="12">
        <f t="shared" ref="N12:N19" si="1">IF(H12=0,0,L12/H12)</f>
        <v>0.10225117213663767</v>
      </c>
      <c r="O12" s="10"/>
      <c r="P12" s="4">
        <f>SUM(OSRRefP13x_0)</f>
        <v>462203.43000000005</v>
      </c>
      <c r="Q12" s="4"/>
      <c r="R12" s="12"/>
      <c r="S12" s="4"/>
      <c r="T12" s="4">
        <f>SUM(OSRRefT13x_0)</f>
        <v>451110</v>
      </c>
      <c r="U12" s="4"/>
      <c r="V12" s="12"/>
      <c r="W12" s="4"/>
      <c r="X12" s="4">
        <f t="shared" ref="X12:X19" si="2">+P12-T12</f>
        <v>11093.430000000051</v>
      </c>
      <c r="Y12" s="4"/>
      <c r="Z12" s="12">
        <f t="shared" ref="Z12:Z19" si="3">IF(T12=0,0,X12/T12)</f>
        <v>2.4591407860610606E-2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--17552.78</f>
        <v>17552.78</v>
      </c>
      <c r="E13" s="2"/>
      <c r="F13" s="19"/>
      <c r="G13" s="2"/>
      <c r="H13" s="2"/>
      <c r="I13" s="2"/>
      <c r="J13" s="19"/>
      <c r="K13" s="2"/>
      <c r="L13" s="2">
        <f t="shared" si="0"/>
        <v>17552.78</v>
      </c>
      <c r="M13" s="2"/>
      <c r="N13" s="19">
        <f t="shared" si="1"/>
        <v>0</v>
      </c>
      <c r="O13" s="11"/>
      <c r="P13" s="2">
        <f>--98053.87</f>
        <v>98053.87</v>
      </c>
      <c r="Q13" s="2"/>
      <c r="R13" s="19"/>
      <c r="S13" s="2"/>
      <c r="T13" s="2"/>
      <c r="U13" s="2"/>
      <c r="V13" s="19"/>
      <c r="W13" s="2"/>
      <c r="X13" s="2">
        <f t="shared" si="2"/>
        <v>98053.87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--456.01</f>
        <v>456.01</v>
      </c>
      <c r="E14" s="2"/>
      <c r="F14" s="19"/>
      <c r="G14" s="2"/>
      <c r="H14" s="2"/>
      <c r="I14" s="2"/>
      <c r="J14" s="19"/>
      <c r="K14" s="2"/>
      <c r="L14" s="2">
        <f t="shared" si="0"/>
        <v>456.01</v>
      </c>
      <c r="M14" s="2"/>
      <c r="N14" s="19">
        <f t="shared" si="1"/>
        <v>0</v>
      </c>
      <c r="O14" s="11"/>
      <c r="P14" s="2">
        <f>--2960.02</f>
        <v>2960.02</v>
      </c>
      <c r="Q14" s="2"/>
      <c r="R14" s="19"/>
      <c r="S14" s="2"/>
      <c r="T14" s="2"/>
      <c r="U14" s="2"/>
      <c r="V14" s="19"/>
      <c r="W14" s="2"/>
      <c r="X14" s="2">
        <f t="shared" si="2"/>
        <v>2960.02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74650</v>
      </c>
      <c r="I15" s="2"/>
      <c r="J15" s="19"/>
      <c r="K15" s="2"/>
      <c r="L15" s="2">
        <f t="shared" si="0"/>
        <v>-74650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451110</v>
      </c>
      <c r="U15" s="2"/>
      <c r="V15" s="19"/>
      <c r="W15" s="2"/>
      <c r="X15" s="2">
        <f t="shared" si="2"/>
        <v>-451110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--64085.15</f>
        <v>64085.15</v>
      </c>
      <c r="E16" s="2"/>
      <c r="F16" s="19"/>
      <c r="G16" s="2"/>
      <c r="H16" s="2"/>
      <c r="I16" s="2"/>
      <c r="J16" s="19"/>
      <c r="K16" s="2"/>
      <c r="L16" s="2">
        <f t="shared" si="0"/>
        <v>64085.15</v>
      </c>
      <c r="M16" s="2"/>
      <c r="N16" s="19">
        <f t="shared" si="1"/>
        <v>0</v>
      </c>
      <c r="O16" s="11"/>
      <c r="P16" s="2">
        <f>--359707.65</f>
        <v>359707.65</v>
      </c>
      <c r="Q16" s="2"/>
      <c r="R16" s="19"/>
      <c r="S16" s="2"/>
      <c r="T16" s="2"/>
      <c r="U16" s="2"/>
      <c r="V16" s="19"/>
      <c r="W16" s="2"/>
      <c r="X16" s="2">
        <f t="shared" si="2"/>
        <v>359707.65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/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--8.41</f>
        <v>8.41</v>
      </c>
      <c r="Q18" s="2"/>
      <c r="R18" s="19"/>
      <c r="S18" s="2"/>
      <c r="T18" s="2"/>
      <c r="U18" s="2"/>
      <c r="V18" s="19"/>
      <c r="W18" s="2"/>
      <c r="X18" s="2">
        <f t="shared" si="2"/>
        <v>8.41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--189.11</f>
        <v>189.11</v>
      </c>
      <c r="E19" s="2"/>
      <c r="F19" s="19"/>
      <c r="G19" s="2"/>
      <c r="H19" s="2"/>
      <c r="I19" s="2"/>
      <c r="J19" s="19"/>
      <c r="K19" s="2"/>
      <c r="L19" s="2">
        <f t="shared" si="0"/>
        <v>189.11</v>
      </c>
      <c r="M19" s="2"/>
      <c r="N19" s="19">
        <f t="shared" si="1"/>
        <v>0</v>
      </c>
      <c r="O19" s="11"/>
      <c r="P19" s="2">
        <f>--1471.89</f>
        <v>1471.89</v>
      </c>
      <c r="Q19" s="2"/>
      <c r="R19" s="19"/>
      <c r="S19" s="2"/>
      <c r="T19" s="2"/>
      <c r="U19" s="2"/>
      <c r="V19" s="19"/>
      <c r="W19" s="2"/>
      <c r="X19" s="2">
        <f t="shared" si="2"/>
        <v>1471.89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9" t="s">
        <v>8</v>
      </c>
      <c r="C21" s="10"/>
      <c r="D21" s="4">
        <f>SUM(OSRRefD16x_0)</f>
        <v>39496.179999999993</v>
      </c>
      <c r="E21" s="4"/>
      <c r="F21" s="12">
        <f t="shared" ref="F21:F24" si="5">IF(D$12=0,0,D21/D$12)</f>
        <v>0.48000384040212402</v>
      </c>
      <c r="G21" s="4"/>
      <c r="H21" s="4">
        <f>SUM(OSRRefH16x_0)</f>
        <v>35832</v>
      </c>
      <c r="I21" s="4"/>
      <c r="J21" s="12">
        <f t="shared" ref="J21:J24" si="6">IF(H$12=0,0,H21/H$12)</f>
        <v>0.48</v>
      </c>
      <c r="K21" s="4"/>
      <c r="L21" s="4">
        <f t="shared" ref="L21:L24" si="7">+D21-H21</f>
        <v>3664.179999999993</v>
      </c>
      <c r="M21" s="4"/>
      <c r="N21" s="12">
        <f t="shared" ref="N21:N24" si="8">IF(H21=0,0,L21/H21)</f>
        <v>0.10225999106943495</v>
      </c>
      <c r="O21" s="10"/>
      <c r="P21" s="4">
        <f>SUM(OSRRefP16x_0)</f>
        <v>218908.79999999999</v>
      </c>
      <c r="Q21" s="4"/>
      <c r="R21" s="12">
        <f t="shared" ref="R21:R24" si="9">IF(P$12=0,0,P21/P$12)</f>
        <v>0.47362002484490423</v>
      </c>
      <c r="S21" s="4"/>
      <c r="T21" s="4">
        <f>SUM(OSRRefT16x_0)</f>
        <v>216534</v>
      </c>
      <c r="U21" s="4"/>
      <c r="V21" s="12">
        <f t="shared" ref="V21:V24" si="10">IF(T$12=0,0,T21/T$12)</f>
        <v>0.48000266010507414</v>
      </c>
      <c r="W21" s="4"/>
      <c r="X21" s="4">
        <f t="shared" ref="X21:X24" si="11">+P21-T21</f>
        <v>2374.7999999999884</v>
      </c>
      <c r="Y21" s="4"/>
      <c r="Z21" s="12">
        <f t="shared" ref="Z21:Z24" si="12">IF(T21=0,0,X21/T21)</f>
        <v>1.0967330765607195E-2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5"/>
        <v>0</v>
      </c>
      <c r="G22" s="2"/>
      <c r="H22" s="2">
        <v>35832</v>
      </c>
      <c r="I22" s="2"/>
      <c r="J22" s="19">
        <f t="shared" si="6"/>
        <v>0.48</v>
      </c>
      <c r="K22" s="2"/>
      <c r="L22" s="2">
        <f t="shared" si="7"/>
        <v>-35832</v>
      </c>
      <c r="M22" s="2"/>
      <c r="N22" s="19">
        <f t="shared" si="8"/>
        <v>-1</v>
      </c>
      <c r="O22" s="11"/>
      <c r="P22" s="2"/>
      <c r="Q22" s="2"/>
      <c r="R22" s="19">
        <f t="shared" si="9"/>
        <v>0</v>
      </c>
      <c r="S22" s="2"/>
      <c r="T22" s="2">
        <v>216534</v>
      </c>
      <c r="U22" s="2"/>
      <c r="V22" s="19">
        <f t="shared" si="10"/>
        <v>0.48000266010507414</v>
      </c>
      <c r="W22" s="2"/>
      <c r="X22" s="2">
        <f t="shared" si="11"/>
        <v>-216534</v>
      </c>
      <c r="Y22" s="2"/>
      <c r="Z22" s="19">
        <f t="shared" si="12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37956.979999999996</v>
      </c>
      <c r="E23" s="2"/>
      <c r="F23" s="19">
        <f t="shared" si="5"/>
        <v>0.46129767916964665</v>
      </c>
      <c r="G23" s="2"/>
      <c r="H23" s="2"/>
      <c r="I23" s="2"/>
      <c r="J23" s="19">
        <f t="shared" si="6"/>
        <v>0</v>
      </c>
      <c r="K23" s="2"/>
      <c r="L23" s="2">
        <f t="shared" si="7"/>
        <v>37956.979999999996</v>
      </c>
      <c r="M23" s="2"/>
      <c r="N23" s="19">
        <f t="shared" si="8"/>
        <v>0</v>
      </c>
      <c r="O23" s="11"/>
      <c r="P23" s="2">
        <v>222357.81999999998</v>
      </c>
      <c r="Q23" s="2"/>
      <c r="R23" s="19">
        <f t="shared" si="9"/>
        <v>0.4810821503423286</v>
      </c>
      <c r="S23" s="2"/>
      <c r="T23" s="2"/>
      <c r="U23" s="2"/>
      <c r="V23" s="19">
        <f t="shared" si="10"/>
        <v>0</v>
      </c>
      <c r="W23" s="2"/>
      <c r="X23" s="2">
        <f t="shared" si="11"/>
        <v>222357.81999999998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1539.2</v>
      </c>
      <c r="E24" s="2"/>
      <c r="F24" s="19">
        <f t="shared" si="5"/>
        <v>1.8706161232477404E-2</v>
      </c>
      <c r="G24" s="2"/>
      <c r="H24" s="2"/>
      <c r="I24" s="2"/>
      <c r="J24" s="19">
        <f t="shared" si="6"/>
        <v>0</v>
      </c>
      <c r="K24" s="2"/>
      <c r="L24" s="2">
        <f t="shared" si="7"/>
        <v>1539.2</v>
      </c>
      <c r="M24" s="2"/>
      <c r="N24" s="19">
        <f t="shared" si="8"/>
        <v>0</v>
      </c>
      <c r="O24" s="11"/>
      <c r="P24" s="2">
        <v>-3449.02</v>
      </c>
      <c r="Q24" s="2"/>
      <c r="R24" s="19">
        <f t="shared" si="9"/>
        <v>-7.4621254974243691E-3</v>
      </c>
      <c r="S24" s="2"/>
      <c r="T24" s="2"/>
      <c r="U24" s="2"/>
      <c r="V24" s="19">
        <f t="shared" si="10"/>
        <v>0</v>
      </c>
      <c r="W24" s="2"/>
      <c r="X24" s="2">
        <f t="shared" si="11"/>
        <v>-3449.02</v>
      </c>
      <c r="Y24" s="2"/>
      <c r="Z24" s="19">
        <f t="shared" si="12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6</v>
      </c>
      <c r="C26" s="28"/>
      <c r="D26" s="21">
        <f>D12-D21</f>
        <v>42786.87000000001</v>
      </c>
      <c r="E26" s="14"/>
      <c r="F26" s="22">
        <f>IF(D$12=0,0,D26/D$12)</f>
        <v>0.51999615959787593</v>
      </c>
      <c r="G26" s="14"/>
      <c r="H26" s="21">
        <f>H12-H21</f>
        <v>38818</v>
      </c>
      <c r="I26" s="14"/>
      <c r="J26" s="22">
        <f>IF(H$12=0,0,H26/H$12)</f>
        <v>0.52</v>
      </c>
      <c r="K26" s="15"/>
      <c r="L26" s="21">
        <f>+D26-H26</f>
        <v>3968.8700000000099</v>
      </c>
      <c r="M26" s="15"/>
      <c r="N26" s="22">
        <f>IF(H26=0,0,L26/H26)</f>
        <v>0.10224303158328636</v>
      </c>
      <c r="O26" s="29"/>
      <c r="P26" s="21">
        <f>P12-P21</f>
        <v>243294.63000000006</v>
      </c>
      <c r="Q26" s="14"/>
      <c r="R26" s="22">
        <f>IF(P$12=0,0,P26/P$12)</f>
        <v>0.52637997515509571</v>
      </c>
      <c r="S26" s="14"/>
      <c r="T26" s="21">
        <f>T12-T21</f>
        <v>234576</v>
      </c>
      <c r="U26" s="14"/>
      <c r="V26" s="22">
        <f>IF(T$12=0,0,T26/T$12)</f>
        <v>0.5199973398949258</v>
      </c>
      <c r="W26" s="15"/>
      <c r="X26" s="21">
        <f>+P26-T26</f>
        <v>8718.6300000000629</v>
      </c>
      <c r="Y26" s="15"/>
      <c r="Z26" s="22">
        <f>IF(T26=0,0,X26/T26)</f>
        <v>3.7167613055044263E-2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9</v>
      </c>
      <c r="C28" s="10"/>
      <c r="D28" s="20">
        <f>SUM(OSRRefD22x_0)</f>
        <v>22282.99</v>
      </c>
      <c r="E28" s="20"/>
      <c r="F28" s="34">
        <f t="shared" ref="F28:F38" si="13">IF(D$12=0,0,D28/D$12)</f>
        <v>0.27080899407593667</v>
      </c>
      <c r="G28" s="20"/>
      <c r="H28" s="20">
        <f>SUM(OSRRefH22x_0)</f>
        <v>21400.4668576</v>
      </c>
      <c r="I28" s="20"/>
      <c r="J28" s="34">
        <f t="shared" ref="J28:J38" si="14">IF(H$12=0,0,H28/H$12)</f>
        <v>0.28667738590221031</v>
      </c>
      <c r="K28" s="4"/>
      <c r="L28" s="20">
        <f t="shared" ref="L28:L38" si="15">+D28-H28</f>
        <v>882.52314240000123</v>
      </c>
      <c r="M28" s="4"/>
      <c r="N28" s="34">
        <f t="shared" ref="N28:N38" si="16">IF(H28=0,0,L28/H28)</f>
        <v>4.1238499527714211E-2</v>
      </c>
      <c r="O28" s="10"/>
      <c r="P28" s="20">
        <f>SUM(OSRRefP22x_0)</f>
        <v>154967.76999999993</v>
      </c>
      <c r="Q28" s="20"/>
      <c r="R28" s="34">
        <f t="shared" ref="R28:R38" si="17">IF(P$12=0,0,P28/P$12)</f>
        <v>0.33528044134159696</v>
      </c>
      <c r="S28" s="20"/>
      <c r="T28" s="20">
        <f>SUM(OSRRefT22x_0)</f>
        <v>157671.10259800003</v>
      </c>
      <c r="U28" s="20"/>
      <c r="V28" s="34">
        <f t="shared" ref="V28:V38" si="18">IF(T$12=0,0,T28/T$12)</f>
        <v>0.34951808338986062</v>
      </c>
      <c r="W28" s="4"/>
      <c r="X28" s="20">
        <f t="shared" ref="X28:X38" si="19">+P28-T28</f>
        <v>-2703.3325980000955</v>
      </c>
      <c r="Y28" s="4"/>
      <c r="Z28" s="34">
        <f t="shared" ref="Z28:Z38" si="20">IF(T28=0,0,X28/T28)</f>
        <v>-1.7145390331242509E-2</v>
      </c>
    </row>
    <row r="29" spans="1:26" s="27" customFormat="1" outlineLevel="1" collapsed="1" x14ac:dyDescent="0.25">
      <c r="A29" s="26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4104.32</v>
      </c>
      <c r="E29" s="1"/>
      <c r="F29" s="5">
        <f t="shared" si="13"/>
        <v>4.9880503943400246E-2</v>
      </c>
      <c r="G29" s="1"/>
      <c r="H29" s="1">
        <f>SUM(OSRRefH22_0x_0)</f>
        <v>3884.6428576000003</v>
      </c>
      <c r="I29" s="1"/>
      <c r="J29" s="5">
        <f t="shared" si="14"/>
        <v>5.203808248626926E-2</v>
      </c>
      <c r="K29" s="1"/>
      <c r="L29" s="1">
        <f t="shared" si="15"/>
        <v>219.67714239999941</v>
      </c>
      <c r="M29" s="1"/>
      <c r="N29" s="5">
        <f t="shared" si="16"/>
        <v>5.6550151571905315E-2</v>
      </c>
      <c r="O29" s="13"/>
      <c r="P29" s="1">
        <f>SUM(OSRRefP22_0x_0)</f>
        <v>34920.89</v>
      </c>
      <c r="Q29" s="1"/>
      <c r="R29" s="5">
        <f t="shared" si="17"/>
        <v>7.5553074108515375E-2</v>
      </c>
      <c r="S29" s="1"/>
      <c r="T29" s="1">
        <f>SUM(OSRRefT22_0x_0)</f>
        <v>31619.895098000001</v>
      </c>
      <c r="U29" s="1"/>
      <c r="V29" s="5">
        <f t="shared" si="18"/>
        <v>7.0093536161911732E-2</v>
      </c>
      <c r="W29" s="1"/>
      <c r="X29" s="1">
        <f t="shared" si="19"/>
        <v>3300.9949019999985</v>
      </c>
      <c r="Y29" s="1"/>
      <c r="Z29" s="5">
        <f t="shared" si="20"/>
        <v>0.10439613704502108</v>
      </c>
    </row>
    <row r="30" spans="1:26" s="24" customFormat="1" hidden="1" outlineLevel="2" x14ac:dyDescent="0.25">
      <c r="A30" s="25"/>
      <c r="B30" s="11" t="str">
        <f>CONCATENATE("          ", "6111", " - ", "F.I.C.A.")</f>
        <v xml:space="preserve">          6111 - F.I.C.A.</v>
      </c>
      <c r="C30" s="11"/>
      <c r="D30" s="6">
        <v>407.09</v>
      </c>
      <c r="E30" s="2"/>
      <c r="F30" s="7">
        <f t="shared" si="13"/>
        <v>4.9474344959259528E-3</v>
      </c>
      <c r="G30" s="2"/>
      <c r="H30" s="6">
        <v>563.13222959999996</v>
      </c>
      <c r="I30" s="2"/>
      <c r="J30" s="7">
        <f t="shared" si="14"/>
        <v>7.543633350301406E-3</v>
      </c>
      <c r="K30" s="2"/>
      <c r="L30" s="6">
        <f t="shared" si="15"/>
        <v>-156.04222959999998</v>
      </c>
      <c r="M30" s="2"/>
      <c r="N30" s="7">
        <f t="shared" si="16"/>
        <v>-0.27709696124272409</v>
      </c>
      <c r="O30" s="11"/>
      <c r="P30" s="6">
        <v>4032.41</v>
      </c>
      <c r="Q30" s="2"/>
      <c r="R30" s="7">
        <f t="shared" si="17"/>
        <v>8.724318640387415E-3</v>
      </c>
      <c r="S30" s="2"/>
      <c r="T30" s="6">
        <v>5055.9085319999995</v>
      </c>
      <c r="U30" s="2"/>
      <c r="V30" s="7">
        <f t="shared" si="18"/>
        <v>1.120770661701137E-2</v>
      </c>
      <c r="W30" s="2"/>
      <c r="X30" s="6">
        <f t="shared" si="19"/>
        <v>-1023.4985319999996</v>
      </c>
      <c r="Y30" s="2"/>
      <c r="Z30" s="7">
        <f t="shared" si="20"/>
        <v>-0.20243612508455083</v>
      </c>
    </row>
    <row r="31" spans="1:26" s="24" customFormat="1" hidden="1" outlineLevel="2" x14ac:dyDescent="0.25">
      <c r="A31" s="25"/>
      <c r="B31" s="11" t="str">
        <f>CONCATENATE("          ", "6112", " - ", "COMPENSATION INSURANCE")</f>
        <v xml:space="preserve">          6112 - COMPENSATION INSURANCE</v>
      </c>
      <c r="C31" s="11"/>
      <c r="D31" s="6">
        <v>237.13</v>
      </c>
      <c r="E31" s="2"/>
      <c r="F31" s="7">
        <f t="shared" si="13"/>
        <v>2.8818815053647134E-3</v>
      </c>
      <c r="G31" s="2"/>
      <c r="H31" s="6">
        <v>277.82047</v>
      </c>
      <c r="I31" s="2"/>
      <c r="J31" s="7">
        <f t="shared" si="14"/>
        <v>3.7216405894172806E-3</v>
      </c>
      <c r="K31" s="2"/>
      <c r="L31" s="6">
        <f t="shared" si="15"/>
        <v>-40.690470000000005</v>
      </c>
      <c r="M31" s="2"/>
      <c r="N31" s="7">
        <f t="shared" si="16"/>
        <v>-0.14646318178066578</v>
      </c>
      <c r="O31" s="11"/>
      <c r="P31" s="6">
        <v>1449.95</v>
      </c>
      <c r="Q31" s="2"/>
      <c r="R31" s="7">
        <f t="shared" si="17"/>
        <v>3.1370385979178042E-3</v>
      </c>
      <c r="S31" s="2"/>
      <c r="T31" s="6">
        <v>2056.6433150000003</v>
      </c>
      <c r="U31" s="2"/>
      <c r="V31" s="7">
        <f t="shared" si="18"/>
        <v>4.5590727649575495E-3</v>
      </c>
      <c r="W31" s="2"/>
      <c r="X31" s="6">
        <f t="shared" si="19"/>
        <v>-606.69331500000021</v>
      </c>
      <c r="Y31" s="2"/>
      <c r="Z31" s="7">
        <f t="shared" si="20"/>
        <v>-0.29499199524541769</v>
      </c>
    </row>
    <row r="32" spans="1:26" s="24" customFormat="1" hidden="1" outlineLevel="2" x14ac:dyDescent="0.25">
      <c r="A32" s="25"/>
      <c r="B32" s="11" t="str">
        <f>CONCATENATE("          ", "6113", " - ", "GROUP INSURANCE")</f>
        <v xml:space="preserve">          6113 - GROUP INSURANCE</v>
      </c>
      <c r="C32" s="11"/>
      <c r="D32" s="6">
        <v>2021.26</v>
      </c>
      <c r="E32" s="2"/>
      <c r="F32" s="7">
        <f t="shared" si="13"/>
        <v>2.4564718979182224E-2</v>
      </c>
      <c r="G32" s="2"/>
      <c r="H32" s="6">
        <v>1977</v>
      </c>
      <c r="I32" s="2"/>
      <c r="J32" s="7">
        <f t="shared" si="14"/>
        <v>2.6483590087073006E-2</v>
      </c>
      <c r="K32" s="2"/>
      <c r="L32" s="6">
        <f t="shared" si="15"/>
        <v>44.259999999999991</v>
      </c>
      <c r="M32" s="2"/>
      <c r="N32" s="7">
        <f t="shared" si="16"/>
        <v>2.2387455741021745E-2</v>
      </c>
      <c r="O32" s="11"/>
      <c r="P32" s="6">
        <v>16162.34</v>
      </c>
      <c r="Q32" s="2"/>
      <c r="R32" s="7">
        <f t="shared" si="17"/>
        <v>3.4968022630208519E-2</v>
      </c>
      <c r="S32" s="2"/>
      <c r="T32" s="6">
        <v>15816</v>
      </c>
      <c r="U32" s="2"/>
      <c r="V32" s="7">
        <f t="shared" si="18"/>
        <v>3.5060184877302655E-2</v>
      </c>
      <c r="W32" s="2"/>
      <c r="X32" s="6">
        <f t="shared" si="19"/>
        <v>346.34000000000015</v>
      </c>
      <c r="Y32" s="2"/>
      <c r="Z32" s="7">
        <f t="shared" si="20"/>
        <v>2.189807789580173E-2</v>
      </c>
    </row>
    <row r="33" spans="1:26" s="24" customFormat="1" hidden="1" outlineLevel="2" x14ac:dyDescent="0.25">
      <c r="A33" s="25"/>
      <c r="B33" s="11" t="str">
        <f>CONCATENATE("          ", "6114", " - ", "STATE UNEMPLOYMENT INSURANCE")</f>
        <v xml:space="preserve">          6114 - STATE UNEMPLOYMENT INSURANCE</v>
      </c>
      <c r="C33" s="11"/>
      <c r="D33" s="6">
        <v>32.450000000000003</v>
      </c>
      <c r="E33" s="2"/>
      <c r="F33" s="7">
        <f t="shared" si="13"/>
        <v>3.9437040800018963E-4</v>
      </c>
      <c r="G33" s="2"/>
      <c r="H33" s="6">
        <v>38.017538000000002</v>
      </c>
      <c r="I33" s="2"/>
      <c r="J33" s="7">
        <f t="shared" si="14"/>
        <v>5.0927713328868059E-4</v>
      </c>
      <c r="K33" s="2"/>
      <c r="L33" s="6">
        <f t="shared" si="15"/>
        <v>-5.567537999999999</v>
      </c>
      <c r="M33" s="2"/>
      <c r="N33" s="7">
        <f t="shared" si="16"/>
        <v>-0.14644656894930963</v>
      </c>
      <c r="O33" s="11"/>
      <c r="P33" s="6">
        <v>231.3</v>
      </c>
      <c r="Q33" s="2"/>
      <c r="R33" s="7">
        <f t="shared" si="17"/>
        <v>5.0042899941266116E-4</v>
      </c>
      <c r="S33" s="2"/>
      <c r="T33" s="6">
        <v>281.43540100000001</v>
      </c>
      <c r="U33" s="2"/>
      <c r="V33" s="7">
        <f t="shared" si="18"/>
        <v>6.2387311520471723E-4</v>
      </c>
      <c r="W33" s="2"/>
      <c r="X33" s="6">
        <f t="shared" si="19"/>
        <v>-50.135401000000002</v>
      </c>
      <c r="Y33" s="2"/>
      <c r="Z33" s="7">
        <f t="shared" si="20"/>
        <v>-0.17814177186614844</v>
      </c>
    </row>
    <row r="34" spans="1:26" s="24" customFormat="1" hidden="1" outlineLevel="2" x14ac:dyDescent="0.25">
      <c r="A34" s="25"/>
      <c r="B34" s="11" t="str">
        <f>CONCATENATE("          ", "6115", " - ", "P.E.R.S.")</f>
        <v xml:space="preserve">          6115 - P.E.R.S.</v>
      </c>
      <c r="C34" s="11"/>
      <c r="D34" s="6">
        <v>568.97</v>
      </c>
      <c r="E34" s="2"/>
      <c r="F34" s="7">
        <f t="shared" si="13"/>
        <v>6.9147898625537092E-3</v>
      </c>
      <c r="G34" s="2"/>
      <c r="H34" s="6">
        <v>478.68632000000002</v>
      </c>
      <c r="I34" s="2"/>
      <c r="J34" s="7">
        <f t="shared" si="14"/>
        <v>6.4124088412592104E-3</v>
      </c>
      <c r="K34" s="2"/>
      <c r="L34" s="6">
        <f t="shared" si="15"/>
        <v>90.283680000000004</v>
      </c>
      <c r="M34" s="2"/>
      <c r="N34" s="7">
        <f t="shared" si="16"/>
        <v>0.18860718643474081</v>
      </c>
      <c r="O34" s="11"/>
      <c r="P34" s="6">
        <v>5354</v>
      </c>
      <c r="Q34" s="2"/>
      <c r="R34" s="7">
        <f t="shared" si="17"/>
        <v>1.1583644024450444E-2</v>
      </c>
      <c r="S34" s="2"/>
      <c r="T34" s="6">
        <v>4188.5052999999998</v>
      </c>
      <c r="U34" s="2"/>
      <c r="V34" s="7">
        <f t="shared" si="18"/>
        <v>9.2848868346966373E-3</v>
      </c>
      <c r="W34" s="2"/>
      <c r="X34" s="6">
        <f t="shared" si="19"/>
        <v>1165.4947000000002</v>
      </c>
      <c r="Y34" s="2"/>
      <c r="Z34" s="7">
        <f t="shared" si="20"/>
        <v>0.27826029013261611</v>
      </c>
    </row>
    <row r="35" spans="1:26" s="24" customFormat="1" hidden="1" outlineLevel="2" x14ac:dyDescent="0.25">
      <c r="A35" s="25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13"/>
        <v>0</v>
      </c>
      <c r="G35" s="2"/>
      <c r="H35" s="6">
        <v>0</v>
      </c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/>
      <c r="Q35" s="2"/>
      <c r="R35" s="7">
        <f t="shared" si="17"/>
        <v>0</v>
      </c>
      <c r="S35" s="2"/>
      <c r="T35" s="6">
        <v>0</v>
      </c>
      <c r="U35" s="2"/>
      <c r="V35" s="7">
        <f t="shared" si="18"/>
        <v>0</v>
      </c>
      <c r="W35" s="2"/>
      <c r="X35" s="6">
        <f t="shared" si="19"/>
        <v>0</v>
      </c>
      <c r="Y35" s="2"/>
      <c r="Z35" s="7">
        <f t="shared" si="20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>
        <v>407.06</v>
      </c>
      <c r="E36" s="2"/>
      <c r="F36" s="7">
        <f t="shared" si="13"/>
        <v>4.9470699007875861E-3</v>
      </c>
      <c r="G36" s="2"/>
      <c r="H36" s="6">
        <v>220.74959999999999</v>
      </c>
      <c r="I36" s="2"/>
      <c r="J36" s="7">
        <f t="shared" si="14"/>
        <v>2.9571279303415941E-3</v>
      </c>
      <c r="K36" s="2"/>
      <c r="L36" s="6">
        <f t="shared" si="15"/>
        <v>186.31040000000002</v>
      </c>
      <c r="M36" s="2"/>
      <c r="N36" s="7">
        <f t="shared" si="16"/>
        <v>0.84398975128380771</v>
      </c>
      <c r="O36" s="11"/>
      <c r="P36" s="6">
        <v>3768.9</v>
      </c>
      <c r="Q36" s="2"/>
      <c r="R36" s="7">
        <f t="shared" si="17"/>
        <v>8.1542017115710276E-3</v>
      </c>
      <c r="S36" s="2"/>
      <c r="T36" s="6">
        <v>1895.8695</v>
      </c>
      <c r="U36" s="2"/>
      <c r="V36" s="7">
        <f t="shared" si="18"/>
        <v>4.2026767307308636E-3</v>
      </c>
      <c r="W36" s="2"/>
      <c r="X36" s="6">
        <f t="shared" si="19"/>
        <v>1873.0305000000001</v>
      </c>
      <c r="Y36" s="2"/>
      <c r="Z36" s="7">
        <f t="shared" si="20"/>
        <v>0.98795328475931499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>
        <v>256.76</v>
      </c>
      <c r="E37" s="2"/>
      <c r="F37" s="7">
        <f t="shared" si="13"/>
        <v>3.1204482575694506E-3</v>
      </c>
      <c r="G37" s="2"/>
      <c r="H37" s="6">
        <v>329.23669999999998</v>
      </c>
      <c r="I37" s="2"/>
      <c r="J37" s="7">
        <f t="shared" si="14"/>
        <v>4.4104045545880774E-3</v>
      </c>
      <c r="K37" s="2"/>
      <c r="L37" s="6">
        <f t="shared" si="15"/>
        <v>-72.476699999999994</v>
      </c>
      <c r="M37" s="2"/>
      <c r="N37" s="7">
        <f t="shared" si="16"/>
        <v>-0.22013554381999334</v>
      </c>
      <c r="O37" s="11"/>
      <c r="P37" s="6">
        <v>2586.88</v>
      </c>
      <c r="Q37" s="2"/>
      <c r="R37" s="7">
        <f t="shared" si="17"/>
        <v>5.5968429312608084E-3</v>
      </c>
      <c r="S37" s="2"/>
      <c r="T37" s="6">
        <v>2325.53305</v>
      </c>
      <c r="U37" s="2"/>
      <c r="V37" s="7">
        <f t="shared" si="18"/>
        <v>5.1551352220079363E-3</v>
      </c>
      <c r="W37" s="2"/>
      <c r="X37" s="6">
        <f t="shared" si="19"/>
        <v>261.34695000000011</v>
      </c>
      <c r="Y37" s="2"/>
      <c r="Z37" s="7">
        <f t="shared" si="20"/>
        <v>0.11238152474332717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>
        <v>173.6</v>
      </c>
      <c r="E38" s="2"/>
      <c r="F38" s="7">
        <f t="shared" si="13"/>
        <v>2.1097905340164225E-3</v>
      </c>
      <c r="G38" s="2"/>
      <c r="H38" s="6"/>
      <c r="I38" s="2"/>
      <c r="J38" s="7">
        <f t="shared" si="14"/>
        <v>0</v>
      </c>
      <c r="K38" s="2"/>
      <c r="L38" s="6">
        <f t="shared" si="15"/>
        <v>173.6</v>
      </c>
      <c r="M38" s="2"/>
      <c r="N38" s="7">
        <f t="shared" si="16"/>
        <v>0</v>
      </c>
      <c r="O38" s="11"/>
      <c r="P38" s="6">
        <v>1335.11</v>
      </c>
      <c r="Q38" s="2"/>
      <c r="R38" s="7">
        <f t="shared" si="17"/>
        <v>2.8885765733066924E-3</v>
      </c>
      <c r="S38" s="2"/>
      <c r="T38" s="6"/>
      <c r="U38" s="2"/>
      <c r="V38" s="7">
        <f t="shared" si="18"/>
        <v>0</v>
      </c>
      <c r="W38" s="2"/>
      <c r="X38" s="6">
        <f t="shared" si="19"/>
        <v>1335.11</v>
      </c>
      <c r="Y38" s="2"/>
      <c r="Z38" s="7">
        <f t="shared" si="20"/>
        <v>0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12325.21</v>
      </c>
      <c r="E39" s="1"/>
      <c r="F39" s="5">
        <f t="shared" ref="F39:F49" si="21">IF(D$12=0,0,D39/D$12)</f>
        <v>0.14979038817836721</v>
      </c>
      <c r="G39" s="1"/>
      <c r="H39" s="1">
        <f>SUM(OSRRefH22_1x_0)</f>
        <v>14343.824000000001</v>
      </c>
      <c r="I39" s="1"/>
      <c r="J39" s="5">
        <f t="shared" ref="J39:J49" si="22">IF(H$12=0,0,H39/H$12)</f>
        <v>0.19214767582049566</v>
      </c>
      <c r="K39" s="1"/>
      <c r="L39" s="1">
        <f t="shared" ref="L39:L49" si="23">+D39-H39</f>
        <v>-2018.6140000000014</v>
      </c>
      <c r="M39" s="1"/>
      <c r="N39" s="5">
        <f t="shared" ref="N39:N49" si="24">IF(H39=0,0,L39/H39)</f>
        <v>-0.14073053322461299</v>
      </c>
      <c r="O39" s="13"/>
      <c r="P39" s="1">
        <f>SUM(OSRRefP22_1x_0)</f>
        <v>91997.86</v>
      </c>
      <c r="Q39" s="1"/>
      <c r="R39" s="5">
        <f t="shared" ref="R39:R49" si="25">IF(P$12=0,0,P39/P$12)</f>
        <v>0.19904192402899301</v>
      </c>
      <c r="S39" s="1"/>
      <c r="T39" s="1">
        <f>SUM(OSRRefT22_1x_0)</f>
        <v>105809.20749999999</v>
      </c>
      <c r="U39" s="1"/>
      <c r="V39" s="5">
        <f t="shared" ref="V39:V49" si="26">IF(T$12=0,0,T39/T$12)</f>
        <v>0.23455300813548799</v>
      </c>
      <c r="W39" s="1"/>
      <c r="X39" s="1">
        <f t="shared" ref="X39:X49" si="27">+P39-T39</f>
        <v>-13811.347499999989</v>
      </c>
      <c r="Y39" s="1"/>
      <c r="Z39" s="5">
        <f t="shared" ref="Z39:Z49" si="28">IF(T39=0,0,X39/T39)</f>
        <v>-0.13053067711522165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5287.8140000000003</v>
      </c>
      <c r="I40" s="2"/>
      <c r="J40" s="7">
        <f t="shared" si="22"/>
        <v>7.0834748827863364E-2</v>
      </c>
      <c r="K40" s="2"/>
      <c r="L40" s="6">
        <f t="shared" si="23"/>
        <v>-5287.8140000000003</v>
      </c>
      <c r="M40" s="2"/>
      <c r="N40" s="7">
        <f t="shared" si="24"/>
        <v>-1</v>
      </c>
      <c r="O40" s="11"/>
      <c r="P40" s="6"/>
      <c r="Q40" s="2"/>
      <c r="R40" s="7">
        <f t="shared" si="25"/>
        <v>0</v>
      </c>
      <c r="S40" s="2"/>
      <c r="T40" s="6">
        <v>46268.372499999998</v>
      </c>
      <c r="U40" s="2"/>
      <c r="V40" s="7">
        <f t="shared" si="26"/>
        <v>0.1025656103832768</v>
      </c>
      <c r="W40" s="2"/>
      <c r="X40" s="6">
        <f t="shared" si="27"/>
        <v>-46268.372499999998</v>
      </c>
      <c r="Y40" s="2"/>
      <c r="Z40" s="7">
        <f t="shared" si="28"/>
        <v>-1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5566.66</v>
      </c>
      <c r="E41" s="2"/>
      <c r="F41" s="7">
        <f t="shared" si="21"/>
        <v>6.7652572431381675E-2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5566.66</v>
      </c>
      <c r="M41" s="2"/>
      <c r="N41" s="7">
        <f t="shared" si="24"/>
        <v>0</v>
      </c>
      <c r="O41" s="11"/>
      <c r="P41" s="6">
        <v>46064.45</v>
      </c>
      <c r="Q41" s="2"/>
      <c r="R41" s="7">
        <f t="shared" si="25"/>
        <v>9.9662717777754248E-2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46064.45</v>
      </c>
      <c r="Y41" s="2"/>
      <c r="Z41" s="7">
        <f t="shared" si="28"/>
        <v>0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1"/>
        <v>0</v>
      </c>
      <c r="G43" s="2"/>
      <c r="H43" s="6">
        <v>1792.2</v>
      </c>
      <c r="I43" s="2"/>
      <c r="J43" s="7">
        <f t="shared" si="22"/>
        <v>2.4008037508372406E-2</v>
      </c>
      <c r="K43" s="2"/>
      <c r="L43" s="6">
        <f t="shared" si="23"/>
        <v>-1792.2</v>
      </c>
      <c r="M43" s="2"/>
      <c r="N43" s="7">
        <f t="shared" si="24"/>
        <v>-1</v>
      </c>
      <c r="O43" s="11"/>
      <c r="P43" s="6"/>
      <c r="Q43" s="2"/>
      <c r="R43" s="7">
        <f t="shared" si="25"/>
        <v>0</v>
      </c>
      <c r="S43" s="2"/>
      <c r="T43" s="6">
        <v>14492.1</v>
      </c>
      <c r="U43" s="2"/>
      <c r="V43" s="7">
        <f t="shared" si="26"/>
        <v>3.2125423954246196E-2</v>
      </c>
      <c r="W43" s="2"/>
      <c r="X43" s="6">
        <f t="shared" si="27"/>
        <v>-14492.1</v>
      </c>
      <c r="Y43" s="2"/>
      <c r="Z43" s="7">
        <f t="shared" si="28"/>
        <v>-1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70.540000000000006</v>
      </c>
      <c r="E44" s="2"/>
      <c r="F44" s="7">
        <f t="shared" si="21"/>
        <v>8.5728470201335515E-4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70.540000000000006</v>
      </c>
      <c r="M44" s="2"/>
      <c r="N44" s="7">
        <f t="shared" si="24"/>
        <v>0</v>
      </c>
      <c r="O44" s="11"/>
      <c r="P44" s="6">
        <v>1174.26</v>
      </c>
      <c r="Q44" s="2"/>
      <c r="R44" s="7">
        <f t="shared" si="25"/>
        <v>2.5405696361881173E-3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1174.26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>
        <v>160.46</v>
      </c>
      <c r="E45" s="2"/>
      <c r="F45" s="7">
        <f t="shared" si="21"/>
        <v>1.9500978634117234E-3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160.46</v>
      </c>
      <c r="M45" s="2"/>
      <c r="N45" s="7">
        <f t="shared" si="24"/>
        <v>0</v>
      </c>
      <c r="O45" s="11"/>
      <c r="P45" s="6">
        <v>3206.96</v>
      </c>
      <c r="Q45" s="2"/>
      <c r="R45" s="7">
        <f t="shared" si="25"/>
        <v>6.9384167053887936E-3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3206.96</v>
      </c>
      <c r="Y45" s="2"/>
      <c r="Z45" s="7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6527.55</v>
      </c>
      <c r="E46" s="2"/>
      <c r="F46" s="7">
        <f t="shared" si="21"/>
        <v>7.9330433181560481E-2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6527.55</v>
      </c>
      <c r="M46" s="2"/>
      <c r="N46" s="7">
        <f t="shared" si="24"/>
        <v>0</v>
      </c>
      <c r="O46" s="11"/>
      <c r="P46" s="6">
        <v>37996.71</v>
      </c>
      <c r="Q46" s="2"/>
      <c r="R46" s="7">
        <f t="shared" si="25"/>
        <v>8.220776293243863E-2</v>
      </c>
      <c r="S46" s="2"/>
      <c r="T46" s="6">
        <v>2868.75</v>
      </c>
      <c r="U46" s="2"/>
      <c r="V46" s="7">
        <f t="shared" si="26"/>
        <v>6.3593136928908689E-3</v>
      </c>
      <c r="W46" s="2"/>
      <c r="X46" s="6">
        <f t="shared" si="27"/>
        <v>35127.96</v>
      </c>
      <c r="Y46" s="2"/>
      <c r="Z46" s="7">
        <f t="shared" si="28"/>
        <v>12.245040522875817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7263.81</v>
      </c>
      <c r="I47" s="2"/>
      <c r="J47" s="7">
        <f t="shared" si="22"/>
        <v>9.7304889484259888E-2</v>
      </c>
      <c r="K47" s="2"/>
      <c r="L47" s="6">
        <f t="shared" si="23"/>
        <v>-7263.81</v>
      </c>
      <c r="M47" s="2"/>
      <c r="N47" s="7">
        <f t="shared" si="24"/>
        <v>-1</v>
      </c>
      <c r="O47" s="11"/>
      <c r="P47" s="6">
        <v>3555.48</v>
      </c>
      <c r="Q47" s="2"/>
      <c r="R47" s="7">
        <f t="shared" si="25"/>
        <v>7.6924569772232098E-3</v>
      </c>
      <c r="S47" s="2"/>
      <c r="T47" s="6">
        <v>42179.985000000001</v>
      </c>
      <c r="U47" s="2"/>
      <c r="V47" s="7">
        <f t="shared" si="26"/>
        <v>9.3502660105074145E-2</v>
      </c>
      <c r="W47" s="2"/>
      <c r="X47" s="6">
        <f t="shared" si="27"/>
        <v>-38624.504999999997</v>
      </c>
      <c r="Y47" s="2"/>
      <c r="Z47" s="7">
        <f t="shared" si="28"/>
        <v>-0.91570694015182785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203.82</v>
      </c>
      <c r="E50" s="1"/>
      <c r="F50" s="5">
        <f t="shared" ref="F50:F69" si="29">IF(D$12=0,0,D50/D$12)</f>
        <v>2.4770593700646731E-3</v>
      </c>
      <c r="G50" s="1"/>
      <c r="H50" s="1">
        <f>SUM(OSRRefH22_2x_0)</f>
        <v>0</v>
      </c>
      <c r="I50" s="1"/>
      <c r="J50" s="5">
        <f t="shared" ref="J50:J69" si="30">IF(H$12=0,0,H50/H$12)</f>
        <v>0</v>
      </c>
      <c r="K50" s="1"/>
      <c r="L50" s="1">
        <f t="shared" ref="L50:L69" si="31">+D50-H50</f>
        <v>203.82</v>
      </c>
      <c r="M50" s="1"/>
      <c r="N50" s="5">
        <f t="shared" ref="N50:N69" si="32">IF(H50=0,0,L50/H50)</f>
        <v>0</v>
      </c>
      <c r="O50" s="13"/>
      <c r="P50" s="1">
        <f>SUM(OSRRefP22_2x_0)</f>
        <v>1415.23</v>
      </c>
      <c r="Q50" s="1"/>
      <c r="R50" s="5">
        <f t="shared" ref="R50:R69" si="33">IF(P$12=0,0,P50/P$12)</f>
        <v>3.061920159268398E-3</v>
      </c>
      <c r="S50" s="1"/>
      <c r="T50" s="1">
        <f>SUM(OSRRefT22_2x_0)</f>
        <v>0</v>
      </c>
      <c r="U50" s="1"/>
      <c r="V50" s="5">
        <f t="shared" ref="V50:V69" si="34">IF(T$12=0,0,T50/T$12)</f>
        <v>0</v>
      </c>
      <c r="W50" s="1"/>
      <c r="X50" s="1">
        <f t="shared" ref="X50:X69" si="35">+P50-T50</f>
        <v>1415.23</v>
      </c>
      <c r="Y50" s="1"/>
      <c r="Z50" s="5">
        <f t="shared" ref="Z50:Z69" si="36">IF(T50=0,0,X50/T50)</f>
        <v>0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203.82</v>
      </c>
      <c r="E51" s="2"/>
      <c r="F51" s="7">
        <f t="shared" si="29"/>
        <v>2.4770593700646731E-3</v>
      </c>
      <c r="G51" s="2"/>
      <c r="H51" s="6">
        <v>0</v>
      </c>
      <c r="I51" s="2"/>
      <c r="J51" s="7">
        <f t="shared" si="30"/>
        <v>0</v>
      </c>
      <c r="K51" s="2"/>
      <c r="L51" s="6">
        <f t="shared" si="31"/>
        <v>203.82</v>
      </c>
      <c r="M51" s="2"/>
      <c r="N51" s="7">
        <f t="shared" si="32"/>
        <v>0</v>
      </c>
      <c r="O51" s="11"/>
      <c r="P51" s="6">
        <v>1415.23</v>
      </c>
      <c r="Q51" s="2"/>
      <c r="R51" s="7">
        <f t="shared" si="33"/>
        <v>3.061920159268398E-3</v>
      </c>
      <c r="S51" s="2"/>
      <c r="T51" s="6">
        <v>0</v>
      </c>
      <c r="U51" s="2"/>
      <c r="V51" s="7">
        <f t="shared" si="34"/>
        <v>0</v>
      </c>
      <c r="W51" s="2"/>
      <c r="X51" s="6">
        <f t="shared" si="35"/>
        <v>1415.23</v>
      </c>
      <c r="Y51" s="2"/>
      <c r="Z51" s="7">
        <f t="shared" si="36"/>
        <v>0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-26.37</v>
      </c>
      <c r="E52" s="1"/>
      <c r="F52" s="5">
        <f t="shared" si="29"/>
        <v>-3.2047912662449922E-4</v>
      </c>
      <c r="G52" s="1"/>
      <c r="H52" s="1">
        <f>SUM(OSRRefH22_3x_0)</f>
        <v>0</v>
      </c>
      <c r="I52" s="1"/>
      <c r="J52" s="5">
        <f t="shared" si="30"/>
        <v>0</v>
      </c>
      <c r="K52" s="1"/>
      <c r="L52" s="1">
        <f t="shared" si="31"/>
        <v>-26.37</v>
      </c>
      <c r="M52" s="1"/>
      <c r="N52" s="5">
        <f t="shared" si="32"/>
        <v>0</v>
      </c>
      <c r="O52" s="13"/>
      <c r="P52" s="1">
        <f>SUM(OSRRefP22_3x_0)</f>
        <v>-184.19</v>
      </c>
      <c r="Q52" s="1"/>
      <c r="R52" s="5">
        <f t="shared" si="33"/>
        <v>-3.9850418245489867E-4</v>
      </c>
      <c r="S52" s="1"/>
      <c r="T52" s="1">
        <f>SUM(OSRRefT22_3x_0)</f>
        <v>0</v>
      </c>
      <c r="U52" s="1"/>
      <c r="V52" s="5">
        <f t="shared" si="34"/>
        <v>0</v>
      </c>
      <c r="W52" s="1"/>
      <c r="X52" s="1">
        <f t="shared" si="35"/>
        <v>-184.19</v>
      </c>
      <c r="Y52" s="1"/>
      <c r="Z52" s="5">
        <f t="shared" si="36"/>
        <v>0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-26.37</v>
      </c>
      <c r="E53" s="2"/>
      <c r="F53" s="7">
        <f t="shared" si="29"/>
        <v>-3.2047912662449922E-4</v>
      </c>
      <c r="G53" s="2"/>
      <c r="H53" s="6">
        <v>0</v>
      </c>
      <c r="I53" s="2"/>
      <c r="J53" s="7">
        <f t="shared" si="30"/>
        <v>0</v>
      </c>
      <c r="K53" s="2"/>
      <c r="L53" s="6">
        <f t="shared" si="31"/>
        <v>-26.37</v>
      </c>
      <c r="M53" s="2"/>
      <c r="N53" s="7">
        <f t="shared" si="32"/>
        <v>0</v>
      </c>
      <c r="O53" s="11"/>
      <c r="P53" s="6">
        <v>-184.19</v>
      </c>
      <c r="Q53" s="2"/>
      <c r="R53" s="7">
        <f t="shared" si="33"/>
        <v>-3.9850418245489867E-4</v>
      </c>
      <c r="S53" s="2"/>
      <c r="T53" s="6">
        <v>0</v>
      </c>
      <c r="U53" s="2"/>
      <c r="V53" s="7">
        <f t="shared" si="34"/>
        <v>0</v>
      </c>
      <c r="W53" s="2"/>
      <c r="X53" s="6">
        <f t="shared" si="35"/>
        <v>-184.19</v>
      </c>
      <c r="Y53" s="2"/>
      <c r="Z53" s="7">
        <f t="shared" si="36"/>
        <v>0</v>
      </c>
    </row>
    <row r="54" spans="1:26" s="27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3337.48</v>
      </c>
      <c r="E54" s="1"/>
      <c r="F54" s="5">
        <f t="shared" si="29"/>
        <v>4.0560966079891299E-2</v>
      </c>
      <c r="G54" s="1"/>
      <c r="H54" s="1">
        <f>SUM(OSRRefH22_4x_0)</f>
        <v>2366</v>
      </c>
      <c r="I54" s="1"/>
      <c r="J54" s="5">
        <f t="shared" si="30"/>
        <v>3.1694574681848629E-2</v>
      </c>
      <c r="K54" s="1"/>
      <c r="L54" s="1">
        <f t="shared" si="31"/>
        <v>971.48</v>
      </c>
      <c r="M54" s="1"/>
      <c r="N54" s="5">
        <f t="shared" si="32"/>
        <v>0.41060016906170754</v>
      </c>
      <c r="O54" s="13"/>
      <c r="P54" s="1">
        <f>SUM(OSRRefP22_4x_0)</f>
        <v>16324.5</v>
      </c>
      <c r="Q54" s="1"/>
      <c r="R54" s="5">
        <f t="shared" si="33"/>
        <v>3.5318863817172447E-2</v>
      </c>
      <c r="S54" s="1"/>
      <c r="T54" s="1">
        <f>SUM(OSRRefT22_4x_0)</f>
        <v>14297</v>
      </c>
      <c r="U54" s="1"/>
      <c r="V54" s="5">
        <f t="shared" si="34"/>
        <v>3.1692935204273902E-2</v>
      </c>
      <c r="W54" s="1"/>
      <c r="X54" s="1">
        <f t="shared" si="35"/>
        <v>2027.5</v>
      </c>
      <c r="Y54" s="1"/>
      <c r="Z54" s="5">
        <f t="shared" si="36"/>
        <v>0.14181296775547317</v>
      </c>
    </row>
    <row r="55" spans="1:26" s="24" customFormat="1" hidden="1" outlineLevel="2" x14ac:dyDescent="0.25">
      <c r="A55" s="25"/>
      <c r="B55" s="11" t="str">
        <f>CONCATENATE("          ", "6381", " - ", "BANK/CREDIT CARD FEES")</f>
        <v xml:space="preserve">          6381 - BANK/CREDIT CARD FEES</v>
      </c>
      <c r="C55" s="11"/>
      <c r="D55" s="6">
        <v>3337.48</v>
      </c>
      <c r="E55" s="2"/>
      <c r="F55" s="7">
        <f t="shared" si="29"/>
        <v>4.0560966079891299E-2</v>
      </c>
      <c r="G55" s="2"/>
      <c r="H55" s="6">
        <v>2366</v>
      </c>
      <c r="I55" s="2"/>
      <c r="J55" s="7">
        <f t="shared" si="30"/>
        <v>3.1694574681848629E-2</v>
      </c>
      <c r="K55" s="2"/>
      <c r="L55" s="6">
        <f t="shared" si="31"/>
        <v>971.48</v>
      </c>
      <c r="M55" s="2"/>
      <c r="N55" s="7">
        <f t="shared" si="32"/>
        <v>0.41060016906170754</v>
      </c>
      <c r="O55" s="11"/>
      <c r="P55" s="6">
        <v>16324.5</v>
      </c>
      <c r="Q55" s="2"/>
      <c r="R55" s="7">
        <f t="shared" si="33"/>
        <v>3.5318863817172447E-2</v>
      </c>
      <c r="S55" s="2"/>
      <c r="T55" s="6">
        <v>14297</v>
      </c>
      <c r="U55" s="2"/>
      <c r="V55" s="7">
        <f t="shared" si="34"/>
        <v>3.1692935204273902E-2</v>
      </c>
      <c r="W55" s="2"/>
      <c r="X55" s="6">
        <f t="shared" si="35"/>
        <v>2027.5</v>
      </c>
      <c r="Y55" s="2"/>
      <c r="Z55" s="7">
        <f t="shared" si="36"/>
        <v>0.14181296775547317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0</v>
      </c>
      <c r="E56" s="1"/>
      <c r="F56" s="5">
        <f t="shared" si="29"/>
        <v>0</v>
      </c>
      <c r="G56" s="1"/>
      <c r="H56" s="1">
        <f>SUM(OSRRefH22_5x_0)</f>
        <v>65</v>
      </c>
      <c r="I56" s="1"/>
      <c r="J56" s="5">
        <f t="shared" si="30"/>
        <v>8.7073007367716008E-4</v>
      </c>
      <c r="K56" s="1"/>
      <c r="L56" s="1">
        <f t="shared" si="31"/>
        <v>-65</v>
      </c>
      <c r="M56" s="1"/>
      <c r="N56" s="5">
        <f t="shared" si="32"/>
        <v>-1</v>
      </c>
      <c r="O56" s="13"/>
      <c r="P56" s="1">
        <f>SUM(OSRRefP22_5x_0)</f>
        <v>0</v>
      </c>
      <c r="Q56" s="1"/>
      <c r="R56" s="5">
        <f t="shared" si="33"/>
        <v>0</v>
      </c>
      <c r="S56" s="1"/>
      <c r="T56" s="1">
        <f>SUM(OSRRefT22_5x_0)</f>
        <v>325</v>
      </c>
      <c r="U56" s="1"/>
      <c r="V56" s="5">
        <f t="shared" si="34"/>
        <v>7.2044512424907447E-4</v>
      </c>
      <c r="W56" s="1"/>
      <c r="X56" s="1">
        <f t="shared" si="35"/>
        <v>-325</v>
      </c>
      <c r="Y56" s="1"/>
      <c r="Z56" s="5">
        <f t="shared" si="36"/>
        <v>-1</v>
      </c>
    </row>
    <row r="57" spans="1:26" s="24" customFormat="1" hidden="1" outlineLevel="2" x14ac:dyDescent="0.25">
      <c r="A57" s="25"/>
      <c r="B57" s="11" t="str">
        <f>CONCATENATE("          ", "6324", " - ", "FURNITURE + FIXT DEPRECIATION")</f>
        <v xml:space="preserve">          6324 - FURNITURE + FIXT DEPRECIATION</v>
      </c>
      <c r="C57" s="11"/>
      <c r="D57" s="6"/>
      <c r="E57" s="2"/>
      <c r="F57" s="7">
        <f t="shared" si="29"/>
        <v>0</v>
      </c>
      <c r="G57" s="2"/>
      <c r="H57" s="6">
        <v>65</v>
      </c>
      <c r="I57" s="2"/>
      <c r="J57" s="7">
        <f t="shared" si="30"/>
        <v>8.7073007367716008E-4</v>
      </c>
      <c r="K57" s="2"/>
      <c r="L57" s="6">
        <f t="shared" si="31"/>
        <v>-65</v>
      </c>
      <c r="M57" s="2"/>
      <c r="N57" s="7">
        <f t="shared" si="32"/>
        <v>-1</v>
      </c>
      <c r="O57" s="11"/>
      <c r="P57" s="6"/>
      <c r="Q57" s="2"/>
      <c r="R57" s="7">
        <f t="shared" si="33"/>
        <v>0</v>
      </c>
      <c r="S57" s="2"/>
      <c r="T57" s="6">
        <v>325</v>
      </c>
      <c r="U57" s="2"/>
      <c r="V57" s="7">
        <f t="shared" si="34"/>
        <v>7.2044512424907447E-4</v>
      </c>
      <c r="W57" s="2"/>
      <c r="X57" s="6">
        <f t="shared" si="35"/>
        <v>-325</v>
      </c>
      <c r="Y57" s="2"/>
      <c r="Z57" s="7">
        <f t="shared" si="36"/>
        <v>-1</v>
      </c>
    </row>
    <row r="58" spans="1:26" s="27" customFormat="1" outlineLevel="1" collapsed="1" x14ac:dyDescent="0.25">
      <c r="A58" s="26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SUM(OSRRefD22_6x_0)</f>
        <v>11.81</v>
      </c>
      <c r="E58" s="1"/>
      <c r="F58" s="5">
        <f t="shared" si="29"/>
        <v>1.4352895280376701E-4</v>
      </c>
      <c r="G58" s="1"/>
      <c r="H58" s="1">
        <f>SUM(OSRRefH22_6x_0)</f>
        <v>0</v>
      </c>
      <c r="I58" s="1"/>
      <c r="J58" s="5">
        <f t="shared" si="30"/>
        <v>0</v>
      </c>
      <c r="K58" s="1"/>
      <c r="L58" s="1">
        <f t="shared" si="31"/>
        <v>11.81</v>
      </c>
      <c r="M58" s="1"/>
      <c r="N58" s="5">
        <f t="shared" si="32"/>
        <v>0</v>
      </c>
      <c r="O58" s="13"/>
      <c r="P58" s="1">
        <f>SUM(OSRRefP22_6x_0)</f>
        <v>119.96</v>
      </c>
      <c r="Q58" s="1"/>
      <c r="R58" s="5">
        <f t="shared" si="33"/>
        <v>2.5953939805249817E-4</v>
      </c>
      <c r="S58" s="1"/>
      <c r="T58" s="1">
        <f>SUM(OSRRefT22_6x_0)</f>
        <v>0</v>
      </c>
      <c r="U58" s="1"/>
      <c r="V58" s="5">
        <f t="shared" si="34"/>
        <v>0</v>
      </c>
      <c r="W58" s="1"/>
      <c r="X58" s="1">
        <f t="shared" si="35"/>
        <v>119.96</v>
      </c>
      <c r="Y58" s="1"/>
      <c r="Z58" s="5">
        <f t="shared" si="36"/>
        <v>0</v>
      </c>
    </row>
    <row r="59" spans="1:26" s="24" customFormat="1" hidden="1" outlineLevel="2" x14ac:dyDescent="0.25">
      <c r="A59" s="25"/>
      <c r="B59" s="11" t="str">
        <f>CONCATENATE("          ", "6382", " - ", "DISCOUNTS/MARK DOWNS")</f>
        <v xml:space="preserve">          6382 - DISCOUNTS/MARK DOWNS</v>
      </c>
      <c r="C59" s="11"/>
      <c r="D59" s="6">
        <v>11.81</v>
      </c>
      <c r="E59" s="2"/>
      <c r="F59" s="7">
        <f t="shared" si="29"/>
        <v>1.4352895280376701E-4</v>
      </c>
      <c r="G59" s="2"/>
      <c r="H59" s="6"/>
      <c r="I59" s="2"/>
      <c r="J59" s="7">
        <f t="shared" si="30"/>
        <v>0</v>
      </c>
      <c r="K59" s="2"/>
      <c r="L59" s="6">
        <f t="shared" si="31"/>
        <v>11.81</v>
      </c>
      <c r="M59" s="2"/>
      <c r="N59" s="7">
        <f t="shared" si="32"/>
        <v>0</v>
      </c>
      <c r="O59" s="11"/>
      <c r="P59" s="6">
        <v>119.96</v>
      </c>
      <c r="Q59" s="2"/>
      <c r="R59" s="7">
        <f t="shared" si="33"/>
        <v>2.5953939805249817E-4</v>
      </c>
      <c r="S59" s="2"/>
      <c r="T59" s="6"/>
      <c r="U59" s="2"/>
      <c r="V59" s="7">
        <f t="shared" si="34"/>
        <v>0</v>
      </c>
      <c r="W59" s="2"/>
      <c r="X59" s="6">
        <f t="shared" si="35"/>
        <v>119.96</v>
      </c>
      <c r="Y59" s="2"/>
      <c r="Z59" s="7">
        <f t="shared" si="36"/>
        <v>0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SUM(OSRRefD22_7x_0)</f>
        <v>0</v>
      </c>
      <c r="E60" s="1"/>
      <c r="F60" s="5">
        <f t="shared" si="29"/>
        <v>0</v>
      </c>
      <c r="G60" s="1"/>
      <c r="H60" s="1">
        <f>SUM(OSRRefH22_7x_0)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3"/>
      <c r="P60" s="1">
        <f>SUM(OSRRefP22_7x_0)</f>
        <v>0</v>
      </c>
      <c r="Q60" s="1"/>
      <c r="R60" s="5">
        <f t="shared" si="33"/>
        <v>0</v>
      </c>
      <c r="S60" s="1"/>
      <c r="T60" s="1">
        <f>SUM(OSRRefT22_7x_0)</f>
        <v>0</v>
      </c>
      <c r="U60" s="1"/>
      <c r="V60" s="5">
        <f t="shared" si="34"/>
        <v>0</v>
      </c>
      <c r="W60" s="1"/>
      <c r="X60" s="1">
        <f t="shared" si="35"/>
        <v>0</v>
      </c>
      <c r="Y60" s="1"/>
      <c r="Z60" s="5">
        <f t="shared" si="36"/>
        <v>0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29"/>
        <v>0</v>
      </c>
      <c r="G61" s="2"/>
      <c r="H61" s="6">
        <v>0</v>
      </c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/>
      <c r="Q61" s="2"/>
      <c r="R61" s="7">
        <f t="shared" si="33"/>
        <v>0</v>
      </c>
      <c r="S61" s="2"/>
      <c r="T61" s="6">
        <v>0</v>
      </c>
      <c r="U61" s="2"/>
      <c r="V61" s="7">
        <f t="shared" si="34"/>
        <v>0</v>
      </c>
      <c r="W61" s="2"/>
      <c r="X61" s="6">
        <f t="shared" si="35"/>
        <v>0</v>
      </c>
      <c r="Y61" s="2"/>
      <c r="Z61" s="7">
        <f t="shared" si="36"/>
        <v>0</v>
      </c>
    </row>
    <row r="62" spans="1:26" s="27" customFormat="1" outlineLevel="1" collapsed="1" x14ac:dyDescent="0.25">
      <c r="A62" s="26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SUM(OSRRefD22_8x_0)</f>
        <v>20.83</v>
      </c>
      <c r="E62" s="1"/>
      <c r="F62" s="5">
        <f t="shared" si="29"/>
        <v>2.5315055773941287E-4</v>
      </c>
      <c r="G62" s="1"/>
      <c r="H62" s="1">
        <f>SUM(OSRRefH22_8x_0)</f>
        <v>0</v>
      </c>
      <c r="I62" s="1"/>
      <c r="J62" s="5">
        <f t="shared" si="30"/>
        <v>0</v>
      </c>
      <c r="K62" s="1"/>
      <c r="L62" s="1">
        <f t="shared" si="31"/>
        <v>20.83</v>
      </c>
      <c r="M62" s="1"/>
      <c r="N62" s="5">
        <f t="shared" si="32"/>
        <v>0</v>
      </c>
      <c r="O62" s="13"/>
      <c r="P62" s="1">
        <f>SUM(OSRRefP22_8x_0)</f>
        <v>254.46</v>
      </c>
      <c r="Q62" s="1"/>
      <c r="R62" s="5">
        <f t="shared" si="33"/>
        <v>5.5053680583893542E-4</v>
      </c>
      <c r="S62" s="1"/>
      <c r="T62" s="1">
        <f>SUM(OSRRefT22_8x_0)</f>
        <v>0</v>
      </c>
      <c r="U62" s="1"/>
      <c r="V62" s="5">
        <f t="shared" si="34"/>
        <v>0</v>
      </c>
      <c r="W62" s="1"/>
      <c r="X62" s="1">
        <f t="shared" si="35"/>
        <v>254.46</v>
      </c>
      <c r="Y62" s="1"/>
      <c r="Z62" s="5">
        <f t="shared" si="36"/>
        <v>0</v>
      </c>
    </row>
    <row r="63" spans="1:26" s="24" customFormat="1" hidden="1" outlineLevel="2" x14ac:dyDescent="0.25">
      <c r="A63" s="25"/>
      <c r="B63" s="11" t="str">
        <f>CONCATENATE("          ", "6305", " - ", "FREIGHT OUT")</f>
        <v xml:space="preserve">          6305 - FREIGHT OUT</v>
      </c>
      <c r="C63" s="11"/>
      <c r="D63" s="6">
        <v>20.83</v>
      </c>
      <c r="E63" s="2"/>
      <c r="F63" s="7">
        <f t="shared" si="29"/>
        <v>2.5315055773941287E-4</v>
      </c>
      <c r="G63" s="2"/>
      <c r="H63" s="6"/>
      <c r="I63" s="2"/>
      <c r="J63" s="7">
        <f t="shared" si="30"/>
        <v>0</v>
      </c>
      <c r="K63" s="2"/>
      <c r="L63" s="6">
        <f t="shared" si="31"/>
        <v>20.83</v>
      </c>
      <c r="M63" s="2"/>
      <c r="N63" s="7">
        <f t="shared" si="32"/>
        <v>0</v>
      </c>
      <c r="O63" s="11"/>
      <c r="P63" s="6">
        <v>254.46</v>
      </c>
      <c r="Q63" s="2"/>
      <c r="R63" s="7">
        <f t="shared" si="33"/>
        <v>5.5053680583893542E-4</v>
      </c>
      <c r="S63" s="2"/>
      <c r="T63" s="6"/>
      <c r="U63" s="2"/>
      <c r="V63" s="7">
        <f t="shared" si="34"/>
        <v>0</v>
      </c>
      <c r="W63" s="2"/>
      <c r="X63" s="6">
        <f t="shared" si="35"/>
        <v>254.46</v>
      </c>
      <c r="Y63" s="2"/>
      <c r="Z63" s="7">
        <f t="shared" si="36"/>
        <v>0</v>
      </c>
    </row>
    <row r="64" spans="1:26" s="27" customFormat="1" outlineLevel="1" collapsed="1" x14ac:dyDescent="0.25">
      <c r="A64" s="26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SUM(OSRRefD22_9x_0)</f>
        <v>49.3</v>
      </c>
      <c r="E64" s="1"/>
      <c r="F64" s="5">
        <f t="shared" si="29"/>
        <v>5.9915134404959461E-4</v>
      </c>
      <c r="G64" s="1"/>
      <c r="H64" s="1">
        <f>SUM(OSRRefH22_9x_0)</f>
        <v>222</v>
      </c>
      <c r="I64" s="1"/>
      <c r="J64" s="5">
        <f t="shared" si="30"/>
        <v>2.9738780977896853E-3</v>
      </c>
      <c r="K64" s="1"/>
      <c r="L64" s="1">
        <f t="shared" si="31"/>
        <v>-172.7</v>
      </c>
      <c r="M64" s="1"/>
      <c r="N64" s="5">
        <f t="shared" si="32"/>
        <v>-0.77792792792792786</v>
      </c>
      <c r="O64" s="13"/>
      <c r="P64" s="1">
        <f>SUM(OSRRefP22_9x_0)</f>
        <v>1192.3499999999999</v>
      </c>
      <c r="Q64" s="1"/>
      <c r="R64" s="5">
        <f t="shared" si="33"/>
        <v>2.5797082466480175E-3</v>
      </c>
      <c r="S64" s="1"/>
      <c r="T64" s="1">
        <f>SUM(OSRRefT22_9x_0)</f>
        <v>1340</v>
      </c>
      <c r="U64" s="1"/>
      <c r="V64" s="5">
        <f t="shared" si="34"/>
        <v>2.9704506661346456E-3</v>
      </c>
      <c r="W64" s="1"/>
      <c r="X64" s="1">
        <f t="shared" si="35"/>
        <v>-147.65000000000009</v>
      </c>
      <c r="Y64" s="1"/>
      <c r="Z64" s="5">
        <f t="shared" si="36"/>
        <v>-0.11018656716417917</v>
      </c>
    </row>
    <row r="65" spans="1:26" s="24" customFormat="1" hidden="1" outlineLevel="2" x14ac:dyDescent="0.25">
      <c r="A65" s="25"/>
      <c r="B65" s="11" t="str">
        <f>CONCATENATE("          ", "6279", " - ", "GENERAL EXPENSE")</f>
        <v xml:space="preserve">          6279 - GENERAL EXPENSE</v>
      </c>
      <c r="C65" s="11"/>
      <c r="D65" s="6">
        <v>49.3</v>
      </c>
      <c r="E65" s="2"/>
      <c r="F65" s="7">
        <f t="shared" si="29"/>
        <v>5.9915134404959461E-4</v>
      </c>
      <c r="G65" s="2"/>
      <c r="H65" s="6">
        <v>222</v>
      </c>
      <c r="I65" s="2"/>
      <c r="J65" s="7">
        <f t="shared" si="30"/>
        <v>2.9738780977896853E-3</v>
      </c>
      <c r="K65" s="2"/>
      <c r="L65" s="6">
        <f t="shared" si="31"/>
        <v>-172.7</v>
      </c>
      <c r="M65" s="2"/>
      <c r="N65" s="7">
        <f t="shared" si="32"/>
        <v>-0.77792792792792786</v>
      </c>
      <c r="O65" s="11"/>
      <c r="P65" s="6">
        <v>1192.3499999999999</v>
      </c>
      <c r="Q65" s="2"/>
      <c r="R65" s="7">
        <f t="shared" si="33"/>
        <v>2.5797082466480175E-3</v>
      </c>
      <c r="S65" s="2"/>
      <c r="T65" s="6">
        <v>1340</v>
      </c>
      <c r="U65" s="2"/>
      <c r="V65" s="7">
        <f t="shared" si="34"/>
        <v>2.9704506661346456E-3</v>
      </c>
      <c r="W65" s="2"/>
      <c r="X65" s="6">
        <f t="shared" si="35"/>
        <v>-147.65000000000009</v>
      </c>
      <c r="Y65" s="2"/>
      <c r="Z65" s="7">
        <f t="shared" si="36"/>
        <v>-0.11018656716417917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SUM(OSRRefD22_10x_0)</f>
        <v>0</v>
      </c>
      <c r="E66" s="1"/>
      <c r="F66" s="5">
        <f t="shared" si="29"/>
        <v>0</v>
      </c>
      <c r="G66" s="1"/>
      <c r="H66" s="1">
        <f>SUM(OSRRefH22_10x_0)</f>
        <v>74</v>
      </c>
      <c r="I66" s="1"/>
      <c r="J66" s="5">
        <f t="shared" si="30"/>
        <v>9.9129269926322844E-4</v>
      </c>
      <c r="K66" s="1"/>
      <c r="L66" s="1">
        <f t="shared" si="31"/>
        <v>-74</v>
      </c>
      <c r="M66" s="1"/>
      <c r="N66" s="5">
        <f t="shared" si="32"/>
        <v>-1</v>
      </c>
      <c r="O66" s="13"/>
      <c r="P66" s="1">
        <f>SUM(OSRRefP22_10x_0)</f>
        <v>1064.5</v>
      </c>
      <c r="Q66" s="1"/>
      <c r="R66" s="5">
        <f t="shared" si="33"/>
        <v>2.3030984430383824E-3</v>
      </c>
      <c r="S66" s="1"/>
      <c r="T66" s="1">
        <f>SUM(OSRRefT22_10x_0)</f>
        <v>446</v>
      </c>
      <c r="U66" s="1"/>
      <c r="V66" s="5">
        <f t="shared" si="34"/>
        <v>9.8867238589257604E-4</v>
      </c>
      <c r="W66" s="1"/>
      <c r="X66" s="1">
        <f t="shared" si="35"/>
        <v>618.5</v>
      </c>
      <c r="Y66" s="1"/>
      <c r="Z66" s="5">
        <f t="shared" si="36"/>
        <v>1.3867713004484306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9"/>
        <v>0</v>
      </c>
      <c r="G67" s="2"/>
      <c r="H67" s="6"/>
      <c r="I67" s="2"/>
      <c r="J67" s="7">
        <f t="shared" si="30"/>
        <v>0</v>
      </c>
      <c r="K67" s="2"/>
      <c r="L67" s="6">
        <f t="shared" si="31"/>
        <v>0</v>
      </c>
      <c r="M67" s="2"/>
      <c r="N67" s="7">
        <f t="shared" si="32"/>
        <v>0</v>
      </c>
      <c r="O67" s="11"/>
      <c r="P67" s="6">
        <v>437.31</v>
      </c>
      <c r="Q67" s="2"/>
      <c r="R67" s="7">
        <f t="shared" si="33"/>
        <v>9.4614183196347105E-4</v>
      </c>
      <c r="S67" s="2"/>
      <c r="T67" s="6">
        <v>0</v>
      </c>
      <c r="U67" s="2"/>
      <c r="V67" s="7">
        <f t="shared" si="34"/>
        <v>0</v>
      </c>
      <c r="W67" s="2"/>
      <c r="X67" s="6">
        <f t="shared" si="35"/>
        <v>437.31</v>
      </c>
      <c r="Y67" s="2"/>
      <c r="Z67" s="7">
        <f t="shared" si="36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/>
      <c r="E68" s="2"/>
      <c r="F68" s="7">
        <f t="shared" si="29"/>
        <v>0</v>
      </c>
      <c r="G68" s="2"/>
      <c r="H68" s="6"/>
      <c r="I68" s="2"/>
      <c r="J68" s="7">
        <f t="shared" si="30"/>
        <v>0</v>
      </c>
      <c r="K68" s="2"/>
      <c r="L68" s="6">
        <f t="shared" si="31"/>
        <v>0</v>
      </c>
      <c r="M68" s="2"/>
      <c r="N68" s="7">
        <f t="shared" si="32"/>
        <v>0</v>
      </c>
      <c r="O68" s="11"/>
      <c r="P68" s="6">
        <v>46.61</v>
      </c>
      <c r="Q68" s="2"/>
      <c r="R68" s="7">
        <f t="shared" si="33"/>
        <v>1.0084304220762705E-4</v>
      </c>
      <c r="S68" s="2"/>
      <c r="T68" s="6"/>
      <c r="U68" s="2"/>
      <c r="V68" s="7">
        <f t="shared" si="34"/>
        <v>0</v>
      </c>
      <c r="W68" s="2"/>
      <c r="X68" s="6">
        <f t="shared" si="35"/>
        <v>46.61</v>
      </c>
      <c r="Y68" s="2"/>
      <c r="Z68" s="7">
        <f t="shared" si="36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9"/>
        <v>0</v>
      </c>
      <c r="G69" s="2"/>
      <c r="H69" s="6">
        <v>74</v>
      </c>
      <c r="I69" s="2"/>
      <c r="J69" s="7">
        <f t="shared" si="30"/>
        <v>9.9129269926322844E-4</v>
      </c>
      <c r="K69" s="2"/>
      <c r="L69" s="6">
        <f t="shared" si="31"/>
        <v>-74</v>
      </c>
      <c r="M69" s="2"/>
      <c r="N69" s="7">
        <f t="shared" si="32"/>
        <v>-1</v>
      </c>
      <c r="O69" s="11"/>
      <c r="P69" s="6">
        <v>580.58000000000004</v>
      </c>
      <c r="Q69" s="2"/>
      <c r="R69" s="7">
        <f t="shared" si="33"/>
        <v>1.2561135688672841E-3</v>
      </c>
      <c r="S69" s="2"/>
      <c r="T69" s="6">
        <v>446</v>
      </c>
      <c r="U69" s="2"/>
      <c r="V69" s="7">
        <f t="shared" si="34"/>
        <v>9.8867238589257604E-4</v>
      </c>
      <c r="W69" s="2"/>
      <c r="X69" s="6">
        <f t="shared" si="35"/>
        <v>134.58000000000004</v>
      </c>
      <c r="Y69" s="2"/>
      <c r="Z69" s="7">
        <f t="shared" si="36"/>
        <v>0.30174887892376689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SUM(OSRRefD22_11x_0)</f>
        <v>137.80000000000001</v>
      </c>
      <c r="E70" s="1"/>
      <c r="F70" s="5">
        <f t="shared" ref="F70:F77" si="37">IF(D$12=0,0,D70/D$12)</f>
        <v>1.67470700223193E-3</v>
      </c>
      <c r="G70" s="1"/>
      <c r="H70" s="1">
        <f>SUM(OSRRefH22_11x_0)</f>
        <v>0</v>
      </c>
      <c r="I70" s="1"/>
      <c r="J70" s="5">
        <f t="shared" ref="J70:J77" si="38">IF(H$12=0,0,H70/H$12)</f>
        <v>0</v>
      </c>
      <c r="K70" s="1"/>
      <c r="L70" s="1">
        <f t="shared" ref="L70:L77" si="39">+D70-H70</f>
        <v>137.80000000000001</v>
      </c>
      <c r="M70" s="1"/>
      <c r="N70" s="5">
        <f t="shared" ref="N70:N77" si="40">IF(H70=0,0,L70/H70)</f>
        <v>0</v>
      </c>
      <c r="O70" s="13"/>
      <c r="P70" s="1">
        <f>SUM(OSRRefP22_11x_0)</f>
        <v>1111.4100000000001</v>
      </c>
      <c r="Q70" s="1"/>
      <c r="R70" s="5">
        <f t="shared" ref="R70:R77" si="41">IF(P$12=0,0,P70/P$12)</f>
        <v>2.4045905500960909E-3</v>
      </c>
      <c r="S70" s="1"/>
      <c r="T70" s="1">
        <f>SUM(OSRRefT22_11x_0)</f>
        <v>0</v>
      </c>
      <c r="U70" s="1"/>
      <c r="V70" s="5">
        <f t="shared" ref="V70:V77" si="42">IF(T$12=0,0,T70/T$12)</f>
        <v>0</v>
      </c>
      <c r="W70" s="1"/>
      <c r="X70" s="1">
        <f t="shared" ref="X70:X77" si="43">+P70-T70</f>
        <v>1111.4100000000001</v>
      </c>
      <c r="Y70" s="1"/>
      <c r="Z70" s="5">
        <f t="shared" ref="Z70:Z77" si="44">IF(T70=0,0,X70/T70)</f>
        <v>0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>
        <v>137.80000000000001</v>
      </c>
      <c r="E71" s="2"/>
      <c r="F71" s="7">
        <f t="shared" si="37"/>
        <v>1.67470700223193E-3</v>
      </c>
      <c r="G71" s="2"/>
      <c r="H71" s="6"/>
      <c r="I71" s="2"/>
      <c r="J71" s="7">
        <f t="shared" si="38"/>
        <v>0</v>
      </c>
      <c r="K71" s="2"/>
      <c r="L71" s="6">
        <f t="shared" si="39"/>
        <v>137.80000000000001</v>
      </c>
      <c r="M71" s="2"/>
      <c r="N71" s="7">
        <f t="shared" si="40"/>
        <v>0</v>
      </c>
      <c r="O71" s="11"/>
      <c r="P71" s="6">
        <v>1111.4100000000001</v>
      </c>
      <c r="Q71" s="2"/>
      <c r="R71" s="7">
        <f t="shared" si="41"/>
        <v>2.4045905500960909E-3</v>
      </c>
      <c r="S71" s="2"/>
      <c r="T71" s="6"/>
      <c r="U71" s="2"/>
      <c r="V71" s="7">
        <f t="shared" si="42"/>
        <v>0</v>
      </c>
      <c r="W71" s="2"/>
      <c r="X71" s="6">
        <f t="shared" si="43"/>
        <v>1111.4100000000001</v>
      </c>
      <c r="Y71" s="2"/>
      <c r="Z71" s="7">
        <f t="shared" si="44"/>
        <v>0</v>
      </c>
    </row>
    <row r="72" spans="1:26" s="27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1992.34</v>
      </c>
      <c r="E72" s="1"/>
      <c r="F72" s="5">
        <f t="shared" si="37"/>
        <v>2.4213249265796537E-2</v>
      </c>
      <c r="G72" s="1"/>
      <c r="H72" s="1">
        <f>SUM(OSRRefH22_12x_0)</f>
        <v>370</v>
      </c>
      <c r="I72" s="1"/>
      <c r="J72" s="5">
        <f t="shared" si="38"/>
        <v>4.9564634963161422E-3</v>
      </c>
      <c r="K72" s="1"/>
      <c r="L72" s="1">
        <f t="shared" si="39"/>
        <v>1622.34</v>
      </c>
      <c r="M72" s="1"/>
      <c r="N72" s="5">
        <f t="shared" si="40"/>
        <v>4.3847027027027021</v>
      </c>
      <c r="O72" s="13"/>
      <c r="P72" s="1">
        <f>SUM(OSRRefP22_12x_0)</f>
        <v>5696.65</v>
      </c>
      <c r="Q72" s="1"/>
      <c r="R72" s="5">
        <f t="shared" si="41"/>
        <v>1.2324984260718271E-2</v>
      </c>
      <c r="S72" s="1"/>
      <c r="T72" s="1">
        <f>SUM(OSRRefT22_12x_0)</f>
        <v>2234</v>
      </c>
      <c r="U72" s="1"/>
      <c r="V72" s="5">
        <f t="shared" si="42"/>
        <v>4.9522289463767152E-3</v>
      </c>
      <c r="W72" s="1"/>
      <c r="X72" s="1">
        <f t="shared" si="43"/>
        <v>3462.6499999999996</v>
      </c>
      <c r="Y72" s="1"/>
      <c r="Z72" s="5">
        <f t="shared" si="44"/>
        <v>1.549977618621307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37"/>
        <v>0</v>
      </c>
      <c r="G73" s="2"/>
      <c r="H73" s="6"/>
      <c r="I73" s="2"/>
      <c r="J73" s="7">
        <f t="shared" si="38"/>
        <v>0</v>
      </c>
      <c r="K73" s="2"/>
      <c r="L73" s="6">
        <f t="shared" si="39"/>
        <v>0</v>
      </c>
      <c r="M73" s="2"/>
      <c r="N73" s="7">
        <f t="shared" si="40"/>
        <v>0</v>
      </c>
      <c r="O73" s="11"/>
      <c r="P73" s="6">
        <v>354.82</v>
      </c>
      <c r="Q73" s="2"/>
      <c r="R73" s="7">
        <f t="shared" si="41"/>
        <v>7.6767063368612378E-4</v>
      </c>
      <c r="S73" s="2"/>
      <c r="T73" s="6"/>
      <c r="U73" s="2"/>
      <c r="V73" s="7">
        <f t="shared" si="42"/>
        <v>0</v>
      </c>
      <c r="W73" s="2"/>
      <c r="X73" s="6">
        <f t="shared" si="43"/>
        <v>354.82</v>
      </c>
      <c r="Y73" s="2"/>
      <c r="Z73" s="7">
        <f t="shared" si="44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151.25</v>
      </c>
      <c r="Q74" s="2"/>
      <c r="R74" s="7">
        <f t="shared" si="41"/>
        <v>3.2723686191597491E-4</v>
      </c>
      <c r="S74" s="2"/>
      <c r="T74" s="6"/>
      <c r="U74" s="2"/>
      <c r="V74" s="7">
        <f t="shared" si="42"/>
        <v>0</v>
      </c>
      <c r="W74" s="2"/>
      <c r="X74" s="6">
        <f t="shared" si="43"/>
        <v>151.25</v>
      </c>
      <c r="Y74" s="2"/>
      <c r="Z74" s="7">
        <f t="shared" si="44"/>
        <v>0</v>
      </c>
    </row>
    <row r="75" spans="1:26" s="24" customFormat="1" hidden="1" outlineLevel="2" x14ac:dyDescent="0.25">
      <c r="A75" s="25"/>
      <c r="B75" s="11" t="str">
        <f>CONCATENATE("          ", "6241", " - ", "OFFICE EXPENSE")</f>
        <v xml:space="preserve">          6241 - OFFICE EXPENSE</v>
      </c>
      <c r="C75" s="11"/>
      <c r="D75" s="6"/>
      <c r="E75" s="2"/>
      <c r="F75" s="7">
        <f t="shared" si="37"/>
        <v>0</v>
      </c>
      <c r="G75" s="2"/>
      <c r="H75" s="6"/>
      <c r="I75" s="2"/>
      <c r="J75" s="7">
        <f t="shared" si="38"/>
        <v>0</v>
      </c>
      <c r="K75" s="2"/>
      <c r="L75" s="6">
        <f t="shared" si="39"/>
        <v>0</v>
      </c>
      <c r="M75" s="2"/>
      <c r="N75" s="7">
        <f t="shared" si="40"/>
        <v>0</v>
      </c>
      <c r="O75" s="11"/>
      <c r="P75" s="6">
        <v>328.56</v>
      </c>
      <c r="Q75" s="2"/>
      <c r="R75" s="7">
        <f t="shared" si="41"/>
        <v>7.1085582380900976E-4</v>
      </c>
      <c r="S75" s="2"/>
      <c r="T75" s="6"/>
      <c r="U75" s="2"/>
      <c r="V75" s="7">
        <f t="shared" si="42"/>
        <v>0</v>
      </c>
      <c r="W75" s="2"/>
      <c r="X75" s="6">
        <f t="shared" si="43"/>
        <v>328.56</v>
      </c>
      <c r="Y75" s="2"/>
      <c r="Z75" s="7">
        <f t="shared" si="44"/>
        <v>0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37"/>
        <v>0</v>
      </c>
      <c r="G76" s="2"/>
      <c r="H76" s="6"/>
      <c r="I76" s="2"/>
      <c r="J76" s="7">
        <f t="shared" si="38"/>
        <v>0</v>
      </c>
      <c r="K76" s="2"/>
      <c r="L76" s="6">
        <f t="shared" si="39"/>
        <v>0</v>
      </c>
      <c r="M76" s="2"/>
      <c r="N76" s="7">
        <f t="shared" si="40"/>
        <v>0</v>
      </c>
      <c r="O76" s="11"/>
      <c r="P76" s="6">
        <v>81.739999999999995</v>
      </c>
      <c r="Q76" s="2"/>
      <c r="R76" s="7">
        <f t="shared" si="41"/>
        <v>1.7684853615214407E-4</v>
      </c>
      <c r="S76" s="2"/>
      <c r="T76" s="6"/>
      <c r="U76" s="2"/>
      <c r="V76" s="7">
        <f t="shared" si="42"/>
        <v>0</v>
      </c>
      <c r="W76" s="2"/>
      <c r="X76" s="6">
        <f t="shared" si="43"/>
        <v>81.739999999999995</v>
      </c>
      <c r="Y76" s="2"/>
      <c r="Z76" s="7">
        <f t="shared" si="44"/>
        <v>0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6">
        <v>1992.34</v>
      </c>
      <c r="E77" s="2"/>
      <c r="F77" s="7">
        <f t="shared" si="37"/>
        <v>2.4213249265796537E-2</v>
      </c>
      <c r="G77" s="2"/>
      <c r="H77" s="6">
        <v>370</v>
      </c>
      <c r="I77" s="2"/>
      <c r="J77" s="7">
        <f t="shared" si="38"/>
        <v>4.9564634963161422E-3</v>
      </c>
      <c r="K77" s="2"/>
      <c r="L77" s="6">
        <f t="shared" si="39"/>
        <v>1622.34</v>
      </c>
      <c r="M77" s="2"/>
      <c r="N77" s="7">
        <f t="shared" si="40"/>
        <v>4.3847027027027021</v>
      </c>
      <c r="O77" s="11"/>
      <c r="P77" s="6">
        <v>4780.28</v>
      </c>
      <c r="Q77" s="2"/>
      <c r="R77" s="7">
        <f t="shared" si="41"/>
        <v>1.0342372405155018E-2</v>
      </c>
      <c r="S77" s="2"/>
      <c r="T77" s="6">
        <v>2234</v>
      </c>
      <c r="U77" s="2"/>
      <c r="V77" s="7">
        <f t="shared" si="42"/>
        <v>4.9522289463767152E-3</v>
      </c>
      <c r="W77" s="2"/>
      <c r="X77" s="6">
        <f t="shared" si="43"/>
        <v>2546.2799999999997</v>
      </c>
      <c r="Y77" s="2"/>
      <c r="Z77" s="7">
        <f t="shared" si="44"/>
        <v>1.1397851387645477</v>
      </c>
    </row>
    <row r="78" spans="1:26" s="27" customFormat="1" outlineLevel="1" collapsed="1" x14ac:dyDescent="0.25">
      <c r="A78" s="26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126.45</v>
      </c>
      <c r="E78" s="1"/>
      <c r="F78" s="5">
        <f t="shared" ref="F78:F81" si="45">IF(D$12=0,0,D78/D$12)</f>
        <v>1.5367685082164552E-3</v>
      </c>
      <c r="G78" s="1"/>
      <c r="H78" s="1">
        <f>SUM(OSRRefH22_13x_0)</f>
        <v>75</v>
      </c>
      <c r="I78" s="1"/>
      <c r="J78" s="5">
        <f t="shared" ref="J78:J81" si="46">IF(H$12=0,0,H78/H$12)</f>
        <v>1.0046885465505692E-3</v>
      </c>
      <c r="K78" s="1"/>
      <c r="L78" s="1">
        <f t="shared" ref="L78:L81" si="47">+D78-H78</f>
        <v>51.45</v>
      </c>
      <c r="M78" s="1"/>
      <c r="N78" s="5">
        <f t="shared" ref="N78:N81" si="48">IF(H78=0,0,L78/H78)</f>
        <v>0.68600000000000005</v>
      </c>
      <c r="O78" s="13"/>
      <c r="P78" s="1">
        <f>SUM(OSRRefP22_13x_0)</f>
        <v>958.15</v>
      </c>
      <c r="Q78" s="1"/>
      <c r="R78" s="5">
        <f t="shared" ref="R78:R81" si="49">IF(P$12=0,0,P78/P$12)</f>
        <v>2.0730049536845712E-3</v>
      </c>
      <c r="S78" s="1"/>
      <c r="T78" s="1">
        <f>SUM(OSRRefT22_13x_0)</f>
        <v>600</v>
      </c>
      <c r="U78" s="1"/>
      <c r="V78" s="5">
        <f t="shared" ref="V78:V81" si="50">IF(T$12=0,0,T78/T$12)</f>
        <v>1.3300525370752146E-3</v>
      </c>
      <c r="W78" s="1"/>
      <c r="X78" s="1">
        <f t="shared" ref="X78:X81" si="51">+P78-T78</f>
        <v>358.15</v>
      </c>
      <c r="Y78" s="1"/>
      <c r="Z78" s="5">
        <f t="shared" ref="Z78:Z81" si="52">IF(T78=0,0,X78/T78)</f>
        <v>0.59691666666666665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126.45</v>
      </c>
      <c r="E79" s="2"/>
      <c r="F79" s="7">
        <f t="shared" si="45"/>
        <v>1.5367685082164552E-3</v>
      </c>
      <c r="G79" s="2"/>
      <c r="H79" s="6">
        <v>75</v>
      </c>
      <c r="I79" s="2"/>
      <c r="J79" s="7">
        <f t="shared" si="46"/>
        <v>1.0046885465505692E-3</v>
      </c>
      <c r="K79" s="2"/>
      <c r="L79" s="6">
        <f t="shared" si="47"/>
        <v>51.45</v>
      </c>
      <c r="M79" s="2"/>
      <c r="N79" s="7">
        <f t="shared" si="48"/>
        <v>0.68600000000000005</v>
      </c>
      <c r="O79" s="11"/>
      <c r="P79" s="6">
        <v>958.15</v>
      </c>
      <c r="Q79" s="2"/>
      <c r="R79" s="7">
        <f t="shared" si="49"/>
        <v>2.0730049536845712E-3</v>
      </c>
      <c r="S79" s="2"/>
      <c r="T79" s="6">
        <v>600</v>
      </c>
      <c r="U79" s="2"/>
      <c r="V79" s="7">
        <f t="shared" si="50"/>
        <v>1.3300525370752146E-3</v>
      </c>
      <c r="W79" s="2"/>
      <c r="X79" s="6">
        <f t="shared" si="51"/>
        <v>358.15</v>
      </c>
      <c r="Y79" s="2"/>
      <c r="Z79" s="7">
        <f t="shared" si="52"/>
        <v>0.59691666666666665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45"/>
        <v>0</v>
      </c>
      <c r="G80" s="1"/>
      <c r="H80" s="1">
        <f>SUM(OSRRefH22_14x_0)</f>
        <v>0</v>
      </c>
      <c r="I80" s="1"/>
      <c r="J80" s="5">
        <f t="shared" si="46"/>
        <v>0</v>
      </c>
      <c r="K80" s="1"/>
      <c r="L80" s="1">
        <f t="shared" si="47"/>
        <v>0</v>
      </c>
      <c r="M80" s="1"/>
      <c r="N80" s="5">
        <f t="shared" si="48"/>
        <v>0</v>
      </c>
      <c r="O80" s="13"/>
      <c r="P80" s="1">
        <f>SUM(OSRRefP22_14x_0)</f>
        <v>96</v>
      </c>
      <c r="Q80" s="1"/>
      <c r="R80" s="5">
        <f t="shared" si="49"/>
        <v>2.0770075202600723E-4</v>
      </c>
      <c r="S80" s="1"/>
      <c r="T80" s="1">
        <f>SUM(OSRRefT22_14x_0)</f>
        <v>1000</v>
      </c>
      <c r="U80" s="1"/>
      <c r="V80" s="5">
        <f t="shared" si="50"/>
        <v>2.2167542284586908E-3</v>
      </c>
      <c r="W80" s="1"/>
      <c r="X80" s="1">
        <f t="shared" si="51"/>
        <v>-904</v>
      </c>
      <c r="Y80" s="1"/>
      <c r="Z80" s="5">
        <f t="shared" si="52"/>
        <v>-0.90400000000000003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45"/>
        <v>0</v>
      </c>
      <c r="G81" s="2"/>
      <c r="H81" s="6"/>
      <c r="I81" s="2"/>
      <c r="J81" s="7">
        <f t="shared" si="46"/>
        <v>0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>
        <v>96</v>
      </c>
      <c r="Q81" s="2"/>
      <c r="R81" s="7">
        <f t="shared" si="49"/>
        <v>2.0770075202600723E-4</v>
      </c>
      <c r="S81" s="2"/>
      <c r="T81" s="6">
        <v>1000</v>
      </c>
      <c r="U81" s="2"/>
      <c r="V81" s="7">
        <f t="shared" si="50"/>
        <v>2.2167542284586908E-3</v>
      </c>
      <c r="W81" s="2"/>
      <c r="X81" s="6">
        <f t="shared" si="51"/>
        <v>-904</v>
      </c>
      <c r="Y81" s="2"/>
      <c r="Z81" s="7">
        <f t="shared" si="52"/>
        <v>-0.90400000000000003</v>
      </c>
    </row>
    <row r="82" spans="1:26" s="53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1">
        <f>+D26-D28+D83</f>
        <v>20503.880000000008</v>
      </c>
      <c r="E85" s="14"/>
      <c r="F85" s="22">
        <f>IF(D$12=0,0,D85/D$12)</f>
        <v>0.24918716552193931</v>
      </c>
      <c r="G85" s="14"/>
      <c r="H85" s="21">
        <f>+H26-H28+H83</f>
        <v>17417.5331424</v>
      </c>
      <c r="I85" s="14"/>
      <c r="J85" s="22">
        <f>IF(H$12=0,0,H85/H$12)</f>
        <v>0.23332261409778968</v>
      </c>
      <c r="K85" s="15"/>
      <c r="L85" s="21">
        <f>+D85-H85</f>
        <v>3086.3468576000087</v>
      </c>
      <c r="M85" s="15"/>
      <c r="N85" s="22">
        <f>IF(H85=0,0,L85/H85)</f>
        <v>0.17719770258894046</v>
      </c>
      <c r="O85" s="29"/>
      <c r="P85" s="21">
        <f>+P26-P28+P83</f>
        <v>88326.860000000132</v>
      </c>
      <c r="Q85" s="14"/>
      <c r="R85" s="22">
        <f>IF(P$12=0,0,P85/P$12)</f>
        <v>0.19109953381349878</v>
      </c>
      <c r="S85" s="14"/>
      <c r="T85" s="21">
        <f>+T26-T28+T83</f>
        <v>76904.897401999973</v>
      </c>
      <c r="U85" s="14"/>
      <c r="V85" s="22">
        <f>IF(T$12=0,0,T85/T$12)</f>
        <v>0.17047925650506524</v>
      </c>
      <c r="W85" s="15"/>
      <c r="X85" s="21">
        <f>+P85-T85</f>
        <v>11421.962598000158</v>
      </c>
      <c r="Y85" s="15"/>
      <c r="Z85" s="22">
        <f>IF(T85=0,0,X85/T85)</f>
        <v>0.14852061421127546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7487.36</v>
      </c>
      <c r="E87" s="4"/>
      <c r="F87" s="12">
        <f>IF(D$12=0,0,D87/D$12)</f>
        <v>9.0995168506758067E-2</v>
      </c>
      <c r="G87" s="4"/>
      <c r="H87" s="4">
        <v>7895</v>
      </c>
      <c r="I87" s="4"/>
      <c r="J87" s="12">
        <f>IF(H$12=0,0,H87/H$12)</f>
        <v>0.1057602143335566</v>
      </c>
      <c r="K87" s="4"/>
      <c r="L87" s="4">
        <f>+D87-H87</f>
        <v>-407.64000000000033</v>
      </c>
      <c r="M87" s="4"/>
      <c r="N87" s="12">
        <f>IF(H87=0,0,L87/H87)</f>
        <v>-5.1632678910703021E-2</v>
      </c>
      <c r="O87" s="10"/>
      <c r="P87" s="4">
        <v>47107.67</v>
      </c>
      <c r="Q87" s="4"/>
      <c r="R87" s="12">
        <f>IF(P$12=0,0,P87/P$12)</f>
        <v>0.10191977588742687</v>
      </c>
      <c r="S87" s="4"/>
      <c r="T87" s="4">
        <v>54246</v>
      </c>
      <c r="U87" s="4"/>
      <c r="V87" s="12">
        <f>IF(T$12=0,0,T87/T$12)</f>
        <v>0.12025004987697015</v>
      </c>
      <c r="W87" s="4"/>
      <c r="X87" s="4">
        <f>+P87-T87</f>
        <v>-7138.3300000000017</v>
      </c>
      <c r="Y87" s="4"/>
      <c r="Z87" s="12">
        <f>IF(T87=0,0,X87/T87)</f>
        <v>-0.13159182243852086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1">
        <f>+D85-D87</f>
        <v>13016.520000000008</v>
      </c>
      <c r="E89" s="14"/>
      <c r="F89" s="32">
        <f>IF(D$12=0,0,D89/D$12)</f>
        <v>0.15819199701518122</v>
      </c>
      <c r="G89" s="14"/>
      <c r="H89" s="31">
        <f>+H85-H87</f>
        <v>9522.5331423999996</v>
      </c>
      <c r="I89" s="14"/>
      <c r="J89" s="32">
        <f>IF(H$12=0,0,H89/H$12)</f>
        <v>0.12756239976423309</v>
      </c>
      <c r="K89" s="15"/>
      <c r="L89" s="31">
        <f>D89-H89</f>
        <v>3493.9868576000081</v>
      </c>
      <c r="M89" s="15"/>
      <c r="N89" s="32">
        <f>IF(H89=0,0,L89/H89)</f>
        <v>0.36691779438841687</v>
      </c>
      <c r="O89" s="29"/>
      <c r="P89" s="31">
        <f>+P85-P87</f>
        <v>41219.190000000133</v>
      </c>
      <c r="Q89" s="14"/>
      <c r="R89" s="32">
        <f>IF(P$12=0,0,P89/P$12)</f>
        <v>8.9179757926071926E-2</v>
      </c>
      <c r="S89" s="14"/>
      <c r="T89" s="31">
        <f>+T85-T87</f>
        <v>22658.897401999973</v>
      </c>
      <c r="U89" s="14"/>
      <c r="V89" s="32">
        <f>IF(T$12=0,0,T89/T$12)</f>
        <v>5.0229206628095081E-2</v>
      </c>
      <c r="W89" s="15"/>
      <c r="X89" s="31">
        <f>P89-T89</f>
        <v>18560.29259800016</v>
      </c>
      <c r="Y89" s="15"/>
      <c r="Z89" s="32">
        <f>IF(T89=0,0,X89/T89)</f>
        <v>0.81911720013180989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3">
        <f>SUM(D89:D91)</f>
        <v>13016.520000000008</v>
      </c>
      <c r="E92" s="14"/>
      <c r="F92" s="30">
        <f>IF(D$12=0,0,D92/D$12)</f>
        <v>0.15819199701518122</v>
      </c>
      <c r="G92" s="14"/>
      <c r="H92" s="33">
        <f>SUM(H89:H91)</f>
        <v>9522.5331423999996</v>
      </c>
      <c r="I92" s="14"/>
      <c r="J92" s="30">
        <f>IF(H$12=0,0,H92/H$12)</f>
        <v>0.12756239976423309</v>
      </c>
      <c r="K92" s="15"/>
      <c r="L92" s="33">
        <f>+D92-H92</f>
        <v>3493.9868576000081</v>
      </c>
      <c r="M92" s="15"/>
      <c r="N92" s="30">
        <f>IF(H92=0,0,L92/H92)</f>
        <v>0.36691779438841687</v>
      </c>
      <c r="O92" s="29"/>
      <c r="P92" s="33">
        <f>SUM(P89:P91)</f>
        <v>41219.190000000133</v>
      </c>
      <c r="Q92" s="14"/>
      <c r="R92" s="30">
        <f>IF(P$12=0,0,P92/P$12)</f>
        <v>8.9179757926071926E-2</v>
      </c>
      <c r="S92" s="14"/>
      <c r="T92" s="33">
        <f>SUM(T89:T91)</f>
        <v>22658.897401999973</v>
      </c>
      <c r="U92" s="14"/>
      <c r="V92" s="30">
        <f>IF(T$12=0,0,T92/T$12)</f>
        <v>5.0229206628095081E-2</v>
      </c>
      <c r="W92" s="15"/>
      <c r="X92" s="33">
        <f>+P92-T92</f>
        <v>18560.29259800016</v>
      </c>
      <c r="Y92" s="15"/>
      <c r="Z92" s="30">
        <f>IF(T92=0,0,X92/T92)</f>
        <v>0.81911720013180989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9">
        <v>43908.494703356482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3" t="s">
        <v>314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7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","321", " - ", "Student Union C-Store")</f>
        <v>Department 321 - Student Union C-Store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48032.259999999995</v>
      </c>
      <c r="E12" s="4"/>
      <c r="F12" s="12"/>
      <c r="G12" s="4"/>
      <c r="H12" s="4">
        <f>SUM(OSRRefH13x_0)</f>
        <v>40098</v>
      </c>
      <c r="I12" s="4"/>
      <c r="J12" s="12"/>
      <c r="K12" s="4"/>
      <c r="L12" s="4">
        <f t="shared" ref="L12:L15" si="0">+D12-H12</f>
        <v>7934.2599999999948</v>
      </c>
      <c r="M12" s="4"/>
      <c r="N12" s="12">
        <f t="shared" ref="N12:N15" si="1">IF(H12=0,0,L12/H12)</f>
        <v>0.19787171429996495</v>
      </c>
      <c r="O12" s="10"/>
      <c r="P12" s="4">
        <f>SUM(OSRRefP13x_0)</f>
        <v>261282.44</v>
      </c>
      <c r="Q12" s="4"/>
      <c r="R12" s="12"/>
      <c r="S12" s="4"/>
      <c r="T12" s="4">
        <f>SUM(OSRRefT13x_0)</f>
        <v>229820</v>
      </c>
      <c r="U12" s="4"/>
      <c r="V12" s="12"/>
      <c r="W12" s="4"/>
      <c r="X12" s="4">
        <f t="shared" ref="X12:X15" si="2">+P12-T12</f>
        <v>31462.440000000002</v>
      </c>
      <c r="Y12" s="4"/>
      <c r="Z12" s="12">
        <f t="shared" ref="Z12:Z15" si="3">IF(T12=0,0,X12/T12)</f>
        <v>0.13690035680097468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--11236.49</f>
        <v>11236.49</v>
      </c>
      <c r="E13" s="2"/>
      <c r="F13" s="19"/>
      <c r="G13" s="2"/>
      <c r="H13" s="2"/>
      <c r="I13" s="2"/>
      <c r="J13" s="19"/>
      <c r="K13" s="2"/>
      <c r="L13" s="2">
        <f t="shared" si="0"/>
        <v>11236.49</v>
      </c>
      <c r="M13" s="2"/>
      <c r="N13" s="19">
        <f t="shared" si="1"/>
        <v>0</v>
      </c>
      <c r="O13" s="11"/>
      <c r="P13" s="2">
        <f>--60670.51</f>
        <v>60670.51</v>
      </c>
      <c r="Q13" s="2"/>
      <c r="R13" s="19"/>
      <c r="S13" s="2"/>
      <c r="T13" s="2"/>
      <c r="U13" s="2"/>
      <c r="V13" s="19"/>
      <c r="W13" s="2"/>
      <c r="X13" s="2">
        <f t="shared" si="2"/>
        <v>60670.51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40098</v>
      </c>
      <c r="I14" s="2"/>
      <c r="J14" s="19"/>
      <c r="K14" s="2"/>
      <c r="L14" s="2">
        <f t="shared" si="0"/>
        <v>-40098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229820</v>
      </c>
      <c r="U14" s="2"/>
      <c r="V14" s="19"/>
      <c r="W14" s="2"/>
      <c r="X14" s="2">
        <f t="shared" si="2"/>
        <v>-229820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--36795.77</f>
        <v>36795.769999999997</v>
      </c>
      <c r="E15" s="2"/>
      <c r="F15" s="19"/>
      <c r="G15" s="2"/>
      <c r="H15" s="2"/>
      <c r="I15" s="2"/>
      <c r="J15" s="19"/>
      <c r="K15" s="2"/>
      <c r="L15" s="2">
        <f t="shared" si="0"/>
        <v>36795.769999999997</v>
      </c>
      <c r="M15" s="2"/>
      <c r="N15" s="19">
        <f t="shared" si="1"/>
        <v>0</v>
      </c>
      <c r="O15" s="11"/>
      <c r="P15" s="2">
        <f>--200611.93</f>
        <v>200611.93</v>
      </c>
      <c r="Q15" s="2"/>
      <c r="R15" s="19"/>
      <c r="S15" s="2"/>
      <c r="T15" s="2"/>
      <c r="U15" s="2"/>
      <c r="V15" s="19"/>
      <c r="W15" s="2"/>
      <c r="X15" s="2">
        <f t="shared" si="2"/>
        <v>200611.93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22959.29</v>
      </c>
      <c r="E17" s="4"/>
      <c r="F17" s="12">
        <f t="shared" ref="F17:F20" si="4">IF(D$12=0,0,D17/D$12)</f>
        <v>0.47799728765625443</v>
      </c>
      <c r="G17" s="4"/>
      <c r="H17" s="4">
        <f>SUM(OSRRefH16x_0)</f>
        <v>19167</v>
      </c>
      <c r="I17" s="4"/>
      <c r="J17" s="12">
        <f t="shared" ref="J17:J20" si="5">IF(H$12=0,0,H17/H$12)</f>
        <v>0.47800389046835251</v>
      </c>
      <c r="K17" s="4"/>
      <c r="L17" s="4">
        <f t="shared" ref="L17:L20" si="6">+D17-H17</f>
        <v>3792.2900000000009</v>
      </c>
      <c r="M17" s="4"/>
      <c r="N17" s="12">
        <f t="shared" ref="N17:N20" si="7">IF(H17=0,0,L17/H17)</f>
        <v>0.19785516773621334</v>
      </c>
      <c r="O17" s="10"/>
      <c r="P17" s="4">
        <f>SUM(OSRRefP16x_0)</f>
        <v>125220.49</v>
      </c>
      <c r="Q17" s="4"/>
      <c r="R17" s="12">
        <f t="shared" ref="R17:R20" si="8">IF(P$12=0,0,P17/P$12)</f>
        <v>0.47925337041402399</v>
      </c>
      <c r="S17" s="4"/>
      <c r="T17" s="4">
        <f>SUM(OSRRefT16x_0)</f>
        <v>109854</v>
      </c>
      <c r="U17" s="4"/>
      <c r="V17" s="12">
        <f t="shared" ref="V17:V20" si="9">IF(T$12=0,0,T17/T$12)</f>
        <v>0.47800017404925593</v>
      </c>
      <c r="W17" s="4"/>
      <c r="X17" s="4">
        <f t="shared" ref="X17:X20" si="10">+P17-T17</f>
        <v>15366.490000000005</v>
      </c>
      <c r="Y17" s="4"/>
      <c r="Z17" s="12">
        <f t="shared" ref="Z17:Z20" si="11">IF(T17=0,0,X17/T17)</f>
        <v>0.13988102390445506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19167</v>
      </c>
      <c r="I18" s="2"/>
      <c r="J18" s="19">
        <f t="shared" si="5"/>
        <v>0.47800389046835251</v>
      </c>
      <c r="K18" s="2"/>
      <c r="L18" s="2">
        <f t="shared" si="6"/>
        <v>-19167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109854</v>
      </c>
      <c r="U18" s="2"/>
      <c r="V18" s="19">
        <f t="shared" si="9"/>
        <v>0.47800017404925593</v>
      </c>
      <c r="W18" s="2"/>
      <c r="X18" s="2">
        <f t="shared" si="10"/>
        <v>-109854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19693.16</v>
      </c>
      <c r="E19" s="2"/>
      <c r="F19" s="19">
        <f t="shared" si="4"/>
        <v>0.40999861343188937</v>
      </c>
      <c r="G19" s="2"/>
      <c r="H19" s="2"/>
      <c r="I19" s="2"/>
      <c r="J19" s="19">
        <f t="shared" si="5"/>
        <v>0</v>
      </c>
      <c r="K19" s="2"/>
      <c r="L19" s="2">
        <f t="shared" si="6"/>
        <v>19693.16</v>
      </c>
      <c r="M19" s="2"/>
      <c r="N19" s="19">
        <f t="shared" si="7"/>
        <v>0</v>
      </c>
      <c r="O19" s="11"/>
      <c r="P19" s="2">
        <v>124888.11</v>
      </c>
      <c r="Q19" s="2"/>
      <c r="R19" s="19">
        <f t="shared" si="8"/>
        <v>0.47798126043219741</v>
      </c>
      <c r="S19" s="2"/>
      <c r="T19" s="2"/>
      <c r="U19" s="2"/>
      <c r="V19" s="19">
        <f t="shared" si="9"/>
        <v>0</v>
      </c>
      <c r="W19" s="2"/>
      <c r="X19" s="2">
        <f t="shared" si="10"/>
        <v>124888.11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3266.13</v>
      </c>
      <c r="E20" s="2"/>
      <c r="F20" s="19">
        <f t="shared" si="4"/>
        <v>6.7998674224365049E-2</v>
      </c>
      <c r="G20" s="2"/>
      <c r="H20" s="2"/>
      <c r="I20" s="2"/>
      <c r="J20" s="19">
        <f t="shared" si="5"/>
        <v>0</v>
      </c>
      <c r="K20" s="2"/>
      <c r="L20" s="2">
        <f t="shared" si="6"/>
        <v>3266.13</v>
      </c>
      <c r="M20" s="2"/>
      <c r="N20" s="19">
        <f t="shared" si="7"/>
        <v>0</v>
      </c>
      <c r="O20" s="11"/>
      <c r="P20" s="2">
        <v>332.38</v>
      </c>
      <c r="Q20" s="2"/>
      <c r="R20" s="19">
        <f t="shared" si="8"/>
        <v>1.2721099818265628E-3</v>
      </c>
      <c r="S20" s="2"/>
      <c r="T20" s="2"/>
      <c r="U20" s="2"/>
      <c r="V20" s="19">
        <f t="shared" si="9"/>
        <v>0</v>
      </c>
      <c r="W20" s="2"/>
      <c r="X20" s="2">
        <f t="shared" si="10"/>
        <v>332.38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D12-D17</f>
        <v>25072.969999999994</v>
      </c>
      <c r="E22" s="14"/>
      <c r="F22" s="22">
        <f>IF(D$12=0,0,D22/D$12)</f>
        <v>0.52200271234374562</v>
      </c>
      <c r="G22" s="14"/>
      <c r="H22" s="21">
        <f>H12-H17</f>
        <v>20931</v>
      </c>
      <c r="I22" s="14"/>
      <c r="J22" s="22">
        <f>IF(H$12=0,0,H22/H$12)</f>
        <v>0.52199610953164743</v>
      </c>
      <c r="K22" s="15"/>
      <c r="L22" s="21">
        <f>+D22-H22</f>
        <v>4141.9699999999939</v>
      </c>
      <c r="M22" s="15"/>
      <c r="N22" s="22">
        <f>IF(H22=0,0,L22/H22)</f>
        <v>0.19788686637045502</v>
      </c>
      <c r="O22" s="29"/>
      <c r="P22" s="21">
        <f>P12-P17</f>
        <v>136061.95000000001</v>
      </c>
      <c r="Q22" s="14"/>
      <c r="R22" s="22">
        <f>IF(P$12=0,0,P22/P$12)</f>
        <v>0.52074662958597606</v>
      </c>
      <c r="S22" s="14"/>
      <c r="T22" s="21">
        <f>T12-T17</f>
        <v>119966</v>
      </c>
      <c r="U22" s="14"/>
      <c r="V22" s="22">
        <f>IF(T$12=0,0,T22/T$12)</f>
        <v>0.52199982595074401</v>
      </c>
      <c r="W22" s="15"/>
      <c r="X22" s="21">
        <f>+P22-T22</f>
        <v>16095.950000000012</v>
      </c>
      <c r="Y22" s="15"/>
      <c r="Z22" s="22">
        <f>IF(T22=0,0,X22/T22)</f>
        <v>0.13417093176399988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9827.49</v>
      </c>
      <c r="E24" s="20"/>
      <c r="F24" s="34">
        <f t="shared" ref="F24:F33" si="12">IF(D$12=0,0,D24/D$12)</f>
        <v>0.20460186549623111</v>
      </c>
      <c r="G24" s="20"/>
      <c r="H24" s="20">
        <f>SUM(OSRRefH22x_0)</f>
        <v>16524.053598653853</v>
      </c>
      <c r="I24" s="20"/>
      <c r="J24" s="34">
        <f t="shared" ref="J24:J33" si="13">IF(H$12=0,0,H24/H$12)</f>
        <v>0.41209171526394961</v>
      </c>
      <c r="K24" s="4"/>
      <c r="L24" s="20">
        <f t="shared" ref="L24:L33" si="14">+D24-H24</f>
        <v>-6696.5635986538528</v>
      </c>
      <c r="M24" s="4"/>
      <c r="N24" s="34">
        <f t="shared" ref="N24:N33" si="15">IF(H24=0,0,L24/H24)</f>
        <v>-0.40526155151175464</v>
      </c>
      <c r="O24" s="10"/>
      <c r="P24" s="20">
        <f>SUM(OSRRefP22x_0)</f>
        <v>99170.91</v>
      </c>
      <c r="Q24" s="20"/>
      <c r="R24" s="34">
        <f t="shared" ref="R24:R33" si="16">IF(P$12=0,0,P24/P$12)</f>
        <v>0.37955443924972532</v>
      </c>
      <c r="S24" s="20"/>
      <c r="T24" s="20">
        <f>SUM(OSRRefT22x_0)</f>
        <v>108085.58767197118</v>
      </c>
      <c r="U24" s="20"/>
      <c r="V24" s="34">
        <f t="shared" ref="V24:V33" si="17">IF(T$12=0,0,T24/T$12)</f>
        <v>0.47030540280206762</v>
      </c>
      <c r="W24" s="4"/>
      <c r="X24" s="20">
        <f t="shared" ref="X24:X33" si="18">+P24-T24</f>
        <v>-8914.6776719711779</v>
      </c>
      <c r="Y24" s="4"/>
      <c r="Z24" s="34">
        <f t="shared" ref="Z24:Z33" si="19">IF(T24=0,0,X24/T24)</f>
        <v>-8.2477949780190143E-2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381.89</v>
      </c>
      <c r="E25" s="1"/>
      <c r="F25" s="5">
        <f t="shared" si="12"/>
        <v>7.9506981349617943E-3</v>
      </c>
      <c r="G25" s="1"/>
      <c r="H25" s="1">
        <f>SUM(OSRRefH22_0x_0)</f>
        <v>1487.5022525000002</v>
      </c>
      <c r="I25" s="1"/>
      <c r="J25" s="5">
        <f t="shared" si="13"/>
        <v>3.7096669472292884E-2</v>
      </c>
      <c r="K25" s="1"/>
      <c r="L25" s="1">
        <f t="shared" si="14"/>
        <v>-1105.6122525000001</v>
      </c>
      <c r="M25" s="1"/>
      <c r="N25" s="5">
        <f t="shared" si="15"/>
        <v>-0.74326761565693822</v>
      </c>
      <c r="O25" s="13"/>
      <c r="P25" s="1">
        <f>SUM(OSRRefP22_0x_0)</f>
        <v>9799.9699999999993</v>
      </c>
      <c r="Q25" s="1"/>
      <c r="R25" s="5">
        <f t="shared" si="16"/>
        <v>3.7507189537880924E-2</v>
      </c>
      <c r="S25" s="1"/>
      <c r="T25" s="1">
        <f>SUM(OSRRefT22_0x_0)</f>
        <v>11675.422143125001</v>
      </c>
      <c r="U25" s="1"/>
      <c r="V25" s="5">
        <f t="shared" si="17"/>
        <v>5.0802463419741539E-2</v>
      </c>
      <c r="W25" s="1"/>
      <c r="X25" s="1">
        <f t="shared" si="18"/>
        <v>-1875.4521431250014</v>
      </c>
      <c r="Y25" s="1"/>
      <c r="Z25" s="5">
        <f t="shared" si="19"/>
        <v>-0.16063249106837219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266.63</v>
      </c>
      <c r="E26" s="2"/>
      <c r="F26" s="7">
        <f t="shared" si="12"/>
        <v>5.5510608911594006E-3</v>
      </c>
      <c r="G26" s="2"/>
      <c r="H26" s="6">
        <v>158.91425065384598</v>
      </c>
      <c r="I26" s="2"/>
      <c r="J26" s="7">
        <f t="shared" si="13"/>
        <v>3.9631465572808116E-3</v>
      </c>
      <c r="K26" s="2"/>
      <c r="L26" s="6">
        <f t="shared" si="14"/>
        <v>107.71574934615401</v>
      </c>
      <c r="M26" s="2"/>
      <c r="N26" s="7">
        <f t="shared" si="15"/>
        <v>0.67782309580772082</v>
      </c>
      <c r="O26" s="11"/>
      <c r="P26" s="6">
        <v>2104.1999999999998</v>
      </c>
      <c r="Q26" s="2"/>
      <c r="R26" s="7">
        <f t="shared" si="16"/>
        <v>8.0533540639011175E-3</v>
      </c>
      <c r="S26" s="2"/>
      <c r="T26" s="6">
        <v>1477.917998971152</v>
      </c>
      <c r="U26" s="2"/>
      <c r="V26" s="7">
        <f t="shared" si="17"/>
        <v>6.4307632015105382E-3</v>
      </c>
      <c r="W26" s="2"/>
      <c r="X26" s="6">
        <f t="shared" si="18"/>
        <v>626.28200102884784</v>
      </c>
      <c r="Y26" s="2"/>
      <c r="Z26" s="7">
        <f t="shared" si="19"/>
        <v>0.42375964124182269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101.39</v>
      </c>
      <c r="E27" s="2"/>
      <c r="F27" s="7">
        <f t="shared" si="12"/>
        <v>2.1108729841152595E-3</v>
      </c>
      <c r="G27" s="2"/>
      <c r="H27" s="6">
        <v>153.90714692307699</v>
      </c>
      <c r="I27" s="2"/>
      <c r="J27" s="7">
        <f t="shared" si="13"/>
        <v>3.8382748995729713E-3</v>
      </c>
      <c r="K27" s="2"/>
      <c r="L27" s="6">
        <f t="shared" si="14"/>
        <v>-52.517146923076993</v>
      </c>
      <c r="M27" s="2"/>
      <c r="N27" s="7">
        <f t="shared" si="15"/>
        <v>-0.34122617417711693</v>
      </c>
      <c r="O27" s="11"/>
      <c r="P27" s="6">
        <v>743.75</v>
      </c>
      <c r="Q27" s="2"/>
      <c r="R27" s="7">
        <f t="shared" si="16"/>
        <v>2.8465364913156811E-3</v>
      </c>
      <c r="S27" s="2"/>
      <c r="T27" s="6">
        <v>1036.7824305769218</v>
      </c>
      <c r="U27" s="2"/>
      <c r="V27" s="7">
        <f t="shared" si="17"/>
        <v>4.5112802653246966E-3</v>
      </c>
      <c r="W27" s="2"/>
      <c r="X27" s="6">
        <f t="shared" si="18"/>
        <v>-293.0324305769218</v>
      </c>
      <c r="Y27" s="2"/>
      <c r="Z27" s="7">
        <f t="shared" si="19"/>
        <v>-0.28263637763794158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690.5</v>
      </c>
      <c r="I28" s="2"/>
      <c r="J28" s="7">
        <f t="shared" si="13"/>
        <v>1.7220310239912214E-2</v>
      </c>
      <c r="K28" s="2"/>
      <c r="L28" s="6">
        <f t="shared" si="14"/>
        <v>-690.5</v>
      </c>
      <c r="M28" s="2"/>
      <c r="N28" s="7">
        <f t="shared" si="15"/>
        <v>-1</v>
      </c>
      <c r="O28" s="11"/>
      <c r="P28" s="6">
        <v>4676.5</v>
      </c>
      <c r="Q28" s="2"/>
      <c r="R28" s="7">
        <f t="shared" si="16"/>
        <v>1.7898256002202063E-2</v>
      </c>
      <c r="S28" s="2"/>
      <c r="T28" s="6">
        <v>5524</v>
      </c>
      <c r="U28" s="2"/>
      <c r="V28" s="7">
        <f t="shared" si="17"/>
        <v>2.4036202245235401E-2</v>
      </c>
      <c r="W28" s="2"/>
      <c r="X28" s="6">
        <f t="shared" si="18"/>
        <v>-847.5</v>
      </c>
      <c r="Y28" s="2"/>
      <c r="Z28" s="7">
        <f t="shared" si="19"/>
        <v>-0.15342143374366402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13.87</v>
      </c>
      <c r="E29" s="2"/>
      <c r="F29" s="7">
        <f t="shared" si="12"/>
        <v>2.887642596871353E-4</v>
      </c>
      <c r="G29" s="2"/>
      <c r="H29" s="6">
        <v>21.060977999999999</v>
      </c>
      <c r="I29" s="2"/>
      <c r="J29" s="7">
        <f t="shared" si="13"/>
        <v>5.2523761783630101E-4</v>
      </c>
      <c r="K29" s="2"/>
      <c r="L29" s="6">
        <f t="shared" si="14"/>
        <v>-7.1909779999999994</v>
      </c>
      <c r="M29" s="2"/>
      <c r="N29" s="7">
        <f t="shared" si="15"/>
        <v>-0.34143609095456062</v>
      </c>
      <c r="O29" s="11"/>
      <c r="P29" s="6">
        <v>107.65</v>
      </c>
      <c r="Q29" s="2"/>
      <c r="R29" s="7">
        <f t="shared" si="16"/>
        <v>4.120062565245487E-4</v>
      </c>
      <c r="S29" s="2"/>
      <c r="T29" s="6">
        <v>141.87549050000001</v>
      </c>
      <c r="U29" s="2"/>
      <c r="V29" s="7">
        <f t="shared" si="17"/>
        <v>6.173330889391698E-4</v>
      </c>
      <c r="W29" s="2"/>
      <c r="X29" s="6">
        <f t="shared" si="18"/>
        <v>-34.225490500000006</v>
      </c>
      <c r="Y29" s="2"/>
      <c r="Z29" s="7">
        <f t="shared" si="19"/>
        <v>-0.24123610342689883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178.57866923076901</v>
      </c>
      <c r="I30" s="2"/>
      <c r="J30" s="7">
        <f t="shared" si="13"/>
        <v>4.4535555197458476E-3</v>
      </c>
      <c r="K30" s="2"/>
      <c r="L30" s="6">
        <f t="shared" si="14"/>
        <v>-178.57866923076901</v>
      </c>
      <c r="M30" s="2"/>
      <c r="N30" s="7">
        <f t="shared" si="15"/>
        <v>-1</v>
      </c>
      <c r="O30" s="11"/>
      <c r="P30" s="6">
        <v>670.55</v>
      </c>
      <c r="Q30" s="2"/>
      <c r="R30" s="7">
        <f t="shared" si="16"/>
        <v>2.5663798914308976E-3</v>
      </c>
      <c r="S30" s="2"/>
      <c r="T30" s="6">
        <v>1507.2890057692309</v>
      </c>
      <c r="U30" s="2"/>
      <c r="V30" s="7">
        <f t="shared" si="17"/>
        <v>6.5585632484954784E-3</v>
      </c>
      <c r="W30" s="2"/>
      <c r="X30" s="6">
        <f t="shared" si="18"/>
        <v>-836.73900576923097</v>
      </c>
      <c r="Y30" s="2"/>
      <c r="Z30" s="7">
        <f t="shared" si="19"/>
        <v>-0.55512844754162394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41.529923076923097</v>
      </c>
      <c r="I32" s="2"/>
      <c r="J32" s="7">
        <f t="shared" si="13"/>
        <v>1.0357105859874084E-3</v>
      </c>
      <c r="K32" s="2"/>
      <c r="L32" s="6">
        <f t="shared" si="14"/>
        <v>-41.529923076923097</v>
      </c>
      <c r="M32" s="2"/>
      <c r="N32" s="7">
        <f t="shared" si="15"/>
        <v>-1</v>
      </c>
      <c r="O32" s="11"/>
      <c r="P32" s="6">
        <v>1098.8</v>
      </c>
      <c r="Q32" s="2"/>
      <c r="R32" s="7">
        <f t="shared" si="16"/>
        <v>4.2054108190355231E-3</v>
      </c>
      <c r="S32" s="2"/>
      <c r="T32" s="6">
        <v>350.53232692307699</v>
      </c>
      <c r="U32" s="2"/>
      <c r="V32" s="7">
        <f t="shared" si="17"/>
        <v>1.525247267091972E-3</v>
      </c>
      <c r="W32" s="2"/>
      <c r="X32" s="6">
        <f t="shared" si="18"/>
        <v>748.26767307692296</v>
      </c>
      <c r="Y32" s="2"/>
      <c r="Z32" s="7">
        <f t="shared" si="19"/>
        <v>2.1346609587911916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243.01128461538499</v>
      </c>
      <c r="I33" s="2"/>
      <c r="J33" s="7">
        <f t="shared" si="13"/>
        <v>6.060434051957329E-3</v>
      </c>
      <c r="K33" s="2"/>
      <c r="L33" s="6">
        <f t="shared" si="14"/>
        <v>-243.01128461538499</v>
      </c>
      <c r="M33" s="2"/>
      <c r="N33" s="7">
        <f t="shared" si="15"/>
        <v>-1</v>
      </c>
      <c r="O33" s="11"/>
      <c r="P33" s="6">
        <v>398.52</v>
      </c>
      <c r="Q33" s="2"/>
      <c r="R33" s="7">
        <f t="shared" si="16"/>
        <v>1.5252460134710928E-3</v>
      </c>
      <c r="S33" s="2"/>
      <c r="T33" s="6">
        <v>1637.0248903846182</v>
      </c>
      <c r="U33" s="2"/>
      <c r="V33" s="7">
        <f t="shared" si="17"/>
        <v>7.1230741031442788E-3</v>
      </c>
      <c r="W33" s="2"/>
      <c r="X33" s="6">
        <f t="shared" si="18"/>
        <v>-1238.5048903846182</v>
      </c>
      <c r="Y33" s="2"/>
      <c r="Z33" s="7">
        <f t="shared" si="19"/>
        <v>-0.75655837468276499</v>
      </c>
    </row>
    <row r="34" spans="1:26" s="27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5281.6900000000005</v>
      </c>
      <c r="E34" s="1"/>
      <c r="F34" s="5">
        <f t="shared" ref="F34:F44" si="20">IF(D$12=0,0,D34/D$12)</f>
        <v>0.10996130517281513</v>
      </c>
      <c r="G34" s="1"/>
      <c r="H34" s="1">
        <f>SUM(OSRRefH22_1x_0)</f>
        <v>7996.5513461538503</v>
      </c>
      <c r="I34" s="1"/>
      <c r="J34" s="5">
        <f t="shared" ref="J34:J44" si="21">IF(H$12=0,0,H34/H$12)</f>
        <v>0.19942519193360891</v>
      </c>
      <c r="K34" s="1"/>
      <c r="L34" s="1">
        <f t="shared" ref="L34:L44" si="22">+D34-H34</f>
        <v>-2714.8613461538498</v>
      </c>
      <c r="M34" s="1"/>
      <c r="N34" s="5">
        <f t="shared" ref="N34:N44" si="23">IF(H34=0,0,L34/H34)</f>
        <v>-0.339504022250746</v>
      </c>
      <c r="O34" s="13"/>
      <c r="P34" s="1">
        <f>SUM(OSRRefP22_1x_0)</f>
        <v>44891.28</v>
      </c>
      <c r="Q34" s="1"/>
      <c r="R34" s="5">
        <f t="shared" ref="R34:R44" si="24">IF(P$12=0,0,P34/P$12)</f>
        <v>0.1718113165201611</v>
      </c>
      <c r="S34" s="1"/>
      <c r="T34" s="1">
        <f>SUM(OSRRefT22_1x_0)</f>
        <v>53691.165528846177</v>
      </c>
      <c r="U34" s="1"/>
      <c r="V34" s="5">
        <f t="shared" ref="V34:V44" si="25">IF(T$12=0,0,T34/T$12)</f>
        <v>0.23362268527041238</v>
      </c>
      <c r="W34" s="1"/>
      <c r="X34" s="1">
        <f t="shared" ref="X34:X44" si="26">+P34-T34</f>
        <v>-8799.8855288461782</v>
      </c>
      <c r="Y34" s="1"/>
      <c r="Z34" s="5">
        <f t="shared" ref="Z34:Z44" si="27">IF(T34=0,0,X34/T34)</f>
        <v>-0.16389820265902669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1972.67134615385</v>
      </c>
      <c r="I35" s="2"/>
      <c r="J35" s="7">
        <f t="shared" si="21"/>
        <v>4.9196252834401967E-2</v>
      </c>
      <c r="K35" s="2"/>
      <c r="L35" s="6">
        <f t="shared" si="22"/>
        <v>-1972.67134615385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16650.28552884618</v>
      </c>
      <c r="U35" s="2"/>
      <c r="V35" s="7">
        <f t="shared" si="25"/>
        <v>7.2449245186868766E-2</v>
      </c>
      <c r="W35" s="2"/>
      <c r="X35" s="6">
        <f t="shared" si="26"/>
        <v>-16650.28552884618</v>
      </c>
      <c r="Y35" s="2"/>
      <c r="Z35" s="7">
        <f t="shared" si="27"/>
        <v>-1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>
        <v>-800</v>
      </c>
      <c r="E36" s="2"/>
      <c r="F36" s="7">
        <f t="shared" si="20"/>
        <v>-1.6655472800988339E-2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-800</v>
      </c>
      <c r="M36" s="2"/>
      <c r="N36" s="7">
        <f t="shared" si="23"/>
        <v>0</v>
      </c>
      <c r="O36" s="11"/>
      <c r="P36" s="6">
        <v>10272</v>
      </c>
      <c r="Q36" s="2"/>
      <c r="R36" s="7">
        <f t="shared" si="24"/>
        <v>3.9313778606782757E-2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10272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6">
        <v>903.53</v>
      </c>
      <c r="E39" s="2"/>
      <c r="F39" s="7">
        <f t="shared" si="20"/>
        <v>1.8810899174846241E-2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903.53</v>
      </c>
      <c r="M39" s="2"/>
      <c r="N39" s="7">
        <f t="shared" si="23"/>
        <v>0</v>
      </c>
      <c r="O39" s="11"/>
      <c r="P39" s="6">
        <v>3256.8</v>
      </c>
      <c r="Q39" s="2"/>
      <c r="R39" s="7">
        <f t="shared" si="24"/>
        <v>1.2464672329300049E-2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3256.8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6">
        <v>2276.31</v>
      </c>
      <c r="E40" s="2"/>
      <c r="F40" s="7">
        <f t="shared" si="20"/>
        <v>4.7391274114522201E-2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2276.31</v>
      </c>
      <c r="M40" s="2"/>
      <c r="N40" s="7">
        <f t="shared" si="23"/>
        <v>0</v>
      </c>
      <c r="O40" s="11"/>
      <c r="P40" s="6">
        <v>9580.61</v>
      </c>
      <c r="Q40" s="2"/>
      <c r="R40" s="7">
        <f t="shared" si="24"/>
        <v>3.6667638284455704E-2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9580.61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6">
        <v>2901.85</v>
      </c>
      <c r="E41" s="2"/>
      <c r="F41" s="7">
        <f t="shared" si="20"/>
        <v>6.0414604684435005E-2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2901.85</v>
      </c>
      <c r="M41" s="2"/>
      <c r="N41" s="7">
        <f t="shared" si="23"/>
        <v>0</v>
      </c>
      <c r="O41" s="11"/>
      <c r="P41" s="6">
        <v>20727.560000000001</v>
      </c>
      <c r="Q41" s="2"/>
      <c r="R41" s="7">
        <f t="shared" si="24"/>
        <v>7.9330091987812115E-2</v>
      </c>
      <c r="S41" s="2"/>
      <c r="T41" s="6">
        <v>1785</v>
      </c>
      <c r="U41" s="2"/>
      <c r="V41" s="7">
        <f t="shared" si="25"/>
        <v>7.7669480462971017E-3</v>
      </c>
      <c r="W41" s="2"/>
      <c r="X41" s="6">
        <f t="shared" si="26"/>
        <v>18942.560000000001</v>
      </c>
      <c r="Y41" s="2"/>
      <c r="Z41" s="7">
        <f t="shared" si="27"/>
        <v>10.61207843137255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6023.88</v>
      </c>
      <c r="I42" s="2"/>
      <c r="J42" s="7">
        <f t="shared" si="21"/>
        <v>0.15022893909920695</v>
      </c>
      <c r="K42" s="2"/>
      <c r="L42" s="6">
        <f t="shared" si="22"/>
        <v>-6023.88</v>
      </c>
      <c r="M42" s="2"/>
      <c r="N42" s="7">
        <f t="shared" si="23"/>
        <v>-1</v>
      </c>
      <c r="O42" s="11"/>
      <c r="P42" s="6">
        <v>1054.31</v>
      </c>
      <c r="Q42" s="2"/>
      <c r="R42" s="7">
        <f t="shared" si="24"/>
        <v>4.0351353118104685E-3</v>
      </c>
      <c r="S42" s="2"/>
      <c r="T42" s="6">
        <v>35255.879999999997</v>
      </c>
      <c r="U42" s="2"/>
      <c r="V42" s="7">
        <f t="shared" si="25"/>
        <v>0.15340649203724652</v>
      </c>
      <c r="W42" s="2"/>
      <c r="X42" s="6">
        <f t="shared" si="26"/>
        <v>-34201.57</v>
      </c>
      <c r="Y42" s="2"/>
      <c r="Z42" s="7">
        <f t="shared" si="27"/>
        <v>-0.97009548478154572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7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2" si="28">IF(D$12=0,0,D45/D$12)</f>
        <v>0</v>
      </c>
      <c r="G45" s="1"/>
      <c r="H45" s="1">
        <f>SUM(OSRRefH22_2x_0)</f>
        <v>0</v>
      </c>
      <c r="I45" s="1"/>
      <c r="J45" s="5">
        <f t="shared" ref="J45:J62" si="29">IF(H$12=0,0,H45/H$12)</f>
        <v>0</v>
      </c>
      <c r="K45" s="1"/>
      <c r="L45" s="1">
        <f t="shared" ref="L45:L62" si="30">+D45-H45</f>
        <v>0</v>
      </c>
      <c r="M45" s="1"/>
      <c r="N45" s="5">
        <f t="shared" ref="N45:N62" si="31">IF(H45=0,0,L45/H45)</f>
        <v>0</v>
      </c>
      <c r="O45" s="13"/>
      <c r="P45" s="1">
        <f>SUM(OSRRefP22_2x_0)</f>
        <v>0</v>
      </c>
      <c r="Q45" s="1"/>
      <c r="R45" s="5">
        <f t="shared" ref="R45:R62" si="32">IF(P$12=0,0,P45/P$12)</f>
        <v>0</v>
      </c>
      <c r="S45" s="1"/>
      <c r="T45" s="1">
        <f>SUM(OSRRefT22_2x_0)</f>
        <v>0</v>
      </c>
      <c r="U45" s="1"/>
      <c r="V45" s="5">
        <f t="shared" ref="V45:V62" si="33">IF(T$12=0,0,T45/T$12)</f>
        <v>0</v>
      </c>
      <c r="W45" s="1"/>
      <c r="X45" s="1">
        <f t="shared" ref="X45:X62" si="34">+P45-T45</f>
        <v>0</v>
      </c>
      <c r="Y45" s="1"/>
      <c r="Z45" s="5">
        <f t="shared" ref="Z45:Z62" si="35">IF(T45=0,0,X45/T45)</f>
        <v>0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0</v>
      </c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/>
      <c r="Q46" s="2"/>
      <c r="R46" s="7">
        <f t="shared" si="32"/>
        <v>0</v>
      </c>
      <c r="S46" s="2"/>
      <c r="T46" s="6">
        <v>0</v>
      </c>
      <c r="U46" s="2"/>
      <c r="V46" s="7">
        <f t="shared" si="33"/>
        <v>0</v>
      </c>
      <c r="W46" s="2"/>
      <c r="X46" s="6">
        <f t="shared" si="34"/>
        <v>0</v>
      </c>
      <c r="Y46" s="2"/>
      <c r="Z46" s="7">
        <f t="shared" si="35"/>
        <v>0</v>
      </c>
    </row>
    <row r="47" spans="1:26" s="27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-9.69</v>
      </c>
      <c r="E47" s="1"/>
      <c r="F47" s="5">
        <f t="shared" si="28"/>
        <v>-2.0173941430197122E-4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-9.69</v>
      </c>
      <c r="M47" s="1"/>
      <c r="N47" s="5">
        <f t="shared" si="31"/>
        <v>0</v>
      </c>
      <c r="O47" s="13"/>
      <c r="P47" s="1">
        <f>SUM(OSRRefP22_3x_0)</f>
        <v>-72.88</v>
      </c>
      <c r="Q47" s="1"/>
      <c r="R47" s="5">
        <f t="shared" si="32"/>
        <v>-2.7893187157927642E-4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-72.88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6">
        <v>-9.69</v>
      </c>
      <c r="E48" s="2"/>
      <c r="F48" s="7">
        <f t="shared" si="28"/>
        <v>-2.0173941430197122E-4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-9.69</v>
      </c>
      <c r="M48" s="2"/>
      <c r="N48" s="7">
        <f t="shared" si="31"/>
        <v>0</v>
      </c>
      <c r="O48" s="11"/>
      <c r="P48" s="6">
        <v>-72.88</v>
      </c>
      <c r="Q48" s="2"/>
      <c r="R48" s="7">
        <f t="shared" si="32"/>
        <v>-2.7893187157927642E-4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-72.88</v>
      </c>
      <c r="Y48" s="2"/>
      <c r="Z48" s="7">
        <f t="shared" si="35"/>
        <v>0</v>
      </c>
    </row>
    <row r="49" spans="1:26" s="27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2037.45</v>
      </c>
      <c r="E49" s="1"/>
      <c r="F49" s="5">
        <f t="shared" si="28"/>
        <v>4.241836632296711E-2</v>
      </c>
      <c r="G49" s="1"/>
      <c r="H49" s="1">
        <f>SUM(OSRRefH22_4x_0)</f>
        <v>1231</v>
      </c>
      <c r="I49" s="1"/>
      <c r="J49" s="5">
        <f t="shared" si="29"/>
        <v>3.0699785525462618E-2</v>
      </c>
      <c r="K49" s="1"/>
      <c r="L49" s="1">
        <f t="shared" si="30"/>
        <v>806.45</v>
      </c>
      <c r="M49" s="1"/>
      <c r="N49" s="5">
        <f t="shared" si="31"/>
        <v>0.65511779041429741</v>
      </c>
      <c r="O49" s="13"/>
      <c r="P49" s="1">
        <f>SUM(OSRRefP22_4x_0)</f>
        <v>9643.83</v>
      </c>
      <c r="Q49" s="1"/>
      <c r="R49" s="5">
        <f t="shared" si="32"/>
        <v>3.6909598670312481E-2</v>
      </c>
      <c r="S49" s="1"/>
      <c r="T49" s="1">
        <f>SUM(OSRRefT22_4x_0)</f>
        <v>7056</v>
      </c>
      <c r="U49" s="1"/>
      <c r="V49" s="5">
        <f t="shared" si="33"/>
        <v>3.0702288747715602E-2</v>
      </c>
      <c r="W49" s="1"/>
      <c r="X49" s="1">
        <f t="shared" si="34"/>
        <v>2587.83</v>
      </c>
      <c r="Y49" s="1"/>
      <c r="Z49" s="5">
        <f t="shared" si="35"/>
        <v>0.36675595238095238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6">
        <v>2037.45</v>
      </c>
      <c r="E50" s="2"/>
      <c r="F50" s="7">
        <f t="shared" si="28"/>
        <v>4.241836632296711E-2</v>
      </c>
      <c r="G50" s="2"/>
      <c r="H50" s="6">
        <v>1231</v>
      </c>
      <c r="I50" s="2"/>
      <c r="J50" s="7">
        <f t="shared" si="29"/>
        <v>3.0699785525462618E-2</v>
      </c>
      <c r="K50" s="2"/>
      <c r="L50" s="6">
        <f t="shared" si="30"/>
        <v>806.45</v>
      </c>
      <c r="M50" s="2"/>
      <c r="N50" s="7">
        <f t="shared" si="31"/>
        <v>0.65511779041429741</v>
      </c>
      <c r="O50" s="11"/>
      <c r="P50" s="6">
        <v>9643.83</v>
      </c>
      <c r="Q50" s="2"/>
      <c r="R50" s="7">
        <f t="shared" si="32"/>
        <v>3.6909598670312481E-2</v>
      </c>
      <c r="S50" s="2"/>
      <c r="T50" s="6">
        <v>7056</v>
      </c>
      <c r="U50" s="2"/>
      <c r="V50" s="7">
        <f t="shared" si="33"/>
        <v>3.0702288747715602E-2</v>
      </c>
      <c r="W50" s="2"/>
      <c r="X50" s="6">
        <f t="shared" si="34"/>
        <v>2587.83</v>
      </c>
      <c r="Y50" s="2"/>
      <c r="Z50" s="7">
        <f t="shared" si="35"/>
        <v>0.36675595238095238</v>
      </c>
    </row>
    <row r="51" spans="1:26" s="27" customFormat="1" outlineLevel="1" collapsed="1" x14ac:dyDescent="0.25">
      <c r="A51" s="26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968.86</v>
      </c>
      <c r="E51" s="1"/>
      <c r="F51" s="5">
        <f t="shared" si="28"/>
        <v>2.017102672245695E-2</v>
      </c>
      <c r="G51" s="1"/>
      <c r="H51" s="1">
        <f>SUM(OSRRefH22_5x_0)</f>
        <v>969</v>
      </c>
      <c r="I51" s="1"/>
      <c r="J51" s="5">
        <f t="shared" si="29"/>
        <v>2.4165793805177315E-2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3"/>
      <c r="P51" s="1">
        <f>SUM(OSRRefP22_5x_0)</f>
        <v>7750.88</v>
      </c>
      <c r="Q51" s="1"/>
      <c r="R51" s="5">
        <f t="shared" si="32"/>
        <v>2.9664756651843881E-2</v>
      </c>
      <c r="S51" s="1"/>
      <c r="T51" s="1">
        <f>SUM(OSRRefT22_5x_0)</f>
        <v>7752</v>
      </c>
      <c r="U51" s="1"/>
      <c r="V51" s="5">
        <f t="shared" si="33"/>
        <v>3.3730745801061703E-2</v>
      </c>
      <c r="W51" s="1"/>
      <c r="X51" s="1">
        <f t="shared" si="34"/>
        <v>-1.1199999999998909</v>
      </c>
      <c r="Y51" s="1"/>
      <c r="Z51" s="5">
        <f t="shared" si="35"/>
        <v>-1.4447884416923256E-4</v>
      </c>
    </row>
    <row r="52" spans="1:26" s="24" customFormat="1" hidden="1" outlineLevel="2" x14ac:dyDescent="0.25">
      <c r="A52" s="25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968.86</v>
      </c>
      <c r="E52" s="2"/>
      <c r="F52" s="7">
        <f t="shared" si="28"/>
        <v>2.017102672245695E-2</v>
      </c>
      <c r="G52" s="2"/>
      <c r="H52" s="6">
        <v>969</v>
      </c>
      <c r="I52" s="2"/>
      <c r="J52" s="7">
        <f t="shared" si="29"/>
        <v>2.4165793805177315E-2</v>
      </c>
      <c r="K52" s="2"/>
      <c r="L52" s="6">
        <f t="shared" si="30"/>
        <v>-0.13999999999998636</v>
      </c>
      <c r="M52" s="2"/>
      <c r="N52" s="7">
        <f t="shared" si="31"/>
        <v>-1.4447884416923256E-4</v>
      </c>
      <c r="O52" s="11"/>
      <c r="P52" s="6">
        <v>7750.88</v>
      </c>
      <c r="Q52" s="2"/>
      <c r="R52" s="7">
        <f t="shared" si="32"/>
        <v>2.9664756651843881E-2</v>
      </c>
      <c r="S52" s="2"/>
      <c r="T52" s="6">
        <v>7752</v>
      </c>
      <c r="U52" s="2"/>
      <c r="V52" s="7">
        <f t="shared" si="33"/>
        <v>3.3730745801061703E-2</v>
      </c>
      <c r="W52" s="2"/>
      <c r="X52" s="6">
        <f t="shared" si="34"/>
        <v>-1.1199999999998909</v>
      </c>
      <c r="Y52" s="2"/>
      <c r="Z52" s="7">
        <f t="shared" si="35"/>
        <v>-1.4447884416923256E-4</v>
      </c>
    </row>
    <row r="53" spans="1:26" s="27" customFormat="1" outlineLevel="1" collapsed="1" x14ac:dyDescent="0.25">
      <c r="A53" s="26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7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151.5</v>
      </c>
      <c r="E55" s="1"/>
      <c r="F55" s="5">
        <f t="shared" si="28"/>
        <v>3.1541301616871665E-3</v>
      </c>
      <c r="G55" s="1"/>
      <c r="H55" s="1">
        <f>SUM(OSRRefH22_7x_0)</f>
        <v>278</v>
      </c>
      <c r="I55" s="1"/>
      <c r="J55" s="5">
        <f t="shared" si="29"/>
        <v>6.9330141154172282E-3</v>
      </c>
      <c r="K55" s="1"/>
      <c r="L55" s="1">
        <f t="shared" si="30"/>
        <v>-126.5</v>
      </c>
      <c r="M55" s="1"/>
      <c r="N55" s="5">
        <f t="shared" si="31"/>
        <v>-0.45503597122302158</v>
      </c>
      <c r="O55" s="13"/>
      <c r="P55" s="1">
        <f>SUM(OSRRefP22_7x_0)</f>
        <v>1356.19</v>
      </c>
      <c r="Q55" s="1"/>
      <c r="R55" s="5">
        <f t="shared" si="32"/>
        <v>5.1905133770183713E-3</v>
      </c>
      <c r="S55" s="1"/>
      <c r="T55" s="1">
        <f>SUM(OSRRefT22_7x_0)</f>
        <v>1593</v>
      </c>
      <c r="U55" s="1"/>
      <c r="V55" s="5">
        <f t="shared" si="33"/>
        <v>6.9315116177878344E-3</v>
      </c>
      <c r="W55" s="1"/>
      <c r="X55" s="1">
        <f t="shared" si="34"/>
        <v>-236.80999999999995</v>
      </c>
      <c r="Y55" s="1"/>
      <c r="Z55" s="5">
        <f t="shared" si="35"/>
        <v>-0.14865662272441929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>
        <v>151.5</v>
      </c>
      <c r="E56" s="2"/>
      <c r="F56" s="7">
        <f t="shared" si="28"/>
        <v>3.1541301616871665E-3</v>
      </c>
      <c r="G56" s="2"/>
      <c r="H56" s="6">
        <v>278</v>
      </c>
      <c r="I56" s="2"/>
      <c r="J56" s="7">
        <f t="shared" si="29"/>
        <v>6.9330141154172282E-3</v>
      </c>
      <c r="K56" s="2"/>
      <c r="L56" s="6">
        <f t="shared" si="30"/>
        <v>-126.5</v>
      </c>
      <c r="M56" s="2"/>
      <c r="N56" s="7">
        <f t="shared" si="31"/>
        <v>-0.45503597122302158</v>
      </c>
      <c r="O56" s="11"/>
      <c r="P56" s="6">
        <v>1356.19</v>
      </c>
      <c r="Q56" s="2"/>
      <c r="R56" s="7">
        <f t="shared" si="32"/>
        <v>5.1905133770183713E-3</v>
      </c>
      <c r="S56" s="2"/>
      <c r="T56" s="6">
        <v>1593</v>
      </c>
      <c r="U56" s="2"/>
      <c r="V56" s="7">
        <f t="shared" si="33"/>
        <v>6.9315116177878344E-3</v>
      </c>
      <c r="W56" s="2"/>
      <c r="X56" s="6">
        <f t="shared" si="34"/>
        <v>-236.80999999999995</v>
      </c>
      <c r="Y56" s="2"/>
      <c r="Z56" s="7">
        <f t="shared" si="35"/>
        <v>-0.14865662272441929</v>
      </c>
    </row>
    <row r="57" spans="1:26" s="27" customFormat="1" outlineLevel="1" collapsed="1" x14ac:dyDescent="0.25">
      <c r="A57" s="26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7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729.41</v>
      </c>
      <c r="E59" s="1"/>
      <c r="F59" s="5">
        <f t="shared" si="28"/>
        <v>1.5185835519711128E-2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729.41</v>
      </c>
      <c r="M59" s="1"/>
      <c r="N59" s="5">
        <f t="shared" si="31"/>
        <v>0</v>
      </c>
      <c r="O59" s="13"/>
      <c r="P59" s="1">
        <f>SUM(OSRRefP22_9x_0)</f>
        <v>1616.8899999999999</v>
      </c>
      <c r="Q59" s="1"/>
      <c r="R59" s="5">
        <f t="shared" si="32"/>
        <v>6.1882842184113095E-3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1616.8899999999999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437.31</v>
      </c>
      <c r="Q60" s="2"/>
      <c r="R60" s="7">
        <f t="shared" si="32"/>
        <v>1.6737060477542999E-3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437.31</v>
      </c>
      <c r="Y60" s="2"/>
      <c r="Z60" s="7">
        <f t="shared" si="35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93.22</v>
      </c>
      <c r="Q61" s="2"/>
      <c r="R61" s="7">
        <f t="shared" si="32"/>
        <v>3.5677866449808105E-4</v>
      </c>
      <c r="S61" s="2"/>
      <c r="T61" s="6"/>
      <c r="U61" s="2"/>
      <c r="V61" s="7">
        <f t="shared" si="33"/>
        <v>0</v>
      </c>
      <c r="W61" s="2"/>
      <c r="X61" s="6">
        <f t="shared" si="34"/>
        <v>93.22</v>
      </c>
      <c r="Y61" s="2"/>
      <c r="Z61" s="7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729.41</v>
      </c>
      <c r="E62" s="2"/>
      <c r="F62" s="7">
        <f t="shared" si="28"/>
        <v>1.5185835519711128E-2</v>
      </c>
      <c r="G62" s="2"/>
      <c r="H62" s="6"/>
      <c r="I62" s="2"/>
      <c r="J62" s="7">
        <f t="shared" si="29"/>
        <v>0</v>
      </c>
      <c r="K62" s="2"/>
      <c r="L62" s="6">
        <f t="shared" si="30"/>
        <v>729.41</v>
      </c>
      <c r="M62" s="2"/>
      <c r="N62" s="7">
        <f t="shared" si="31"/>
        <v>0</v>
      </c>
      <c r="O62" s="11"/>
      <c r="P62" s="6">
        <v>1086.3599999999999</v>
      </c>
      <c r="Q62" s="2"/>
      <c r="R62" s="7">
        <f t="shared" si="32"/>
        <v>4.1577995061589284E-3</v>
      </c>
      <c r="S62" s="2"/>
      <c r="T62" s="6"/>
      <c r="U62" s="2"/>
      <c r="V62" s="7">
        <f t="shared" si="33"/>
        <v>0</v>
      </c>
      <c r="W62" s="2"/>
      <c r="X62" s="6">
        <f t="shared" si="34"/>
        <v>1086.3599999999999</v>
      </c>
      <c r="Y62" s="2"/>
      <c r="Z62" s="7">
        <f t="shared" si="35"/>
        <v>0</v>
      </c>
    </row>
    <row r="63" spans="1:26" s="27" customFormat="1" outlineLevel="1" collapsed="1" x14ac:dyDescent="0.25">
      <c r="A63" s="26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0</v>
      </c>
      <c r="E63" s="1"/>
      <c r="F63" s="5">
        <f t="shared" ref="F63:F65" si="36">IF(D$12=0,0,D63/D$12)</f>
        <v>0</v>
      </c>
      <c r="G63" s="1"/>
      <c r="H63" s="1">
        <f>SUM(OSRRefH22_10x_0)</f>
        <v>3574</v>
      </c>
      <c r="I63" s="1"/>
      <c r="J63" s="5">
        <f t="shared" ref="J63:J65" si="37">IF(H$12=0,0,H63/H$12)</f>
        <v>8.9131627512594139E-2</v>
      </c>
      <c r="K63" s="1"/>
      <c r="L63" s="1">
        <f t="shared" ref="L63:L65" si="38">+D63-H63</f>
        <v>-3574</v>
      </c>
      <c r="M63" s="1"/>
      <c r="N63" s="5">
        <f t="shared" ref="N63:N65" si="39">IF(H63=0,0,L63/H63)</f>
        <v>-1</v>
      </c>
      <c r="O63" s="13"/>
      <c r="P63" s="1">
        <f>SUM(OSRRefP22_10x_0)</f>
        <v>15334.79</v>
      </c>
      <c r="Q63" s="1"/>
      <c r="R63" s="5">
        <f t="shared" ref="R63:R65" si="40">IF(P$12=0,0,P63/P$12)</f>
        <v>5.8690473037529813E-2</v>
      </c>
      <c r="S63" s="1"/>
      <c r="T63" s="1">
        <f>SUM(OSRRefT22_10x_0)</f>
        <v>20483</v>
      </c>
      <c r="U63" s="1"/>
      <c r="V63" s="5">
        <f t="shared" ref="V63:V65" si="41">IF(T$12=0,0,T63/T$12)</f>
        <v>8.9126272735184059E-2</v>
      </c>
      <c r="W63" s="1"/>
      <c r="X63" s="1">
        <f t="shared" ref="X63:X65" si="42">+P63-T63</f>
        <v>-5148.2099999999991</v>
      </c>
      <c r="Y63" s="1"/>
      <c r="Z63" s="5">
        <f t="shared" ref="Z63:Z65" si="43">IF(T63=0,0,X63/T63)</f>
        <v>-0.25134062393204115</v>
      </c>
    </row>
    <row r="64" spans="1:26" s="24" customFormat="1" hidden="1" outlineLevel="2" x14ac:dyDescent="0.25">
      <c r="A64" s="25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15334.79</v>
      </c>
      <c r="Q64" s="2"/>
      <c r="R64" s="7">
        <f t="shared" si="40"/>
        <v>5.8690473037529813E-2</v>
      </c>
      <c r="S64" s="2"/>
      <c r="T64" s="6"/>
      <c r="U64" s="2"/>
      <c r="V64" s="7">
        <f t="shared" si="41"/>
        <v>0</v>
      </c>
      <c r="W64" s="2"/>
      <c r="X64" s="6">
        <f t="shared" si="42"/>
        <v>15334.79</v>
      </c>
      <c r="Y64" s="2"/>
      <c r="Z64" s="7">
        <f t="shared" si="43"/>
        <v>0</v>
      </c>
    </row>
    <row r="65" spans="1:26" s="24" customFormat="1" hidden="1" outlineLevel="2" x14ac:dyDescent="0.25">
      <c r="A65" s="25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6"/>
        <v>0</v>
      </c>
      <c r="G65" s="2"/>
      <c r="H65" s="6">
        <v>3574</v>
      </c>
      <c r="I65" s="2"/>
      <c r="J65" s="7">
        <f t="shared" si="37"/>
        <v>8.9131627512594139E-2</v>
      </c>
      <c r="K65" s="2"/>
      <c r="L65" s="6">
        <f t="shared" si="38"/>
        <v>-3574</v>
      </c>
      <c r="M65" s="2"/>
      <c r="N65" s="7">
        <f t="shared" si="39"/>
        <v>-1</v>
      </c>
      <c r="O65" s="11"/>
      <c r="P65" s="6"/>
      <c r="Q65" s="2"/>
      <c r="R65" s="7">
        <f t="shared" si="40"/>
        <v>0</v>
      </c>
      <c r="S65" s="2"/>
      <c r="T65" s="6">
        <v>20483</v>
      </c>
      <c r="U65" s="2"/>
      <c r="V65" s="7">
        <f t="shared" si="41"/>
        <v>8.9126272735184059E-2</v>
      </c>
      <c r="W65" s="2"/>
      <c r="X65" s="6">
        <f t="shared" si="42"/>
        <v>-20483</v>
      </c>
      <c r="Y65" s="2"/>
      <c r="Z65" s="7">
        <f t="shared" si="43"/>
        <v>-1</v>
      </c>
    </row>
    <row r="66" spans="1:26" s="27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239.25</v>
      </c>
      <c r="E66" s="1"/>
      <c r="F66" s="5">
        <f t="shared" ref="F66:F69" si="44">IF(D$12=0,0,D66/D$12)</f>
        <v>4.9810273345455751E-3</v>
      </c>
      <c r="G66" s="1"/>
      <c r="H66" s="1">
        <f>SUM(OSRRefH22_11x_0)</f>
        <v>238</v>
      </c>
      <c r="I66" s="1"/>
      <c r="J66" s="5">
        <f t="shared" ref="J66:J69" si="45">IF(H$12=0,0,H66/H$12)</f>
        <v>5.9354581275874105E-3</v>
      </c>
      <c r="K66" s="1"/>
      <c r="L66" s="1">
        <f t="shared" ref="L66:L69" si="46">+D66-H66</f>
        <v>1.25</v>
      </c>
      <c r="M66" s="1"/>
      <c r="N66" s="5">
        <f t="shared" ref="N66:N69" si="47">IF(H66=0,0,L66/H66)</f>
        <v>5.2521008403361349E-3</v>
      </c>
      <c r="O66" s="13"/>
      <c r="P66" s="1">
        <f>SUM(OSRRefP22_11x_0)</f>
        <v>1682.67</v>
      </c>
      <c r="Q66" s="1"/>
      <c r="R66" s="5">
        <f t="shared" ref="R66:R69" si="48">IF(P$12=0,0,P66/P$12)</f>
        <v>6.4400424307121448E-3</v>
      </c>
      <c r="S66" s="1"/>
      <c r="T66" s="1">
        <f>SUM(OSRRefT22_11x_0)</f>
        <v>1366</v>
      </c>
      <c r="U66" s="1"/>
      <c r="V66" s="5">
        <f t="shared" ref="V66:V69" si="49">IF(T$12=0,0,T66/T$12)</f>
        <v>5.9437820903315642E-3</v>
      </c>
      <c r="W66" s="1"/>
      <c r="X66" s="1">
        <f t="shared" ref="X66:X69" si="50">+P66-T66</f>
        <v>316.67000000000007</v>
      </c>
      <c r="Y66" s="1"/>
      <c r="Z66" s="5">
        <f t="shared" ref="Z66:Z69" si="51">IF(T66=0,0,X66/T66)</f>
        <v>0.23182284040995613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41</v>
      </c>
      <c r="E67" s="2"/>
      <c r="F67" s="7">
        <f t="shared" si="44"/>
        <v>8.5359298105065231E-4</v>
      </c>
      <c r="G67" s="2"/>
      <c r="H67" s="6"/>
      <c r="I67" s="2"/>
      <c r="J67" s="7">
        <f t="shared" si="45"/>
        <v>0</v>
      </c>
      <c r="K67" s="2"/>
      <c r="L67" s="6">
        <f t="shared" si="46"/>
        <v>41</v>
      </c>
      <c r="M67" s="2"/>
      <c r="N67" s="7">
        <f t="shared" si="47"/>
        <v>0</v>
      </c>
      <c r="O67" s="11"/>
      <c r="P67" s="6">
        <v>205</v>
      </c>
      <c r="Q67" s="2"/>
      <c r="R67" s="7">
        <f t="shared" si="48"/>
        <v>7.8459157071558271E-4</v>
      </c>
      <c r="S67" s="2"/>
      <c r="T67" s="6"/>
      <c r="U67" s="2"/>
      <c r="V67" s="7">
        <f t="shared" si="49"/>
        <v>0</v>
      </c>
      <c r="W67" s="2"/>
      <c r="X67" s="6">
        <f t="shared" si="50"/>
        <v>205</v>
      </c>
      <c r="Y67" s="2"/>
      <c r="Z67" s="7">
        <f t="shared" si="51"/>
        <v>0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>
        <v>24.22</v>
      </c>
      <c r="E68" s="2"/>
      <c r="F68" s="7">
        <f t="shared" si="44"/>
        <v>5.042444390499219E-4</v>
      </c>
      <c r="G68" s="2"/>
      <c r="H68" s="6">
        <v>238</v>
      </c>
      <c r="I68" s="2"/>
      <c r="J68" s="7">
        <f t="shared" si="45"/>
        <v>5.9354581275874105E-3</v>
      </c>
      <c r="K68" s="2"/>
      <c r="L68" s="6">
        <f t="shared" si="46"/>
        <v>-213.78</v>
      </c>
      <c r="M68" s="2"/>
      <c r="N68" s="7">
        <f t="shared" si="47"/>
        <v>-0.89823529411764702</v>
      </c>
      <c r="O68" s="11"/>
      <c r="P68" s="6">
        <v>184.16</v>
      </c>
      <c r="Q68" s="2"/>
      <c r="R68" s="7">
        <f t="shared" si="48"/>
        <v>7.0483113981942302E-4</v>
      </c>
      <c r="S68" s="2"/>
      <c r="T68" s="6">
        <v>1366</v>
      </c>
      <c r="U68" s="2"/>
      <c r="V68" s="7">
        <f t="shared" si="49"/>
        <v>5.9437820903315642E-3</v>
      </c>
      <c r="W68" s="2"/>
      <c r="X68" s="6">
        <f t="shared" si="50"/>
        <v>-1181.8399999999999</v>
      </c>
      <c r="Y68" s="2"/>
      <c r="Z68" s="7">
        <f t="shared" si="51"/>
        <v>-0.86518301610541726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174.03</v>
      </c>
      <c r="E69" s="2"/>
      <c r="F69" s="7">
        <f t="shared" si="44"/>
        <v>3.6231899144450004E-3</v>
      </c>
      <c r="G69" s="2"/>
      <c r="H69" s="6"/>
      <c r="I69" s="2"/>
      <c r="J69" s="7">
        <f t="shared" si="45"/>
        <v>0</v>
      </c>
      <c r="K69" s="2"/>
      <c r="L69" s="6">
        <f t="shared" si="46"/>
        <v>174.03</v>
      </c>
      <c r="M69" s="2"/>
      <c r="N69" s="7">
        <f t="shared" si="47"/>
        <v>0</v>
      </c>
      <c r="O69" s="11"/>
      <c r="P69" s="6">
        <v>1293.51</v>
      </c>
      <c r="Q69" s="2"/>
      <c r="R69" s="7">
        <f t="shared" si="48"/>
        <v>4.9506197201771383E-3</v>
      </c>
      <c r="S69" s="2"/>
      <c r="T69" s="6"/>
      <c r="U69" s="2"/>
      <c r="V69" s="7">
        <f t="shared" si="49"/>
        <v>0</v>
      </c>
      <c r="W69" s="2"/>
      <c r="X69" s="6">
        <f t="shared" si="50"/>
        <v>1293.51</v>
      </c>
      <c r="Y69" s="2"/>
      <c r="Z69" s="7">
        <f t="shared" si="51"/>
        <v>0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-44.370000000000005</v>
      </c>
      <c r="E70" s="1"/>
      <c r="F70" s="5">
        <f t="shared" ref="F70:F73" si="52">IF(D$12=0,0,D70/D$12)</f>
        <v>-9.2375416022481577E-4</v>
      </c>
      <c r="G70" s="1"/>
      <c r="H70" s="1">
        <f>SUM(OSRRefH22_12x_0)</f>
        <v>635</v>
      </c>
      <c r="I70" s="1"/>
      <c r="J70" s="5">
        <f t="shared" ref="J70:J73" si="53">IF(H$12=0,0,H70/H$12)</f>
        <v>1.5836201306798345E-2</v>
      </c>
      <c r="K70" s="1"/>
      <c r="L70" s="1">
        <f t="shared" ref="L70:L73" si="54">+D70-H70</f>
        <v>-679.37</v>
      </c>
      <c r="M70" s="1"/>
      <c r="N70" s="5">
        <f t="shared" ref="N70:N73" si="55">IF(H70=0,0,L70/H70)</f>
        <v>-1.0698740157480315</v>
      </c>
      <c r="O70" s="13"/>
      <c r="P70" s="1">
        <f>SUM(OSRRefP22_12x_0)</f>
        <v>7426.17</v>
      </c>
      <c r="Q70" s="1"/>
      <c r="R70" s="5">
        <f t="shared" ref="R70:R73" si="56">IF(P$12=0,0,P70/P$12)</f>
        <v>2.8422001876589945E-2</v>
      </c>
      <c r="S70" s="1"/>
      <c r="T70" s="1">
        <f>SUM(OSRRefT22_12x_0)</f>
        <v>3641</v>
      </c>
      <c r="U70" s="1"/>
      <c r="V70" s="5">
        <f t="shared" ref="V70:V73" si="57">IF(T$12=0,0,T70/T$12)</f>
        <v>1.5842833521886694E-2</v>
      </c>
      <c r="W70" s="1"/>
      <c r="X70" s="1">
        <f t="shared" ref="X70:X73" si="58">+P70-T70</f>
        <v>3785.17</v>
      </c>
      <c r="Y70" s="1"/>
      <c r="Z70" s="5">
        <f t="shared" ref="Z70:Z73" si="59">IF(T70=0,0,X70/T70)</f>
        <v>1.0395962647624279</v>
      </c>
    </row>
    <row r="71" spans="1:26" s="24" customFormat="1" hidden="1" outlineLevel="2" x14ac:dyDescent="0.25">
      <c r="A71" s="25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354.71</v>
      </c>
      <c r="Q71" s="2"/>
      <c r="R71" s="7">
        <f t="shared" si="56"/>
        <v>1.3575730538952406E-3</v>
      </c>
      <c r="S71" s="2"/>
      <c r="T71" s="6"/>
      <c r="U71" s="2"/>
      <c r="V71" s="7">
        <f t="shared" si="57"/>
        <v>0</v>
      </c>
      <c r="W71" s="2"/>
      <c r="X71" s="6">
        <f t="shared" si="58"/>
        <v>354.71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>
        <v>17.63</v>
      </c>
      <c r="E72" s="2"/>
      <c r="F72" s="7">
        <f t="shared" si="52"/>
        <v>3.6704498185178045E-4</v>
      </c>
      <c r="G72" s="2"/>
      <c r="H72" s="6"/>
      <c r="I72" s="2"/>
      <c r="J72" s="7">
        <f t="shared" si="53"/>
        <v>0</v>
      </c>
      <c r="K72" s="2"/>
      <c r="L72" s="6">
        <f t="shared" si="54"/>
        <v>17.63</v>
      </c>
      <c r="M72" s="2"/>
      <c r="N72" s="7">
        <f t="shared" si="55"/>
        <v>0</v>
      </c>
      <c r="O72" s="11"/>
      <c r="P72" s="6">
        <v>38.56</v>
      </c>
      <c r="Q72" s="2"/>
      <c r="R72" s="7">
        <f t="shared" si="56"/>
        <v>1.4757976081362378E-4</v>
      </c>
      <c r="S72" s="2"/>
      <c r="T72" s="6"/>
      <c r="U72" s="2"/>
      <c r="V72" s="7">
        <f t="shared" si="57"/>
        <v>0</v>
      </c>
      <c r="W72" s="2"/>
      <c r="X72" s="6">
        <f t="shared" si="58"/>
        <v>38.56</v>
      </c>
      <c r="Y72" s="2"/>
      <c r="Z72" s="7">
        <f t="shared" si="59"/>
        <v>0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6">
        <v>-62</v>
      </c>
      <c r="E73" s="2"/>
      <c r="F73" s="7">
        <f t="shared" si="52"/>
        <v>-1.2907991420765962E-3</v>
      </c>
      <c r="G73" s="2"/>
      <c r="H73" s="6">
        <v>635</v>
      </c>
      <c r="I73" s="2"/>
      <c r="J73" s="7">
        <f t="shared" si="53"/>
        <v>1.5836201306798345E-2</v>
      </c>
      <c r="K73" s="2"/>
      <c r="L73" s="6">
        <f t="shared" si="54"/>
        <v>-697</v>
      </c>
      <c r="M73" s="2"/>
      <c r="N73" s="7">
        <f t="shared" si="55"/>
        <v>-1.0976377952755905</v>
      </c>
      <c r="O73" s="11"/>
      <c r="P73" s="6">
        <v>7032.9</v>
      </c>
      <c r="Q73" s="2"/>
      <c r="R73" s="7">
        <f t="shared" si="56"/>
        <v>2.691684906188108E-2</v>
      </c>
      <c r="S73" s="2"/>
      <c r="T73" s="6">
        <v>3641</v>
      </c>
      <c r="U73" s="2"/>
      <c r="V73" s="7">
        <f t="shared" si="57"/>
        <v>1.5842833521886694E-2</v>
      </c>
      <c r="W73" s="2"/>
      <c r="X73" s="6">
        <f t="shared" si="58"/>
        <v>3391.8999999999996</v>
      </c>
      <c r="Y73" s="2"/>
      <c r="Z73" s="7">
        <f t="shared" si="59"/>
        <v>0.93158472946992577</v>
      </c>
    </row>
    <row r="74" spans="1:26" s="27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51.5</v>
      </c>
      <c r="E74" s="1"/>
      <c r="F74" s="5">
        <f t="shared" ref="F74:F77" si="60">IF(D$12=0,0,D74/D$12)</f>
        <v>1.0721960615636243E-3</v>
      </c>
      <c r="G74" s="1"/>
      <c r="H74" s="1">
        <f>SUM(OSRRefH22_13x_0)</f>
        <v>75</v>
      </c>
      <c r="I74" s="1"/>
      <c r="J74" s="5">
        <f t="shared" ref="J74:J77" si="61">IF(H$12=0,0,H74/H$12)</f>
        <v>1.8704174771809069E-3</v>
      </c>
      <c r="K74" s="1"/>
      <c r="L74" s="1">
        <f t="shared" ref="L74:L77" si="62">+D74-H74</f>
        <v>-23.5</v>
      </c>
      <c r="M74" s="1"/>
      <c r="N74" s="5">
        <f t="shared" ref="N74:N77" si="63">IF(H74=0,0,L74/H74)</f>
        <v>-0.31333333333333335</v>
      </c>
      <c r="O74" s="13"/>
      <c r="P74" s="1">
        <f>SUM(OSRRefP22_13x_0)</f>
        <v>433</v>
      </c>
      <c r="Q74" s="1"/>
      <c r="R74" s="5">
        <f t="shared" ref="R74:R77" si="64">IF(P$12=0,0,P74/P$12)</f>
        <v>1.6572104883894991E-3</v>
      </c>
      <c r="S74" s="1"/>
      <c r="T74" s="1">
        <f>SUM(OSRRefT22_13x_0)</f>
        <v>600</v>
      </c>
      <c r="U74" s="1"/>
      <c r="V74" s="5">
        <f t="shared" ref="V74:V77" si="65">IF(T$12=0,0,T74/T$12)</f>
        <v>2.610738839091463E-3</v>
      </c>
      <c r="W74" s="1"/>
      <c r="X74" s="1">
        <f t="shared" ref="X74:X77" si="66">+P74-T74</f>
        <v>-167</v>
      </c>
      <c r="Y74" s="1"/>
      <c r="Z74" s="5">
        <f t="shared" ref="Z74:Z77" si="67">IF(T74=0,0,X74/T74)</f>
        <v>-0.27833333333333332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51.5</v>
      </c>
      <c r="E75" s="2"/>
      <c r="F75" s="7">
        <f t="shared" si="60"/>
        <v>1.0721960615636243E-3</v>
      </c>
      <c r="G75" s="2"/>
      <c r="H75" s="6">
        <v>75</v>
      </c>
      <c r="I75" s="2"/>
      <c r="J75" s="7">
        <f t="shared" si="61"/>
        <v>1.8704174771809069E-3</v>
      </c>
      <c r="K75" s="2"/>
      <c r="L75" s="6">
        <f t="shared" si="62"/>
        <v>-23.5</v>
      </c>
      <c r="M75" s="2"/>
      <c r="N75" s="7">
        <f t="shared" si="63"/>
        <v>-0.31333333333333335</v>
      </c>
      <c r="O75" s="11"/>
      <c r="P75" s="6">
        <v>433</v>
      </c>
      <c r="Q75" s="2"/>
      <c r="R75" s="7">
        <f t="shared" si="64"/>
        <v>1.6572104883894991E-3</v>
      </c>
      <c r="S75" s="2"/>
      <c r="T75" s="6">
        <v>600</v>
      </c>
      <c r="U75" s="2"/>
      <c r="V75" s="7">
        <f t="shared" si="65"/>
        <v>2.610738839091463E-3</v>
      </c>
      <c r="W75" s="2"/>
      <c r="X75" s="6">
        <f t="shared" si="66"/>
        <v>-167</v>
      </c>
      <c r="Y75" s="2"/>
      <c r="Z75" s="7">
        <f t="shared" si="67"/>
        <v>-0.27833333333333332</v>
      </c>
    </row>
    <row r="76" spans="1:26" s="27" customFormat="1" outlineLevel="1" collapsed="1" x14ac:dyDescent="0.25">
      <c r="A76" s="26"/>
      <c r="B76" s="13" t="str">
        <f>CONCATENATE("     ","Utilities                                         ")</f>
        <v xml:space="preserve">     Utilities                                         </v>
      </c>
      <c r="C76" s="13"/>
      <c r="D76" s="1">
        <f>SUM(OSRRefD22_14x_0)</f>
        <v>40</v>
      </c>
      <c r="E76" s="1"/>
      <c r="F76" s="5">
        <f t="shared" si="60"/>
        <v>8.3277364004941687E-4</v>
      </c>
      <c r="G76" s="1"/>
      <c r="H76" s="1">
        <f>SUM(OSRRefH22_14x_0)</f>
        <v>40</v>
      </c>
      <c r="I76" s="1"/>
      <c r="J76" s="5">
        <f t="shared" si="61"/>
        <v>9.9755598782981687E-4</v>
      </c>
      <c r="K76" s="1"/>
      <c r="L76" s="1">
        <f t="shared" si="62"/>
        <v>0</v>
      </c>
      <c r="M76" s="1"/>
      <c r="N76" s="5">
        <f t="shared" si="63"/>
        <v>0</v>
      </c>
      <c r="O76" s="13"/>
      <c r="P76" s="1">
        <f>SUM(OSRRefP22_14x_0)</f>
        <v>-691.88</v>
      </c>
      <c r="Q76" s="1"/>
      <c r="R76" s="5">
        <f t="shared" si="64"/>
        <v>-2.6480156875448653E-3</v>
      </c>
      <c r="S76" s="1"/>
      <c r="T76" s="1">
        <f>SUM(OSRRefT22_14x_0)</f>
        <v>228</v>
      </c>
      <c r="U76" s="1"/>
      <c r="V76" s="5">
        <f t="shared" si="65"/>
        <v>9.9208075885475594E-4</v>
      </c>
      <c r="W76" s="1"/>
      <c r="X76" s="1">
        <f t="shared" si="66"/>
        <v>-919.88</v>
      </c>
      <c r="Y76" s="1"/>
      <c r="Z76" s="5">
        <f t="shared" si="67"/>
        <v>-4.0345614035087722</v>
      </c>
    </row>
    <row r="77" spans="1:26" s="24" customFormat="1" hidden="1" outlineLevel="2" x14ac:dyDescent="0.25">
      <c r="A77" s="25"/>
      <c r="B77" s="11" t="str">
        <f>CONCATENATE("          ", "6274", " - ", "UTILITIES")</f>
        <v xml:space="preserve">          6274 - UTILITIES</v>
      </c>
      <c r="C77" s="11"/>
      <c r="D77" s="6">
        <v>40</v>
      </c>
      <c r="E77" s="2"/>
      <c r="F77" s="7">
        <f t="shared" si="60"/>
        <v>8.3277364004941687E-4</v>
      </c>
      <c r="G77" s="2"/>
      <c r="H77" s="6">
        <v>40</v>
      </c>
      <c r="I77" s="2"/>
      <c r="J77" s="7">
        <f t="shared" si="61"/>
        <v>9.9755598782981687E-4</v>
      </c>
      <c r="K77" s="2"/>
      <c r="L77" s="6">
        <f t="shared" si="62"/>
        <v>0</v>
      </c>
      <c r="M77" s="2"/>
      <c r="N77" s="7">
        <f t="shared" si="63"/>
        <v>0</v>
      </c>
      <c r="O77" s="11"/>
      <c r="P77" s="6">
        <v>-691.88</v>
      </c>
      <c r="Q77" s="2"/>
      <c r="R77" s="7">
        <f t="shared" si="64"/>
        <v>-2.6480156875448653E-3</v>
      </c>
      <c r="S77" s="2"/>
      <c r="T77" s="6">
        <v>228</v>
      </c>
      <c r="U77" s="2"/>
      <c r="V77" s="7">
        <f t="shared" si="65"/>
        <v>9.9208075885475594E-4</v>
      </c>
      <c r="W77" s="2"/>
      <c r="X77" s="6">
        <f t="shared" si="66"/>
        <v>-919.88</v>
      </c>
      <c r="Y77" s="2"/>
      <c r="Z77" s="7">
        <f t="shared" si="67"/>
        <v>-4.0345614035087722</v>
      </c>
    </row>
    <row r="78" spans="1:26" s="53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1">
        <f>+D22-D24+D79</f>
        <v>15245.479999999994</v>
      </c>
      <c r="E81" s="14"/>
      <c r="F81" s="22">
        <f>IF(D$12=0,0,D81/D$12)</f>
        <v>0.31740084684751446</v>
      </c>
      <c r="G81" s="14"/>
      <c r="H81" s="21">
        <f>+H22-H24+H79</f>
        <v>4406.9464013461475</v>
      </c>
      <c r="I81" s="14"/>
      <c r="J81" s="22">
        <f>IF(H$12=0,0,H81/H$12)</f>
        <v>0.10990439426769782</v>
      </c>
      <c r="K81" s="15"/>
      <c r="L81" s="21">
        <f>+D81-H81</f>
        <v>10838.533598653847</v>
      </c>
      <c r="M81" s="15"/>
      <c r="N81" s="22">
        <f>IF(H81=0,0,L81/H81)</f>
        <v>2.4594203358913336</v>
      </c>
      <c r="O81" s="29"/>
      <c r="P81" s="21">
        <f>+P22-P24+P79</f>
        <v>36891.040000000008</v>
      </c>
      <c r="Q81" s="14"/>
      <c r="R81" s="22">
        <f>IF(P$12=0,0,P81/P$12)</f>
        <v>0.14119219033625072</v>
      </c>
      <c r="S81" s="14"/>
      <c r="T81" s="21">
        <f>+T22-T24+T79</f>
        <v>11880.412328028819</v>
      </c>
      <c r="U81" s="14"/>
      <c r="V81" s="22">
        <f>IF(T$12=0,0,T81/T$12)</f>
        <v>5.1694423148676436E-2</v>
      </c>
      <c r="W81" s="15"/>
      <c r="X81" s="21">
        <f>+P81-T81</f>
        <v>25010.62767197119</v>
      </c>
      <c r="Y81" s="15"/>
      <c r="Z81" s="22">
        <f>IF(T81=0,0,X81/T81)</f>
        <v>2.1051986228596595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>
        <v>4390.88</v>
      </c>
      <c r="E83" s="4"/>
      <c r="F83" s="12">
        <f>IF(D$12=0,0,D83/D$12)</f>
        <v>9.1415228015504599E-2</v>
      </c>
      <c r="G83" s="4"/>
      <c r="H83" s="4">
        <v>4277</v>
      </c>
      <c r="I83" s="4"/>
      <c r="J83" s="12">
        <f>IF(H$12=0,0,H83/H$12)</f>
        <v>0.10666367399870318</v>
      </c>
      <c r="K83" s="4"/>
      <c r="L83" s="4">
        <f>+D83-H83</f>
        <v>113.88000000000011</v>
      </c>
      <c r="M83" s="4"/>
      <c r="N83" s="12">
        <f>IF(H83=0,0,L83/H83)</f>
        <v>2.6626139817629204E-2</v>
      </c>
      <c r="O83" s="10"/>
      <c r="P83" s="4">
        <v>26629.85</v>
      </c>
      <c r="Q83" s="4"/>
      <c r="R83" s="12">
        <f>IF(P$12=0,0,P83/P$12)</f>
        <v>0.10191978458253834</v>
      </c>
      <c r="S83" s="4"/>
      <c r="T83" s="4">
        <v>27636</v>
      </c>
      <c r="U83" s="4"/>
      <c r="V83" s="12">
        <f>IF(T$12=0,0,T83/T$12)</f>
        <v>0.12025063092855277</v>
      </c>
      <c r="W83" s="4"/>
      <c r="X83" s="4">
        <f>+P83-T83</f>
        <v>-1006.1500000000015</v>
      </c>
      <c r="Y83" s="4"/>
      <c r="Z83" s="12">
        <f>IF(T83=0,0,X83/T83)</f>
        <v>-3.6407222463453522E-2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1">
        <f>+D81-D83</f>
        <v>10854.599999999995</v>
      </c>
      <c r="E85" s="14"/>
      <c r="F85" s="32">
        <f>IF(D$12=0,0,D85/D$12)</f>
        <v>0.2259856188320099</v>
      </c>
      <c r="G85" s="14"/>
      <c r="H85" s="31">
        <f>+H81-H83</f>
        <v>129.94640134614747</v>
      </c>
      <c r="I85" s="14"/>
      <c r="J85" s="32">
        <f>IF(H$12=0,0,H85/H$12)</f>
        <v>3.2407202689946498E-3</v>
      </c>
      <c r="K85" s="15"/>
      <c r="L85" s="31">
        <f>D85-H85</f>
        <v>10724.653598653847</v>
      </c>
      <c r="M85" s="15"/>
      <c r="N85" s="32">
        <f>IF(H85=0,0,L85/H85)</f>
        <v>82.531362835403385</v>
      </c>
      <c r="O85" s="29"/>
      <c r="P85" s="31">
        <f>+P81-P83</f>
        <v>10261.19000000001</v>
      </c>
      <c r="Q85" s="14"/>
      <c r="R85" s="32">
        <f>IF(P$12=0,0,P85/P$12)</f>
        <v>3.9272405753712381E-2</v>
      </c>
      <c r="S85" s="14"/>
      <c r="T85" s="31">
        <f>+T81-T83</f>
        <v>-15755.587671971181</v>
      </c>
      <c r="U85" s="14"/>
      <c r="V85" s="32">
        <f>IF(T$12=0,0,T85/T$12)</f>
        <v>-6.8556207779876338E-2</v>
      </c>
      <c r="W85" s="15"/>
      <c r="X85" s="31">
        <f>P85-T85</f>
        <v>26016.777671971191</v>
      </c>
      <c r="Y85" s="15"/>
      <c r="Z85" s="32">
        <f>IF(T85=0,0,X85/T85)</f>
        <v>-1.6512730729971072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3">
        <f>SUM(D85:D87)</f>
        <v>10854.599999999995</v>
      </c>
      <c r="E88" s="14"/>
      <c r="F88" s="30">
        <f>IF(D$12=0,0,D88/D$12)</f>
        <v>0.2259856188320099</v>
      </c>
      <c r="G88" s="14"/>
      <c r="H88" s="33">
        <f>SUM(H85:H87)</f>
        <v>129.94640134614747</v>
      </c>
      <c r="I88" s="14"/>
      <c r="J88" s="30">
        <f>IF(H$12=0,0,H88/H$12)</f>
        <v>3.2407202689946498E-3</v>
      </c>
      <c r="K88" s="15"/>
      <c r="L88" s="33">
        <f>+D88-H88</f>
        <v>10724.653598653847</v>
      </c>
      <c r="M88" s="15"/>
      <c r="N88" s="30">
        <f>IF(H88=0,0,L88/H88)</f>
        <v>82.531362835403385</v>
      </c>
      <c r="O88" s="29"/>
      <c r="P88" s="33">
        <f>SUM(P85:P87)</f>
        <v>10261.19000000001</v>
      </c>
      <c r="Q88" s="14"/>
      <c r="R88" s="30">
        <f>IF(P$12=0,0,P88/P$12)</f>
        <v>3.9272405753712381E-2</v>
      </c>
      <c r="S88" s="14"/>
      <c r="T88" s="33">
        <f>SUM(T85:T87)</f>
        <v>-15755.587671971181</v>
      </c>
      <c r="U88" s="14"/>
      <c r="V88" s="30">
        <f>IF(T$12=0,0,T88/T$12)</f>
        <v>-6.8556207779876338E-2</v>
      </c>
      <c r="W88" s="15"/>
      <c r="X88" s="33">
        <f>+P88-T88</f>
        <v>26016.777671971191</v>
      </c>
      <c r="Y88" s="15"/>
      <c r="Z88" s="30">
        <f>IF(T88=0,0,X88/T88)</f>
        <v>-1.6512730729971072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9">
        <v>43908.494857094905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3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7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110719.90000000001</v>
      </c>
      <c r="E12" s="4"/>
      <c r="F12" s="12"/>
      <c r="G12" s="4"/>
      <c r="H12" s="4">
        <f>SUM(OSRRefH13x_0)</f>
        <v>116875</v>
      </c>
      <c r="I12" s="4"/>
      <c r="J12" s="12"/>
      <c r="K12" s="4"/>
      <c r="L12" s="4">
        <f t="shared" ref="L12:L15" si="0">+D12-H12</f>
        <v>-6155.0999999999913</v>
      </c>
      <c r="M12" s="4"/>
      <c r="N12" s="12">
        <f t="shared" ref="N12:N15" si="1">IF(H12=0,0,L12/H12)</f>
        <v>-5.266395721925126E-2</v>
      </c>
      <c r="O12" s="10"/>
      <c r="P12" s="4">
        <f>SUM(OSRRefP13x_0)</f>
        <v>643820.08000000007</v>
      </c>
      <c r="Q12" s="4"/>
      <c r="R12" s="12"/>
      <c r="S12" s="4"/>
      <c r="T12" s="4">
        <f>SUM(OSRRefT13x_0)</f>
        <v>693602</v>
      </c>
      <c r="U12" s="4"/>
      <c r="V12" s="12"/>
      <c r="W12" s="4"/>
      <c r="X12" s="4">
        <f t="shared" ref="X12:X15" si="2">+P12-T12</f>
        <v>-49781.919999999925</v>
      </c>
      <c r="Y12" s="4"/>
      <c r="Z12" s="12">
        <f t="shared" ref="Z12:Z15" si="3">IF(T12=0,0,X12/T12)</f>
        <v>-7.1773034103131086E-2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--11983.02</f>
        <v>11983.02</v>
      </c>
      <c r="E13" s="2"/>
      <c r="F13" s="19"/>
      <c r="G13" s="2"/>
      <c r="H13" s="2"/>
      <c r="I13" s="2"/>
      <c r="J13" s="19"/>
      <c r="K13" s="2"/>
      <c r="L13" s="2">
        <f t="shared" si="0"/>
        <v>11983.02</v>
      </c>
      <c r="M13" s="2"/>
      <c r="N13" s="19">
        <f t="shared" si="1"/>
        <v>0</v>
      </c>
      <c r="O13" s="11"/>
      <c r="P13" s="2">
        <f>--80255.55</f>
        <v>80255.55</v>
      </c>
      <c r="Q13" s="2"/>
      <c r="R13" s="19"/>
      <c r="S13" s="2"/>
      <c r="T13" s="2"/>
      <c r="U13" s="2"/>
      <c r="V13" s="19"/>
      <c r="W13" s="2"/>
      <c r="X13" s="2">
        <f t="shared" si="2"/>
        <v>80255.55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116875</v>
      </c>
      <c r="I14" s="2"/>
      <c r="J14" s="19"/>
      <c r="K14" s="2"/>
      <c r="L14" s="2">
        <f t="shared" si="0"/>
        <v>-116875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693602</v>
      </c>
      <c r="U14" s="2"/>
      <c r="V14" s="19"/>
      <c r="W14" s="2"/>
      <c r="X14" s="2">
        <f t="shared" si="2"/>
        <v>-693602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--98736.88</f>
        <v>98736.88</v>
      </c>
      <c r="E15" s="2"/>
      <c r="F15" s="19"/>
      <c r="G15" s="2"/>
      <c r="H15" s="2"/>
      <c r="I15" s="2"/>
      <c r="J15" s="19"/>
      <c r="K15" s="2"/>
      <c r="L15" s="2">
        <f t="shared" si="0"/>
        <v>98736.88</v>
      </c>
      <c r="M15" s="2"/>
      <c r="N15" s="19">
        <f t="shared" si="1"/>
        <v>0</v>
      </c>
      <c r="O15" s="11"/>
      <c r="P15" s="2">
        <f>--563564.53</f>
        <v>563564.53</v>
      </c>
      <c r="Q15" s="2"/>
      <c r="R15" s="19"/>
      <c r="S15" s="2"/>
      <c r="T15" s="2"/>
      <c r="U15" s="2"/>
      <c r="V15" s="19"/>
      <c r="W15" s="2"/>
      <c r="X15" s="2">
        <f t="shared" si="2"/>
        <v>563564.53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53145.83</v>
      </c>
      <c r="E17" s="4"/>
      <c r="F17" s="12">
        <f t="shared" ref="F17:F20" si="4">IF(D$12=0,0,D17/D$12)</f>
        <v>0.48000251084041801</v>
      </c>
      <c r="G17" s="4"/>
      <c r="H17" s="4">
        <f>SUM(OSRRefH16x_0)</f>
        <v>56100</v>
      </c>
      <c r="I17" s="4"/>
      <c r="J17" s="12">
        <f t="shared" ref="J17:J20" si="5">IF(H$12=0,0,H17/H$12)</f>
        <v>0.48</v>
      </c>
      <c r="K17" s="4"/>
      <c r="L17" s="4">
        <f t="shared" ref="L17:L20" si="6">+D17-H17</f>
        <v>-2954.1699999999983</v>
      </c>
      <c r="M17" s="4"/>
      <c r="N17" s="12">
        <f t="shared" ref="N17:N20" si="7">IF(H17=0,0,L17/H17)</f>
        <v>-5.2659001782531162E-2</v>
      </c>
      <c r="O17" s="10"/>
      <c r="P17" s="4">
        <f>SUM(OSRRefP16x_0)</f>
        <v>322974.99000000005</v>
      </c>
      <c r="Q17" s="4"/>
      <c r="R17" s="12">
        <f t="shared" ref="R17:R20" si="8">IF(P$12=0,0,P17/P$12)</f>
        <v>0.50165411119205849</v>
      </c>
      <c r="S17" s="4"/>
      <c r="T17" s="4">
        <f>SUM(OSRRefT16x_0)</f>
        <v>332929</v>
      </c>
      <c r="U17" s="4"/>
      <c r="V17" s="12">
        <f t="shared" ref="V17:V20" si="9">IF(T$12=0,0,T17/T$12)</f>
        <v>0.48000005766996057</v>
      </c>
      <c r="W17" s="4"/>
      <c r="X17" s="4">
        <f t="shared" ref="X17:X20" si="10">+P17-T17</f>
        <v>-9954.0099999999511</v>
      </c>
      <c r="Y17" s="4"/>
      <c r="Z17" s="12">
        <f t="shared" ref="Z17:Z20" si="11">IF(T17=0,0,X17/T17)</f>
        <v>-2.9898296633816674E-2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56100</v>
      </c>
      <c r="I18" s="2"/>
      <c r="J18" s="19">
        <f t="shared" si="5"/>
        <v>0.48</v>
      </c>
      <c r="K18" s="2"/>
      <c r="L18" s="2">
        <f t="shared" si="6"/>
        <v>-56100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332929</v>
      </c>
      <c r="U18" s="2"/>
      <c r="V18" s="19">
        <f t="shared" si="9"/>
        <v>0.48000005766996057</v>
      </c>
      <c r="W18" s="2"/>
      <c r="X18" s="2">
        <f t="shared" si="10"/>
        <v>-332929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56586.36</v>
      </c>
      <c r="E19" s="2"/>
      <c r="F19" s="19">
        <f t="shared" si="4"/>
        <v>0.51107668991753064</v>
      </c>
      <c r="G19" s="2"/>
      <c r="H19" s="2"/>
      <c r="I19" s="2"/>
      <c r="J19" s="19">
        <f t="shared" si="5"/>
        <v>0</v>
      </c>
      <c r="K19" s="2"/>
      <c r="L19" s="2">
        <f t="shared" si="6"/>
        <v>56586.36</v>
      </c>
      <c r="M19" s="2"/>
      <c r="N19" s="19">
        <f t="shared" si="7"/>
        <v>0</v>
      </c>
      <c r="O19" s="11"/>
      <c r="P19" s="2">
        <v>341934.47000000003</v>
      </c>
      <c r="Q19" s="2"/>
      <c r="R19" s="19">
        <f t="shared" si="8"/>
        <v>0.53110252479233011</v>
      </c>
      <c r="S19" s="2"/>
      <c r="T19" s="2"/>
      <c r="U19" s="2"/>
      <c r="V19" s="19">
        <f t="shared" si="9"/>
        <v>0</v>
      </c>
      <c r="W19" s="2"/>
      <c r="X19" s="2">
        <f t="shared" si="10"/>
        <v>341934.47000000003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-3440.53</v>
      </c>
      <c r="E20" s="2"/>
      <c r="F20" s="19">
        <f t="shared" si="4"/>
        <v>-3.1074179077112605E-2</v>
      </c>
      <c r="G20" s="2"/>
      <c r="H20" s="2"/>
      <c r="I20" s="2"/>
      <c r="J20" s="19">
        <f t="shared" si="5"/>
        <v>0</v>
      </c>
      <c r="K20" s="2"/>
      <c r="L20" s="2">
        <f t="shared" si="6"/>
        <v>-3440.53</v>
      </c>
      <c r="M20" s="2"/>
      <c r="N20" s="19">
        <f t="shared" si="7"/>
        <v>0</v>
      </c>
      <c r="O20" s="11"/>
      <c r="P20" s="2">
        <v>-18959.48</v>
      </c>
      <c r="Q20" s="2"/>
      <c r="R20" s="19">
        <f t="shared" si="8"/>
        <v>-2.9448413600271676E-2</v>
      </c>
      <c r="S20" s="2"/>
      <c r="T20" s="2"/>
      <c r="U20" s="2"/>
      <c r="V20" s="19">
        <f t="shared" si="9"/>
        <v>0</v>
      </c>
      <c r="W20" s="2"/>
      <c r="X20" s="2">
        <f t="shared" si="10"/>
        <v>-18959.48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D12-D17</f>
        <v>57574.070000000007</v>
      </c>
      <c r="E22" s="14"/>
      <c r="F22" s="22">
        <f>IF(D$12=0,0,D22/D$12)</f>
        <v>0.51999748915958199</v>
      </c>
      <c r="G22" s="14"/>
      <c r="H22" s="21">
        <f>H12-H17</f>
        <v>60775</v>
      </c>
      <c r="I22" s="14"/>
      <c r="J22" s="22">
        <f>IF(H$12=0,0,H22/H$12)</f>
        <v>0.52</v>
      </c>
      <c r="K22" s="15"/>
      <c r="L22" s="21">
        <f>+D22-H22</f>
        <v>-3200.929999999993</v>
      </c>
      <c r="M22" s="15"/>
      <c r="N22" s="22">
        <f>IF(H22=0,0,L22/H22)</f>
        <v>-5.266853146853135E-2</v>
      </c>
      <c r="O22" s="29"/>
      <c r="P22" s="21">
        <f>P12-P17</f>
        <v>320845.09000000003</v>
      </c>
      <c r="Q22" s="14"/>
      <c r="R22" s="22">
        <f>IF(P$12=0,0,P22/P$12)</f>
        <v>0.49834588880794151</v>
      </c>
      <c r="S22" s="14"/>
      <c r="T22" s="21">
        <f>T12-T17</f>
        <v>360673</v>
      </c>
      <c r="U22" s="14"/>
      <c r="V22" s="22">
        <f>IF(T$12=0,0,T22/T$12)</f>
        <v>0.51999994233003943</v>
      </c>
      <c r="W22" s="15"/>
      <c r="X22" s="21">
        <f>+P22-T22</f>
        <v>-39827.909999999974</v>
      </c>
      <c r="Y22" s="15"/>
      <c r="Z22" s="22">
        <f>IF(T22=0,0,X22/T22)</f>
        <v>-0.11042664685185744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32514.740000000005</v>
      </c>
      <c r="E24" s="20"/>
      <c r="F24" s="34">
        <f t="shared" ref="F24:F34" si="12">IF(D$12=0,0,D24/D$12)</f>
        <v>0.29366663084052641</v>
      </c>
      <c r="G24" s="20"/>
      <c r="H24" s="20">
        <f>SUM(OSRRefH22x_0)</f>
        <v>34674.86094812923</v>
      </c>
      <c r="I24" s="20"/>
      <c r="J24" s="34">
        <f t="shared" ref="J24:J34" si="13">IF(H$12=0,0,H24/H$12)</f>
        <v>0.29668330222998274</v>
      </c>
      <c r="K24" s="4"/>
      <c r="L24" s="20">
        <f t="shared" ref="L24:L34" si="14">+D24-H24</f>
        <v>-2160.1209481292244</v>
      </c>
      <c r="M24" s="4"/>
      <c r="N24" s="34">
        <f t="shared" ref="N24:N34" si="15">IF(H24=0,0,L24/H24)</f>
        <v>-6.2296455964469172E-2</v>
      </c>
      <c r="O24" s="10"/>
      <c r="P24" s="20">
        <f>SUM(OSRRefP22x_0)</f>
        <v>230441.44000000003</v>
      </c>
      <c r="Q24" s="20"/>
      <c r="R24" s="34">
        <f t="shared" ref="R24:R34" si="16">IF(P$12=0,0,P24/P$12)</f>
        <v>0.35792832059540608</v>
      </c>
      <c r="S24" s="20"/>
      <c r="T24" s="20">
        <f>SUM(OSRRefT22x_0)</f>
        <v>224759.68699979078</v>
      </c>
      <c r="U24" s="20"/>
      <c r="V24" s="34">
        <f t="shared" ref="V24:V34" si="17">IF(T$12=0,0,T24/T$12)</f>
        <v>0.32404705724578475</v>
      </c>
      <c r="W24" s="4"/>
      <c r="X24" s="20">
        <f t="shared" ref="X24:X34" si="18">+P24-T24</f>
        <v>5681.7530002092535</v>
      </c>
      <c r="Y24" s="4"/>
      <c r="Z24" s="34">
        <f t="shared" ref="Z24:Z34" si="19">IF(T24=0,0,X24/T24)</f>
        <v>2.5279235240323779E-2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2422.7699999999995</v>
      </c>
      <c r="E25" s="1"/>
      <c r="F25" s="5">
        <f t="shared" si="12"/>
        <v>2.188197424311257E-2</v>
      </c>
      <c r="G25" s="1"/>
      <c r="H25" s="1">
        <f>SUM(OSRRefH22_0x_0)</f>
        <v>2582.2833173600002</v>
      </c>
      <c r="I25" s="1"/>
      <c r="J25" s="5">
        <f t="shared" si="13"/>
        <v>2.2094402715379682E-2</v>
      </c>
      <c r="K25" s="1"/>
      <c r="L25" s="1">
        <f t="shared" si="14"/>
        <v>-159.51331736000066</v>
      </c>
      <c r="M25" s="1"/>
      <c r="N25" s="5">
        <f t="shared" si="15"/>
        <v>-6.1772198382584624E-2</v>
      </c>
      <c r="O25" s="13"/>
      <c r="P25" s="1">
        <f>SUM(OSRRefP22_0x_0)</f>
        <v>19209.98</v>
      </c>
      <c r="Q25" s="1"/>
      <c r="R25" s="5">
        <f t="shared" si="16"/>
        <v>2.9837497457364172E-2</v>
      </c>
      <c r="S25" s="1"/>
      <c r="T25" s="1">
        <f>SUM(OSRRefT22_0x_0)</f>
        <v>19410.972330560006</v>
      </c>
      <c r="U25" s="1"/>
      <c r="V25" s="5">
        <f t="shared" si="17"/>
        <v>2.7985750229324605E-2</v>
      </c>
      <c r="W25" s="1"/>
      <c r="X25" s="1">
        <f t="shared" si="18"/>
        <v>-200.99233056000594</v>
      </c>
      <c r="Y25" s="1"/>
      <c r="Z25" s="5">
        <f t="shared" si="19"/>
        <v>-1.0354573028965176E-2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407.57</v>
      </c>
      <c r="E26" s="2"/>
      <c r="F26" s="7">
        <f t="shared" si="12"/>
        <v>3.6810907524302311E-3</v>
      </c>
      <c r="G26" s="2"/>
      <c r="H26" s="6">
        <v>318.43388892923099</v>
      </c>
      <c r="I26" s="2"/>
      <c r="J26" s="7">
        <f t="shared" si="13"/>
        <v>2.7245680336190885E-3</v>
      </c>
      <c r="K26" s="2"/>
      <c r="L26" s="6">
        <f t="shared" si="14"/>
        <v>89.136111070769005</v>
      </c>
      <c r="M26" s="2"/>
      <c r="N26" s="7">
        <f t="shared" si="15"/>
        <v>0.27992030424430953</v>
      </c>
      <c r="O26" s="11"/>
      <c r="P26" s="6">
        <v>4318.45</v>
      </c>
      <c r="Q26" s="2"/>
      <c r="R26" s="7">
        <f t="shared" si="16"/>
        <v>6.7075416473496748E-3</v>
      </c>
      <c r="S26" s="2"/>
      <c r="T26" s="6">
        <v>3036.1196825907718</v>
      </c>
      <c r="U26" s="2"/>
      <c r="V26" s="7">
        <f t="shared" si="17"/>
        <v>4.377322560475275E-3</v>
      </c>
      <c r="W26" s="2"/>
      <c r="X26" s="6">
        <f t="shared" si="18"/>
        <v>1282.330317409228</v>
      </c>
      <c r="Y26" s="2"/>
      <c r="Z26" s="7">
        <f t="shared" si="19"/>
        <v>0.4223582900114774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396.14</v>
      </c>
      <c r="E27" s="2"/>
      <c r="F27" s="7">
        <f t="shared" si="12"/>
        <v>3.5778572776890148E-3</v>
      </c>
      <c r="G27" s="2"/>
      <c r="H27" s="6">
        <v>427.05583261538499</v>
      </c>
      <c r="I27" s="2"/>
      <c r="J27" s="7">
        <f t="shared" si="13"/>
        <v>3.6539536480460749E-3</v>
      </c>
      <c r="K27" s="2"/>
      <c r="L27" s="6">
        <f t="shared" si="14"/>
        <v>-30.915832615385</v>
      </c>
      <c r="M27" s="2"/>
      <c r="N27" s="7">
        <f t="shared" si="15"/>
        <v>-7.2392952523443035E-2</v>
      </c>
      <c r="O27" s="11"/>
      <c r="P27" s="6">
        <v>2375.21</v>
      </c>
      <c r="Q27" s="2"/>
      <c r="R27" s="7">
        <f t="shared" si="16"/>
        <v>3.689244982852973E-3</v>
      </c>
      <c r="S27" s="2"/>
      <c r="T27" s="6">
        <v>2707.6190583846178</v>
      </c>
      <c r="U27" s="2"/>
      <c r="V27" s="7">
        <f t="shared" si="17"/>
        <v>3.9037071092422135E-3</v>
      </c>
      <c r="W27" s="2"/>
      <c r="X27" s="6">
        <f t="shared" si="18"/>
        <v>-332.40905838461777</v>
      </c>
      <c r="Y27" s="2"/>
      <c r="Z27" s="7">
        <f t="shared" si="19"/>
        <v>-0.1227680302202242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683.68</v>
      </c>
      <c r="E28" s="2"/>
      <c r="F28" s="7">
        <f t="shared" si="12"/>
        <v>6.1748610683355016E-3</v>
      </c>
      <c r="G28" s="2"/>
      <c r="H28" s="6">
        <v>663</v>
      </c>
      <c r="I28" s="2"/>
      <c r="J28" s="7">
        <f t="shared" si="13"/>
        <v>5.6727272727272729E-3</v>
      </c>
      <c r="K28" s="2"/>
      <c r="L28" s="6">
        <f t="shared" si="14"/>
        <v>20.67999999999995</v>
      </c>
      <c r="M28" s="2"/>
      <c r="N28" s="7">
        <f t="shared" si="15"/>
        <v>3.1191553544494644E-2</v>
      </c>
      <c r="O28" s="11"/>
      <c r="P28" s="6">
        <v>5214.2</v>
      </c>
      <c r="Q28" s="2"/>
      <c r="R28" s="7">
        <f t="shared" si="16"/>
        <v>8.0988464976115681E-3</v>
      </c>
      <c r="S28" s="2"/>
      <c r="T28" s="6">
        <v>5304</v>
      </c>
      <c r="U28" s="2"/>
      <c r="V28" s="7">
        <f t="shared" si="17"/>
        <v>7.6470367732503651E-3</v>
      </c>
      <c r="W28" s="2"/>
      <c r="X28" s="6">
        <f t="shared" si="18"/>
        <v>-89.800000000000182</v>
      </c>
      <c r="Y28" s="2"/>
      <c r="Z28" s="7">
        <f t="shared" si="19"/>
        <v>-1.693061840120667E-2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54.21</v>
      </c>
      <c r="E29" s="2"/>
      <c r="F29" s="7">
        <f t="shared" si="12"/>
        <v>4.8961388151542767E-4</v>
      </c>
      <c r="G29" s="2"/>
      <c r="H29" s="6">
        <v>58.439219199999997</v>
      </c>
      <c r="I29" s="2"/>
      <c r="J29" s="7">
        <f t="shared" si="13"/>
        <v>5.0001470973262034E-4</v>
      </c>
      <c r="K29" s="2"/>
      <c r="L29" s="6">
        <f t="shared" si="14"/>
        <v>-4.2292191999999957</v>
      </c>
      <c r="M29" s="2"/>
      <c r="N29" s="7">
        <f t="shared" si="15"/>
        <v>-7.2369536381485328E-2</v>
      </c>
      <c r="O29" s="11"/>
      <c r="P29" s="6">
        <v>370.2</v>
      </c>
      <c r="Q29" s="2"/>
      <c r="R29" s="7">
        <f t="shared" si="16"/>
        <v>5.7500536485286381E-4</v>
      </c>
      <c r="S29" s="2"/>
      <c r="T29" s="6">
        <v>370.51629220000001</v>
      </c>
      <c r="U29" s="2"/>
      <c r="V29" s="7">
        <f t="shared" si="17"/>
        <v>5.3419149915946034E-4</v>
      </c>
      <c r="W29" s="2"/>
      <c r="X29" s="6">
        <f t="shared" si="18"/>
        <v>-0.31629220000002078</v>
      </c>
      <c r="Y29" s="2"/>
      <c r="Z29" s="7">
        <f t="shared" si="19"/>
        <v>-8.5365261031299068E-4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290.58</v>
      </c>
      <c r="E30" s="2"/>
      <c r="F30" s="7">
        <f t="shared" si="12"/>
        <v>2.6244604628436257E-3</v>
      </c>
      <c r="G30" s="2"/>
      <c r="H30" s="6">
        <v>357.837638153846</v>
      </c>
      <c r="I30" s="2"/>
      <c r="J30" s="7">
        <f t="shared" si="13"/>
        <v>3.0617124120115168E-3</v>
      </c>
      <c r="K30" s="2"/>
      <c r="L30" s="6">
        <f t="shared" si="14"/>
        <v>-67.257638153846017</v>
      </c>
      <c r="M30" s="2"/>
      <c r="N30" s="7">
        <f t="shared" si="15"/>
        <v>-0.18795574020899886</v>
      </c>
      <c r="O30" s="11"/>
      <c r="P30" s="6">
        <v>2190.48</v>
      </c>
      <c r="Q30" s="2"/>
      <c r="R30" s="7">
        <f t="shared" si="16"/>
        <v>3.4023169951455999E-3</v>
      </c>
      <c r="S30" s="2"/>
      <c r="T30" s="6">
        <v>3016.108685846154</v>
      </c>
      <c r="U30" s="2"/>
      <c r="V30" s="7">
        <f t="shared" si="17"/>
        <v>4.3484717256382678E-3</v>
      </c>
      <c r="W30" s="2"/>
      <c r="X30" s="6">
        <f t="shared" si="18"/>
        <v>-825.62868584615399</v>
      </c>
      <c r="Y30" s="2"/>
      <c r="Z30" s="7">
        <f t="shared" si="19"/>
        <v>-0.27373969967349771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239.72</v>
      </c>
      <c r="E32" s="2"/>
      <c r="F32" s="7">
        <f t="shared" si="12"/>
        <v>2.1651031115454402E-3</v>
      </c>
      <c r="G32" s="2"/>
      <c r="H32" s="6">
        <v>124.827083076923</v>
      </c>
      <c r="I32" s="2"/>
      <c r="J32" s="7">
        <f t="shared" si="13"/>
        <v>1.0680392134923894E-3</v>
      </c>
      <c r="K32" s="2"/>
      <c r="L32" s="6">
        <f t="shared" si="14"/>
        <v>114.892916923077</v>
      </c>
      <c r="M32" s="2"/>
      <c r="N32" s="7">
        <f t="shared" si="15"/>
        <v>0.92041658020860573</v>
      </c>
      <c r="O32" s="11"/>
      <c r="P32" s="6">
        <v>1917.76</v>
      </c>
      <c r="Q32" s="2"/>
      <c r="R32" s="7">
        <f t="shared" si="16"/>
        <v>2.9787203903301677E-3</v>
      </c>
      <c r="S32" s="2"/>
      <c r="T32" s="6">
        <v>1052.1309369230771</v>
      </c>
      <c r="U32" s="2"/>
      <c r="V32" s="7">
        <f t="shared" si="17"/>
        <v>1.5169087415017215E-3</v>
      </c>
      <c r="W32" s="2"/>
      <c r="X32" s="6">
        <f t="shared" si="18"/>
        <v>865.62906307692288</v>
      </c>
      <c r="Y32" s="2"/>
      <c r="Z32" s="7">
        <f t="shared" si="19"/>
        <v>0.82273891271406496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191.88</v>
      </c>
      <c r="E33" s="2"/>
      <c r="F33" s="7">
        <f t="shared" si="12"/>
        <v>1.7330217964430963E-3</v>
      </c>
      <c r="G33" s="2"/>
      <c r="H33" s="6">
        <v>632.68965538461498</v>
      </c>
      <c r="I33" s="2"/>
      <c r="J33" s="7">
        <f t="shared" si="13"/>
        <v>5.4133874257507163E-3</v>
      </c>
      <c r="K33" s="2"/>
      <c r="L33" s="6">
        <f t="shared" si="14"/>
        <v>-440.80965538461498</v>
      </c>
      <c r="M33" s="2"/>
      <c r="N33" s="7">
        <f t="shared" si="15"/>
        <v>-0.69672334869556973</v>
      </c>
      <c r="O33" s="11"/>
      <c r="P33" s="6">
        <v>1535.04</v>
      </c>
      <c r="Q33" s="2"/>
      <c r="R33" s="7">
        <f t="shared" si="16"/>
        <v>2.3842685987675309E-3</v>
      </c>
      <c r="S33" s="2"/>
      <c r="T33" s="6">
        <v>3924.4776746153821</v>
      </c>
      <c r="U33" s="2"/>
      <c r="V33" s="7">
        <f t="shared" si="17"/>
        <v>5.6581118200572985E-3</v>
      </c>
      <c r="W33" s="2"/>
      <c r="X33" s="6">
        <f t="shared" si="18"/>
        <v>-2389.4376746153821</v>
      </c>
      <c r="Y33" s="2"/>
      <c r="Z33" s="7">
        <f t="shared" si="19"/>
        <v>-0.60885495414356217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158.99</v>
      </c>
      <c r="E34" s="2"/>
      <c r="F34" s="7">
        <f t="shared" si="12"/>
        <v>1.435965892310235E-3</v>
      </c>
      <c r="G34" s="2"/>
      <c r="H34" s="6"/>
      <c r="I34" s="2"/>
      <c r="J34" s="7">
        <f t="shared" si="13"/>
        <v>0</v>
      </c>
      <c r="K34" s="2"/>
      <c r="L34" s="6">
        <f t="shared" si="14"/>
        <v>158.99</v>
      </c>
      <c r="M34" s="2"/>
      <c r="N34" s="7">
        <f t="shared" si="15"/>
        <v>0</v>
      </c>
      <c r="O34" s="11"/>
      <c r="P34" s="6">
        <v>1288.6400000000001</v>
      </c>
      <c r="Q34" s="2"/>
      <c r="R34" s="7">
        <f t="shared" si="16"/>
        <v>2.0015529804537939E-3</v>
      </c>
      <c r="S34" s="2"/>
      <c r="T34" s="6"/>
      <c r="U34" s="2"/>
      <c r="V34" s="7">
        <f t="shared" si="17"/>
        <v>0</v>
      </c>
      <c r="W34" s="2"/>
      <c r="X34" s="6">
        <f t="shared" si="18"/>
        <v>1288.6400000000001</v>
      </c>
      <c r="Y34" s="2"/>
      <c r="Z34" s="7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19783.099999999999</v>
      </c>
      <c r="E35" s="1"/>
      <c r="F35" s="5">
        <f t="shared" ref="F35:F45" si="20">IF(D$12=0,0,D35/D$12)</f>
        <v>0.17867700386290086</v>
      </c>
      <c r="G35" s="1"/>
      <c r="H35" s="1">
        <f>SUM(OSRRefH22_1x_0)</f>
        <v>22268.577630769232</v>
      </c>
      <c r="I35" s="1"/>
      <c r="J35" s="5">
        <f t="shared" ref="J35:J45" si="21">IF(H$12=0,0,H35/H$12)</f>
        <v>0.19053328454134102</v>
      </c>
      <c r="K35" s="1"/>
      <c r="L35" s="1">
        <f t="shared" ref="L35:L45" si="22">+D35-H35</f>
        <v>-2485.4776307692337</v>
      </c>
      <c r="M35" s="1"/>
      <c r="N35" s="5">
        <f t="shared" ref="N35:N45" si="23">IF(H35=0,0,L35/H35)</f>
        <v>-0.11161366801151083</v>
      </c>
      <c r="O35" s="13"/>
      <c r="P35" s="1">
        <f>SUM(OSRRefP22_1x_0)</f>
        <v>136040.48000000001</v>
      </c>
      <c r="Q35" s="1"/>
      <c r="R35" s="5">
        <f t="shared" ref="R35:R45" si="24">IF(P$12=0,0,P35/P$12)</f>
        <v>0.21130201468708462</v>
      </c>
      <c r="S35" s="1"/>
      <c r="T35" s="1">
        <f>SUM(OSRRefT22_1x_0)</f>
        <v>140752.71466923077</v>
      </c>
      <c r="U35" s="1"/>
      <c r="V35" s="5">
        <f t="shared" ref="V35:V45" si="25">IF(T$12=0,0,T35/T$12)</f>
        <v>0.20293008767164855</v>
      </c>
      <c r="W35" s="1"/>
      <c r="X35" s="1">
        <f t="shared" ref="X35:X45" si="26">+P35-T35</f>
        <v>-4712.2346692307619</v>
      </c>
      <c r="Y35" s="1"/>
      <c r="Z35" s="5">
        <f t="shared" ref="Z35:Z45" si="27">IF(T35=0,0,X35/T35)</f>
        <v>-3.3478819078584202E-2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3952.8576307692297</v>
      </c>
      <c r="I36" s="2"/>
      <c r="J36" s="7">
        <f t="shared" si="21"/>
        <v>3.3821241760592341E-2</v>
      </c>
      <c r="K36" s="2"/>
      <c r="L36" s="6">
        <f t="shared" si="22"/>
        <v>-3952.8576307692297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33317.479669230772</v>
      </c>
      <c r="U36" s="2"/>
      <c r="V36" s="7">
        <f t="shared" si="25"/>
        <v>4.8035443480887847E-2</v>
      </c>
      <c r="W36" s="2"/>
      <c r="X36" s="6">
        <f t="shared" si="26"/>
        <v>-33317.479669230772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4030</v>
      </c>
      <c r="E37" s="2"/>
      <c r="F37" s="7">
        <f t="shared" si="20"/>
        <v>3.6398154261338744E-2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4030</v>
      </c>
      <c r="M37" s="2"/>
      <c r="N37" s="7">
        <f t="shared" si="23"/>
        <v>0</v>
      </c>
      <c r="O37" s="11"/>
      <c r="P37" s="6">
        <v>30686</v>
      </c>
      <c r="Q37" s="2"/>
      <c r="R37" s="7">
        <f t="shared" si="24"/>
        <v>4.7662384186588275E-2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30686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612.46</v>
      </c>
      <c r="E40" s="2"/>
      <c r="F40" s="7">
        <f t="shared" si="20"/>
        <v>5.5316162677170044E-3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612.46</v>
      </c>
      <c r="M40" s="2"/>
      <c r="N40" s="7">
        <f t="shared" si="23"/>
        <v>0</v>
      </c>
      <c r="O40" s="11"/>
      <c r="P40" s="6">
        <v>9018.76</v>
      </c>
      <c r="Q40" s="2"/>
      <c r="R40" s="7">
        <f t="shared" si="24"/>
        <v>1.4008199309347418E-2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9018.76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>
        <v>493.36</v>
      </c>
      <c r="E41" s="2"/>
      <c r="F41" s="7">
        <f t="shared" si="20"/>
        <v>4.455928879993569E-3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493.36</v>
      </c>
      <c r="M41" s="2"/>
      <c r="N41" s="7">
        <f t="shared" si="23"/>
        <v>0</v>
      </c>
      <c r="O41" s="11"/>
      <c r="P41" s="6">
        <v>493.36</v>
      </c>
      <c r="Q41" s="2"/>
      <c r="R41" s="7">
        <f t="shared" si="24"/>
        <v>7.6630104485091546E-4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493.36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14257.28</v>
      </c>
      <c r="E42" s="2"/>
      <c r="F42" s="7">
        <f t="shared" si="20"/>
        <v>0.12876890242856071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14257.28</v>
      </c>
      <c r="M42" s="2"/>
      <c r="N42" s="7">
        <f t="shared" si="23"/>
        <v>0</v>
      </c>
      <c r="O42" s="11"/>
      <c r="P42" s="6">
        <v>93607.360000000001</v>
      </c>
      <c r="Q42" s="2"/>
      <c r="R42" s="7">
        <f t="shared" si="24"/>
        <v>0.14539366339738891</v>
      </c>
      <c r="S42" s="2"/>
      <c r="T42" s="6">
        <v>4601.25</v>
      </c>
      <c r="U42" s="2"/>
      <c r="V42" s="7">
        <f t="shared" si="25"/>
        <v>6.6338476532651286E-3</v>
      </c>
      <c r="W42" s="2"/>
      <c r="X42" s="6">
        <f t="shared" si="26"/>
        <v>89006.11</v>
      </c>
      <c r="Y42" s="2"/>
      <c r="Z42" s="7">
        <f t="shared" si="27"/>
        <v>19.343897853844066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390</v>
      </c>
      <c r="E43" s="2"/>
      <c r="F43" s="7">
        <f t="shared" si="20"/>
        <v>3.5224020252908462E-3</v>
      </c>
      <c r="G43" s="2"/>
      <c r="H43" s="6">
        <v>18315.72</v>
      </c>
      <c r="I43" s="2"/>
      <c r="J43" s="7">
        <f t="shared" si="21"/>
        <v>0.15671204278074868</v>
      </c>
      <c r="K43" s="2"/>
      <c r="L43" s="6">
        <f t="shared" si="22"/>
        <v>-17925.72</v>
      </c>
      <c r="M43" s="2"/>
      <c r="N43" s="7">
        <f t="shared" si="23"/>
        <v>-0.97870681578447372</v>
      </c>
      <c r="O43" s="11"/>
      <c r="P43" s="6">
        <v>2235</v>
      </c>
      <c r="Q43" s="2"/>
      <c r="R43" s="7">
        <f t="shared" si="24"/>
        <v>3.4714667489091047E-3</v>
      </c>
      <c r="S43" s="2"/>
      <c r="T43" s="6">
        <v>102833.985</v>
      </c>
      <c r="U43" s="2"/>
      <c r="V43" s="7">
        <f t="shared" si="25"/>
        <v>0.14826079653749558</v>
      </c>
      <c r="W43" s="2"/>
      <c r="X43" s="6">
        <f t="shared" si="26"/>
        <v>-100598.985</v>
      </c>
      <c r="Y43" s="2"/>
      <c r="Z43" s="7">
        <f t="shared" si="27"/>
        <v>-0.978265940000283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58.1</v>
      </c>
      <c r="E46" s="1"/>
      <c r="F46" s="5">
        <f t="shared" ref="F46:F54" si="28">IF(D$12=0,0,D46/D$12)</f>
        <v>5.2474758376768761E-4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58.1</v>
      </c>
      <c r="M46" s="1"/>
      <c r="N46" s="5">
        <f t="shared" ref="N46:N54" si="31">IF(H46=0,0,L46/H46)</f>
        <v>0</v>
      </c>
      <c r="O46" s="13"/>
      <c r="P46" s="1">
        <f>SUM(OSRRefP22_2x_0)</f>
        <v>253.06</v>
      </c>
      <c r="Q46" s="1"/>
      <c r="R46" s="5">
        <f t="shared" ref="R46:R54" si="32">IF(P$12=0,0,P46/P$12)</f>
        <v>3.9306012325679554E-4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253.06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58.1</v>
      </c>
      <c r="E47" s="2"/>
      <c r="F47" s="7">
        <f t="shared" si="28"/>
        <v>5.2474758376768761E-4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58.1</v>
      </c>
      <c r="M47" s="2"/>
      <c r="N47" s="7">
        <f t="shared" si="31"/>
        <v>0</v>
      </c>
      <c r="O47" s="11"/>
      <c r="P47" s="6">
        <v>253.06</v>
      </c>
      <c r="Q47" s="2"/>
      <c r="R47" s="7">
        <f t="shared" si="32"/>
        <v>3.9306012325679554E-4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253.06</v>
      </c>
      <c r="Y47" s="2"/>
      <c r="Z47" s="7">
        <f t="shared" si="35"/>
        <v>0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-31.28</v>
      </c>
      <c r="E48" s="1"/>
      <c r="F48" s="5">
        <f t="shared" si="28"/>
        <v>-2.8251470602845557E-4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-31.28</v>
      </c>
      <c r="M48" s="1"/>
      <c r="N48" s="5">
        <f t="shared" si="31"/>
        <v>0</v>
      </c>
      <c r="O48" s="13"/>
      <c r="P48" s="1">
        <f>SUM(OSRRefP22_3x_0)</f>
        <v>-45.02</v>
      </c>
      <c r="Q48" s="1"/>
      <c r="R48" s="5">
        <f t="shared" si="32"/>
        <v>-6.9926368248719422E-5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-45.02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-31.28</v>
      </c>
      <c r="E49" s="2"/>
      <c r="F49" s="7">
        <f t="shared" si="28"/>
        <v>-2.8251470602845557E-4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-31.28</v>
      </c>
      <c r="M49" s="2"/>
      <c r="N49" s="7">
        <f t="shared" si="31"/>
        <v>0</v>
      </c>
      <c r="O49" s="11"/>
      <c r="P49" s="6">
        <v>-45.02</v>
      </c>
      <c r="Q49" s="2"/>
      <c r="R49" s="7">
        <f t="shared" si="32"/>
        <v>-6.9926368248719422E-5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-45.02</v>
      </c>
      <c r="Y49" s="2"/>
      <c r="Z49" s="7">
        <f t="shared" si="35"/>
        <v>0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4523.92</v>
      </c>
      <c r="E50" s="1"/>
      <c r="F50" s="5">
        <f t="shared" si="28"/>
        <v>4.0859140949368628E-2</v>
      </c>
      <c r="G50" s="1"/>
      <c r="H50" s="1">
        <f>SUM(OSRRefH22_4x_0)</f>
        <v>3544</v>
      </c>
      <c r="I50" s="1"/>
      <c r="J50" s="5">
        <f t="shared" si="29"/>
        <v>3.0322994652406416E-2</v>
      </c>
      <c r="K50" s="1"/>
      <c r="L50" s="1">
        <f t="shared" si="30"/>
        <v>979.92000000000007</v>
      </c>
      <c r="M50" s="1"/>
      <c r="N50" s="5">
        <f t="shared" si="31"/>
        <v>0.27650112866817156</v>
      </c>
      <c r="O50" s="13"/>
      <c r="P50" s="1">
        <f>SUM(OSRRefP22_4x_0)</f>
        <v>23232.26</v>
      </c>
      <c r="Q50" s="1"/>
      <c r="R50" s="5">
        <f t="shared" si="32"/>
        <v>3.608501928054185E-2</v>
      </c>
      <c r="S50" s="1"/>
      <c r="T50" s="1">
        <f>SUM(OSRRefT22_4x_0)</f>
        <v>21034</v>
      </c>
      <c r="U50" s="1"/>
      <c r="V50" s="5">
        <f t="shared" si="33"/>
        <v>3.0325748772350714E-2</v>
      </c>
      <c r="W50" s="1"/>
      <c r="X50" s="1">
        <f t="shared" si="34"/>
        <v>2198.2599999999984</v>
      </c>
      <c r="Y50" s="1"/>
      <c r="Z50" s="5">
        <f t="shared" si="35"/>
        <v>0.10450984120947031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4523.92</v>
      </c>
      <c r="E51" s="2"/>
      <c r="F51" s="7">
        <f t="shared" si="28"/>
        <v>4.0859140949368628E-2</v>
      </c>
      <c r="G51" s="2"/>
      <c r="H51" s="6">
        <v>3544</v>
      </c>
      <c r="I51" s="2"/>
      <c r="J51" s="7">
        <f t="shared" si="29"/>
        <v>3.0322994652406416E-2</v>
      </c>
      <c r="K51" s="2"/>
      <c r="L51" s="6">
        <f t="shared" si="30"/>
        <v>979.92000000000007</v>
      </c>
      <c r="M51" s="2"/>
      <c r="N51" s="7">
        <f t="shared" si="31"/>
        <v>0.27650112866817156</v>
      </c>
      <c r="O51" s="11"/>
      <c r="P51" s="6">
        <v>23232.26</v>
      </c>
      <c r="Q51" s="2"/>
      <c r="R51" s="7">
        <f t="shared" si="32"/>
        <v>3.608501928054185E-2</v>
      </c>
      <c r="S51" s="2"/>
      <c r="T51" s="6">
        <v>21034</v>
      </c>
      <c r="U51" s="2"/>
      <c r="V51" s="7">
        <f t="shared" si="33"/>
        <v>3.0325748772350714E-2</v>
      </c>
      <c r="W51" s="2"/>
      <c r="X51" s="6">
        <f t="shared" si="34"/>
        <v>2198.2599999999984</v>
      </c>
      <c r="Y51" s="2"/>
      <c r="Z51" s="7">
        <f t="shared" si="35"/>
        <v>0.10450984120947031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1857.58</v>
      </c>
      <c r="E52" s="1"/>
      <c r="F52" s="5">
        <f t="shared" si="28"/>
        <v>1.6777291164460948E-2</v>
      </c>
      <c r="G52" s="1"/>
      <c r="H52" s="1">
        <f>SUM(OSRRefH22_5x_0)</f>
        <v>1941</v>
      </c>
      <c r="I52" s="1"/>
      <c r="J52" s="5">
        <f t="shared" si="29"/>
        <v>1.6607486631016043E-2</v>
      </c>
      <c r="K52" s="1"/>
      <c r="L52" s="1">
        <f t="shared" si="30"/>
        <v>-83.420000000000073</v>
      </c>
      <c r="M52" s="1"/>
      <c r="N52" s="5">
        <f t="shared" si="31"/>
        <v>-4.2977846470891333E-2</v>
      </c>
      <c r="O52" s="13"/>
      <c r="P52" s="1">
        <f>SUM(OSRRefP22_5x_0)</f>
        <v>14860.64</v>
      </c>
      <c r="Q52" s="1"/>
      <c r="R52" s="5">
        <f t="shared" si="32"/>
        <v>2.308197656711794E-2</v>
      </c>
      <c r="S52" s="1"/>
      <c r="T52" s="1">
        <f>SUM(OSRRefT22_5x_0)</f>
        <v>15279</v>
      </c>
      <c r="U52" s="1"/>
      <c r="V52" s="5">
        <f t="shared" si="33"/>
        <v>2.2028483193531737E-2</v>
      </c>
      <c r="W52" s="1"/>
      <c r="X52" s="1">
        <f t="shared" si="34"/>
        <v>-418.36000000000058</v>
      </c>
      <c r="Y52" s="1"/>
      <c r="Z52" s="5">
        <f t="shared" si="35"/>
        <v>-2.7381373126513554E-2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1857.58</v>
      </c>
      <c r="E53" s="2"/>
      <c r="F53" s="7">
        <f t="shared" si="28"/>
        <v>1.6777291164460948E-2</v>
      </c>
      <c r="G53" s="2"/>
      <c r="H53" s="6">
        <v>1858</v>
      </c>
      <c r="I53" s="2"/>
      <c r="J53" s="7">
        <f t="shared" si="29"/>
        <v>1.5897326203208557E-2</v>
      </c>
      <c r="K53" s="2"/>
      <c r="L53" s="6">
        <f t="shared" si="30"/>
        <v>-0.42000000000007276</v>
      </c>
      <c r="M53" s="2"/>
      <c r="N53" s="7">
        <f t="shared" si="31"/>
        <v>-2.2604951560822E-4</v>
      </c>
      <c r="O53" s="11"/>
      <c r="P53" s="6">
        <v>14860.64</v>
      </c>
      <c r="Q53" s="2"/>
      <c r="R53" s="7">
        <f t="shared" si="32"/>
        <v>2.308197656711794E-2</v>
      </c>
      <c r="S53" s="2"/>
      <c r="T53" s="6">
        <v>14864</v>
      </c>
      <c r="U53" s="2"/>
      <c r="V53" s="7">
        <f t="shared" si="33"/>
        <v>2.1430157352487451E-2</v>
      </c>
      <c r="W53" s="2"/>
      <c r="X53" s="6">
        <f t="shared" si="34"/>
        <v>-3.3600000000005821</v>
      </c>
      <c r="Y53" s="2"/>
      <c r="Z53" s="7">
        <f t="shared" si="35"/>
        <v>-2.2604951560822E-4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83</v>
      </c>
      <c r="I54" s="2"/>
      <c r="J54" s="7">
        <f t="shared" si="29"/>
        <v>7.1016042780748664E-4</v>
      </c>
      <c r="K54" s="2"/>
      <c r="L54" s="6">
        <f t="shared" si="30"/>
        <v>-83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415</v>
      </c>
      <c r="U54" s="2"/>
      <c r="V54" s="7">
        <f t="shared" si="33"/>
        <v>5.9832584104428763E-4</v>
      </c>
      <c r="W54" s="2"/>
      <c r="X54" s="6">
        <f t="shared" si="34"/>
        <v>-415</v>
      </c>
      <c r="Y54" s="2"/>
      <c r="Z54" s="7">
        <f t="shared" si="35"/>
        <v>-1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4" si="36">IF(D$12=0,0,D55/D$12)</f>
        <v>0</v>
      </c>
      <c r="G55" s="1"/>
      <c r="H55" s="1">
        <f>SUM(OSRRefH22_6x_0)</f>
        <v>0</v>
      </c>
      <c r="I55" s="1"/>
      <c r="J55" s="5">
        <f t="shared" ref="J55:J64" si="37">IF(H$12=0,0,H55/H$12)</f>
        <v>0</v>
      </c>
      <c r="K55" s="1"/>
      <c r="L55" s="1">
        <f t="shared" ref="L55:L64" si="38">+D55-H55</f>
        <v>0</v>
      </c>
      <c r="M55" s="1"/>
      <c r="N55" s="5">
        <f t="shared" ref="N55:N64" si="39">IF(H55=0,0,L55/H55)</f>
        <v>0</v>
      </c>
      <c r="O55" s="13"/>
      <c r="P55" s="1">
        <f>SUM(OSRRefP22_6x_0)</f>
        <v>0</v>
      </c>
      <c r="Q55" s="1"/>
      <c r="R55" s="5">
        <f t="shared" ref="R55:R64" si="40">IF(P$12=0,0,P55/P$12)</f>
        <v>0</v>
      </c>
      <c r="S55" s="1"/>
      <c r="T55" s="1">
        <f>SUM(OSRRefT22_6x_0)</f>
        <v>0</v>
      </c>
      <c r="U55" s="1"/>
      <c r="V55" s="5">
        <f t="shared" ref="V55:V64" si="41">IF(T$12=0,0,T55/T$12)</f>
        <v>0</v>
      </c>
      <c r="W55" s="1"/>
      <c r="X55" s="1">
        <f t="shared" ref="X55:X64" si="42">+P55-T55</f>
        <v>0</v>
      </c>
      <c r="Y55" s="1"/>
      <c r="Z55" s="5">
        <f t="shared" ref="Z55:Z64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13.5</v>
      </c>
      <c r="E57" s="1"/>
      <c r="F57" s="5">
        <f t="shared" si="36"/>
        <v>1.2192930087545236E-4</v>
      </c>
      <c r="G57" s="1"/>
      <c r="H57" s="1">
        <f>SUM(OSRRefH22_7x_0)</f>
        <v>322</v>
      </c>
      <c r="I57" s="1"/>
      <c r="J57" s="5">
        <f t="shared" si="37"/>
        <v>2.7550802139037433E-3</v>
      </c>
      <c r="K57" s="1"/>
      <c r="L57" s="1">
        <f t="shared" si="38"/>
        <v>-308.5</v>
      </c>
      <c r="M57" s="1"/>
      <c r="N57" s="5">
        <f t="shared" si="39"/>
        <v>-0.95807453416149069</v>
      </c>
      <c r="O57" s="13"/>
      <c r="P57" s="1">
        <f>SUM(OSRRefP22_7x_0)</f>
        <v>1231.03</v>
      </c>
      <c r="Q57" s="1"/>
      <c r="R57" s="5">
        <f t="shared" si="40"/>
        <v>1.9120714594673715E-3</v>
      </c>
      <c r="S57" s="1"/>
      <c r="T57" s="1">
        <f>SUM(OSRRefT22_7x_0)</f>
        <v>1913</v>
      </c>
      <c r="U57" s="1"/>
      <c r="V57" s="5">
        <f t="shared" si="41"/>
        <v>2.7580658648619812E-3</v>
      </c>
      <c r="W57" s="1"/>
      <c r="X57" s="1">
        <f t="shared" si="42"/>
        <v>-681.97</v>
      </c>
      <c r="Y57" s="1"/>
      <c r="Z57" s="5">
        <f t="shared" si="43"/>
        <v>-0.35649242028227918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>
        <v>13.5</v>
      </c>
      <c r="E58" s="2"/>
      <c r="F58" s="7">
        <f t="shared" si="36"/>
        <v>1.2192930087545236E-4</v>
      </c>
      <c r="G58" s="2"/>
      <c r="H58" s="6">
        <v>322</v>
      </c>
      <c r="I58" s="2"/>
      <c r="J58" s="7">
        <f t="shared" si="37"/>
        <v>2.7550802139037433E-3</v>
      </c>
      <c r="K58" s="2"/>
      <c r="L58" s="6">
        <f t="shared" si="38"/>
        <v>-308.5</v>
      </c>
      <c r="M58" s="2"/>
      <c r="N58" s="7">
        <f t="shared" si="39"/>
        <v>-0.95807453416149069</v>
      </c>
      <c r="O58" s="11"/>
      <c r="P58" s="6">
        <v>1231.03</v>
      </c>
      <c r="Q58" s="2"/>
      <c r="R58" s="7">
        <f t="shared" si="40"/>
        <v>1.9120714594673715E-3</v>
      </c>
      <c r="S58" s="2"/>
      <c r="T58" s="6">
        <v>1913</v>
      </c>
      <c r="U58" s="2"/>
      <c r="V58" s="7">
        <f t="shared" si="41"/>
        <v>2.7580658648619812E-3</v>
      </c>
      <c r="W58" s="2"/>
      <c r="X58" s="6">
        <f t="shared" si="42"/>
        <v>-681.97</v>
      </c>
      <c r="Y58" s="2"/>
      <c r="Z58" s="7">
        <f t="shared" si="43"/>
        <v>-0.35649242028227918</v>
      </c>
    </row>
    <row r="59" spans="1:26" s="27" customFormat="1" outlineLevel="1" collapsed="1" x14ac:dyDescent="0.25">
      <c r="A59" s="26"/>
      <c r="B59" s="13" t="str">
        <f>CONCATENATE("     ","Rent                                              ")</f>
        <v xml:space="preserve">     Rent                                              </v>
      </c>
      <c r="C59" s="13"/>
      <c r="D59" s="1">
        <f>SUM(OSRRefD22_8x_0)</f>
        <v>1150</v>
      </c>
      <c r="E59" s="1"/>
      <c r="F59" s="5">
        <f t="shared" si="36"/>
        <v>1.0386570074575573E-2</v>
      </c>
      <c r="G59" s="1"/>
      <c r="H59" s="1">
        <f>SUM(OSRRefH22_8x_0)</f>
        <v>1150</v>
      </c>
      <c r="I59" s="1"/>
      <c r="J59" s="5">
        <f t="shared" si="37"/>
        <v>9.8395721925133694E-3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9200</v>
      </c>
      <c r="Q59" s="1"/>
      <c r="R59" s="5">
        <f t="shared" si="40"/>
        <v>1.4289706527947994E-2</v>
      </c>
      <c r="S59" s="1"/>
      <c r="T59" s="1">
        <f>SUM(OSRRefT22_8x_0)</f>
        <v>9200</v>
      </c>
      <c r="U59" s="1"/>
      <c r="V59" s="5">
        <f t="shared" si="41"/>
        <v>1.3264090933993847E-2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"6273", " - ", "RENT")</f>
        <v xml:space="preserve">          6273 - RENT</v>
      </c>
      <c r="C60" s="11"/>
      <c r="D60" s="6">
        <v>1150</v>
      </c>
      <c r="E60" s="2"/>
      <c r="F60" s="7">
        <f t="shared" si="36"/>
        <v>1.0386570074575573E-2</v>
      </c>
      <c r="G60" s="2"/>
      <c r="H60" s="6">
        <v>1150</v>
      </c>
      <c r="I60" s="2"/>
      <c r="J60" s="7">
        <f t="shared" si="37"/>
        <v>9.8395721925133694E-3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9200</v>
      </c>
      <c r="Q60" s="2"/>
      <c r="R60" s="7">
        <f t="shared" si="40"/>
        <v>1.4289706527947994E-2</v>
      </c>
      <c r="S60" s="2"/>
      <c r="T60" s="6">
        <v>9200</v>
      </c>
      <c r="U60" s="2"/>
      <c r="V60" s="7">
        <f t="shared" si="41"/>
        <v>1.3264090933993847E-2</v>
      </c>
      <c r="W60" s="2"/>
      <c r="X60" s="6">
        <f t="shared" si="42"/>
        <v>0</v>
      </c>
      <c r="Y60" s="2"/>
      <c r="Z60" s="7">
        <f t="shared" si="43"/>
        <v>0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0</v>
      </c>
      <c r="E61" s="1"/>
      <c r="F61" s="5">
        <f t="shared" si="36"/>
        <v>0</v>
      </c>
      <c r="G61" s="1"/>
      <c r="H61" s="1">
        <f>SUM(OSRRefH22_9x_0)</f>
        <v>537</v>
      </c>
      <c r="I61" s="1"/>
      <c r="J61" s="5">
        <f t="shared" si="37"/>
        <v>4.5946524064171121E-3</v>
      </c>
      <c r="K61" s="1"/>
      <c r="L61" s="1">
        <f t="shared" si="38"/>
        <v>-537</v>
      </c>
      <c r="M61" s="1"/>
      <c r="N61" s="5">
        <f t="shared" si="39"/>
        <v>-1</v>
      </c>
      <c r="O61" s="13"/>
      <c r="P61" s="1">
        <f>SUM(OSRRefP22_9x_0)</f>
        <v>5873.64</v>
      </c>
      <c r="Q61" s="1"/>
      <c r="R61" s="5">
        <f t="shared" si="40"/>
        <v>9.1231078098713541E-3</v>
      </c>
      <c r="S61" s="1"/>
      <c r="T61" s="1">
        <f>SUM(OSRRefT22_9x_0)</f>
        <v>3187</v>
      </c>
      <c r="U61" s="1"/>
      <c r="V61" s="5">
        <f t="shared" si="41"/>
        <v>4.5948541094172164E-3</v>
      </c>
      <c r="W61" s="1"/>
      <c r="X61" s="1">
        <f t="shared" si="42"/>
        <v>2686.6400000000003</v>
      </c>
      <c r="Y61" s="1"/>
      <c r="Z61" s="5">
        <f t="shared" si="43"/>
        <v>0.84299968622529031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0</v>
      </c>
      <c r="U62" s="2"/>
      <c r="V62" s="7">
        <f t="shared" si="41"/>
        <v>0</v>
      </c>
      <c r="W62" s="2"/>
      <c r="X62" s="6">
        <f t="shared" si="42"/>
        <v>0</v>
      </c>
      <c r="Y62" s="2"/>
      <c r="Z62" s="7">
        <f t="shared" si="43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139.83000000000001</v>
      </c>
      <c r="Q63" s="2"/>
      <c r="R63" s="7">
        <f t="shared" si="40"/>
        <v>2.1718800693510521E-4</v>
      </c>
      <c r="S63" s="2"/>
      <c r="T63" s="6"/>
      <c r="U63" s="2"/>
      <c r="V63" s="7">
        <f t="shared" si="41"/>
        <v>0</v>
      </c>
      <c r="W63" s="2"/>
      <c r="X63" s="6">
        <f t="shared" si="42"/>
        <v>139.83000000000001</v>
      </c>
      <c r="Y63" s="2"/>
      <c r="Z63" s="7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6"/>
        <v>0</v>
      </c>
      <c r="G64" s="2"/>
      <c r="H64" s="6">
        <v>537</v>
      </c>
      <c r="I64" s="2"/>
      <c r="J64" s="7">
        <f t="shared" si="37"/>
        <v>4.5946524064171121E-3</v>
      </c>
      <c r="K64" s="2"/>
      <c r="L64" s="6">
        <f t="shared" si="38"/>
        <v>-537</v>
      </c>
      <c r="M64" s="2"/>
      <c r="N64" s="7">
        <f t="shared" si="39"/>
        <v>-1</v>
      </c>
      <c r="O64" s="11"/>
      <c r="P64" s="6">
        <v>5733.81</v>
      </c>
      <c r="Q64" s="2"/>
      <c r="R64" s="7">
        <f t="shared" si="40"/>
        <v>8.9059198029362487E-3</v>
      </c>
      <c r="S64" s="2"/>
      <c r="T64" s="6">
        <v>3187</v>
      </c>
      <c r="U64" s="2"/>
      <c r="V64" s="7">
        <f t="shared" si="41"/>
        <v>4.5948541094172164E-3</v>
      </c>
      <c r="W64" s="2"/>
      <c r="X64" s="6">
        <f t="shared" si="42"/>
        <v>2546.8100000000004</v>
      </c>
      <c r="Y64" s="2"/>
      <c r="Z64" s="7">
        <f t="shared" si="43"/>
        <v>0.79912456855977421</v>
      </c>
    </row>
    <row r="65" spans="1:26" s="27" customFormat="1" outlineLevel="1" collapsed="1" x14ac:dyDescent="0.25">
      <c r="A65" s="26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508.21000000000004</v>
      </c>
      <c r="E65" s="1"/>
      <c r="F65" s="5">
        <f t="shared" ref="F65:F68" si="44">IF(D$12=0,0,D65/D$12)</f>
        <v>4.5900511109565672E-3</v>
      </c>
      <c r="G65" s="1"/>
      <c r="H65" s="1">
        <f>SUM(OSRRefH22_10x_0)</f>
        <v>0</v>
      </c>
      <c r="I65" s="1"/>
      <c r="J65" s="5">
        <f t="shared" ref="J65:J68" si="45">IF(H$12=0,0,H65/H$12)</f>
        <v>0</v>
      </c>
      <c r="K65" s="1"/>
      <c r="L65" s="1">
        <f t="shared" ref="L65:L68" si="46">+D65-H65</f>
        <v>508.21000000000004</v>
      </c>
      <c r="M65" s="1"/>
      <c r="N65" s="5">
        <f t="shared" ref="N65:N68" si="47">IF(H65=0,0,L65/H65)</f>
        <v>0</v>
      </c>
      <c r="O65" s="13"/>
      <c r="P65" s="1">
        <f>SUM(OSRRefP22_10x_0)</f>
        <v>4021.87</v>
      </c>
      <c r="Q65" s="1"/>
      <c r="R65" s="5">
        <f t="shared" ref="R65:R68" si="48">IF(P$12=0,0,P65/P$12)</f>
        <v>6.2468849992998038E-3</v>
      </c>
      <c r="S65" s="1"/>
      <c r="T65" s="1">
        <f>SUM(OSRRefT22_10x_0)</f>
        <v>0</v>
      </c>
      <c r="U65" s="1"/>
      <c r="V65" s="5">
        <f t="shared" ref="V65:V68" si="49">IF(T$12=0,0,T65/T$12)</f>
        <v>0</v>
      </c>
      <c r="W65" s="1"/>
      <c r="X65" s="1">
        <f t="shared" ref="X65:X68" si="50">+P65-T65</f>
        <v>4021.87</v>
      </c>
      <c r="Y65" s="1"/>
      <c r="Z65" s="5">
        <f t="shared" ref="Z65:Z68" si="51">IF(T65=0,0,X65/T65)</f>
        <v>0</v>
      </c>
    </row>
    <row r="66" spans="1:26" s="24" customFormat="1" hidden="1" outlineLevel="2" x14ac:dyDescent="0.25">
      <c r="A66" s="25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116.81</v>
      </c>
      <c r="E66" s="2"/>
      <c r="F66" s="7">
        <f t="shared" si="44"/>
        <v>1.0550045655749328E-3</v>
      </c>
      <c r="G66" s="2"/>
      <c r="H66" s="6"/>
      <c r="I66" s="2"/>
      <c r="J66" s="7">
        <f t="shared" si="45"/>
        <v>0</v>
      </c>
      <c r="K66" s="2"/>
      <c r="L66" s="6">
        <f t="shared" si="46"/>
        <v>116.81</v>
      </c>
      <c r="M66" s="2"/>
      <c r="N66" s="7">
        <f t="shared" si="47"/>
        <v>0</v>
      </c>
      <c r="O66" s="11"/>
      <c r="P66" s="6">
        <v>1051.29</v>
      </c>
      <c r="Q66" s="2"/>
      <c r="R66" s="7">
        <f t="shared" si="48"/>
        <v>1.6328940843224396E-3</v>
      </c>
      <c r="S66" s="2"/>
      <c r="T66" s="6"/>
      <c r="U66" s="2"/>
      <c r="V66" s="7">
        <f t="shared" si="49"/>
        <v>0</v>
      </c>
      <c r="W66" s="2"/>
      <c r="X66" s="6">
        <f t="shared" si="50"/>
        <v>1051.29</v>
      </c>
      <c r="Y66" s="2"/>
      <c r="Z66" s="7">
        <f t="shared" si="51"/>
        <v>0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6">
        <v>81.040000000000006</v>
      </c>
      <c r="E67" s="2"/>
      <c r="F67" s="7">
        <f t="shared" si="44"/>
        <v>7.3193707725530827E-4</v>
      </c>
      <c r="G67" s="2"/>
      <c r="H67" s="6"/>
      <c r="I67" s="2"/>
      <c r="J67" s="7">
        <f t="shared" si="45"/>
        <v>0</v>
      </c>
      <c r="K67" s="2"/>
      <c r="L67" s="6">
        <f t="shared" si="46"/>
        <v>81.040000000000006</v>
      </c>
      <c r="M67" s="2"/>
      <c r="N67" s="7">
        <f t="shared" si="47"/>
        <v>0</v>
      </c>
      <c r="O67" s="11"/>
      <c r="P67" s="6">
        <v>516.16</v>
      </c>
      <c r="Q67" s="2"/>
      <c r="R67" s="7">
        <f t="shared" si="48"/>
        <v>8.0171466537669951E-4</v>
      </c>
      <c r="S67" s="2"/>
      <c r="T67" s="6"/>
      <c r="U67" s="2"/>
      <c r="V67" s="7">
        <f t="shared" si="49"/>
        <v>0</v>
      </c>
      <c r="W67" s="2"/>
      <c r="X67" s="6">
        <f t="shared" si="50"/>
        <v>516.16</v>
      </c>
      <c r="Y67" s="2"/>
      <c r="Z67" s="7">
        <f t="shared" si="51"/>
        <v>0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310.36</v>
      </c>
      <c r="E68" s="2"/>
      <c r="F68" s="7">
        <f t="shared" si="44"/>
        <v>2.8031094681263257E-3</v>
      </c>
      <c r="G68" s="2"/>
      <c r="H68" s="6"/>
      <c r="I68" s="2"/>
      <c r="J68" s="7">
        <f t="shared" si="45"/>
        <v>0</v>
      </c>
      <c r="K68" s="2"/>
      <c r="L68" s="6">
        <f t="shared" si="46"/>
        <v>310.36</v>
      </c>
      <c r="M68" s="2"/>
      <c r="N68" s="7">
        <f t="shared" si="47"/>
        <v>0</v>
      </c>
      <c r="O68" s="11"/>
      <c r="P68" s="6">
        <v>2454.42</v>
      </c>
      <c r="Q68" s="2"/>
      <c r="R68" s="7">
        <f t="shared" si="48"/>
        <v>3.8122762496006646E-3</v>
      </c>
      <c r="S68" s="2"/>
      <c r="T68" s="6"/>
      <c r="U68" s="2"/>
      <c r="V68" s="7">
        <f t="shared" si="49"/>
        <v>0</v>
      </c>
      <c r="W68" s="2"/>
      <c r="X68" s="6">
        <f t="shared" si="50"/>
        <v>2454.42</v>
      </c>
      <c r="Y68" s="2"/>
      <c r="Z68" s="7">
        <f t="shared" si="51"/>
        <v>0</v>
      </c>
    </row>
    <row r="69" spans="1:26" s="27" customFormat="1" outlineLevel="1" collapsed="1" x14ac:dyDescent="0.25">
      <c r="A69" s="26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1934.84</v>
      </c>
      <c r="E69" s="1"/>
      <c r="F69" s="5">
        <f t="shared" ref="F69:F75" si="52">IF(D$12=0,0,D69/D$12)</f>
        <v>1.747508803747113E-2</v>
      </c>
      <c r="G69" s="1"/>
      <c r="H69" s="1">
        <f>SUM(OSRRefH22_11x_0)</f>
        <v>2255</v>
      </c>
      <c r="I69" s="1"/>
      <c r="J69" s="5">
        <f t="shared" ref="J69:J75" si="53">IF(H$12=0,0,H69/H$12)</f>
        <v>1.9294117647058823E-2</v>
      </c>
      <c r="K69" s="1"/>
      <c r="L69" s="1">
        <f t="shared" ref="L69:L75" si="54">+D69-H69</f>
        <v>-320.16000000000008</v>
      </c>
      <c r="M69" s="1"/>
      <c r="N69" s="5">
        <f t="shared" ref="N69:N75" si="55">IF(H69=0,0,L69/H69)</f>
        <v>-0.14197782705099782</v>
      </c>
      <c r="O69" s="13"/>
      <c r="P69" s="1">
        <f>SUM(OSRRefP22_11x_0)</f>
        <v>14559.5</v>
      </c>
      <c r="Q69" s="1"/>
      <c r="R69" s="5">
        <f t="shared" ref="R69:R75" si="56">IF(P$12=0,0,P69/P$12)</f>
        <v>2.2614237194962913E-2</v>
      </c>
      <c r="S69" s="1"/>
      <c r="T69" s="1">
        <f>SUM(OSRRefT22_11x_0)</f>
        <v>13383</v>
      </c>
      <c r="U69" s="1"/>
      <c r="V69" s="5">
        <f t="shared" ref="V69:V75" si="57">IF(T$12=0,0,T69/T$12)</f>
        <v>1.9294927061917353E-2</v>
      </c>
      <c r="W69" s="1"/>
      <c r="X69" s="1">
        <f t="shared" ref="X69:X75" si="58">+P69-T69</f>
        <v>1176.5</v>
      </c>
      <c r="Y69" s="1"/>
      <c r="Z69" s="5">
        <f t="shared" ref="Z69:Z75" si="59">IF(T69=0,0,X69/T69)</f>
        <v>8.7910035119181051E-2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354.71</v>
      </c>
      <c r="Q70" s="2"/>
      <c r="R70" s="7">
        <f t="shared" si="56"/>
        <v>5.5094584810091659E-4</v>
      </c>
      <c r="S70" s="2"/>
      <c r="T70" s="6"/>
      <c r="U70" s="2"/>
      <c r="V70" s="7">
        <f t="shared" si="57"/>
        <v>0</v>
      </c>
      <c r="W70" s="2"/>
      <c r="X70" s="6">
        <f t="shared" si="58"/>
        <v>354.71</v>
      </c>
      <c r="Y70" s="2"/>
      <c r="Z70" s="7">
        <f t="shared" si="59"/>
        <v>0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>
        <v>432.57</v>
      </c>
      <c r="E71" s="2"/>
      <c r="F71" s="7">
        <f t="shared" si="52"/>
        <v>3.906885754051439E-3</v>
      </c>
      <c r="G71" s="2"/>
      <c r="H71" s="6"/>
      <c r="I71" s="2"/>
      <c r="J71" s="7">
        <f t="shared" si="53"/>
        <v>0</v>
      </c>
      <c r="K71" s="2"/>
      <c r="L71" s="6">
        <f t="shared" si="54"/>
        <v>432.57</v>
      </c>
      <c r="M71" s="2"/>
      <c r="N71" s="7">
        <f t="shared" si="55"/>
        <v>0</v>
      </c>
      <c r="O71" s="11"/>
      <c r="P71" s="6">
        <v>1709.62</v>
      </c>
      <c r="Q71" s="2"/>
      <c r="R71" s="7">
        <f t="shared" si="56"/>
        <v>2.6554313124250483E-3</v>
      </c>
      <c r="S71" s="2"/>
      <c r="T71" s="6"/>
      <c r="U71" s="2"/>
      <c r="V71" s="7">
        <f t="shared" si="57"/>
        <v>0</v>
      </c>
      <c r="W71" s="2"/>
      <c r="X71" s="6">
        <f t="shared" si="58"/>
        <v>1709.62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6">
        <v>377.28</v>
      </c>
      <c r="E72" s="2"/>
      <c r="F72" s="7">
        <f t="shared" si="52"/>
        <v>3.4075175284659755E-3</v>
      </c>
      <c r="G72" s="2"/>
      <c r="H72" s="6"/>
      <c r="I72" s="2"/>
      <c r="J72" s="7">
        <f t="shared" si="53"/>
        <v>0</v>
      </c>
      <c r="K72" s="2"/>
      <c r="L72" s="6">
        <f t="shared" si="54"/>
        <v>377.28</v>
      </c>
      <c r="M72" s="2"/>
      <c r="N72" s="7">
        <f t="shared" si="55"/>
        <v>0</v>
      </c>
      <c r="O72" s="11"/>
      <c r="P72" s="6">
        <v>441.2</v>
      </c>
      <c r="Q72" s="2"/>
      <c r="R72" s="7">
        <f t="shared" si="56"/>
        <v>6.8528462175333196E-4</v>
      </c>
      <c r="S72" s="2"/>
      <c r="T72" s="6"/>
      <c r="U72" s="2"/>
      <c r="V72" s="7">
        <f t="shared" si="57"/>
        <v>0</v>
      </c>
      <c r="W72" s="2"/>
      <c r="X72" s="6">
        <f t="shared" si="58"/>
        <v>441.2</v>
      </c>
      <c r="Y72" s="2"/>
      <c r="Z72" s="7">
        <f t="shared" si="59"/>
        <v>0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>
        <v>183.29</v>
      </c>
      <c r="E73" s="2"/>
      <c r="F73" s="7">
        <f t="shared" si="52"/>
        <v>1.6554386338860491E-3</v>
      </c>
      <c r="G73" s="2"/>
      <c r="H73" s="6"/>
      <c r="I73" s="2"/>
      <c r="J73" s="7">
        <f t="shared" si="53"/>
        <v>0</v>
      </c>
      <c r="K73" s="2"/>
      <c r="L73" s="6">
        <f t="shared" si="54"/>
        <v>183.29</v>
      </c>
      <c r="M73" s="2"/>
      <c r="N73" s="7">
        <f t="shared" si="55"/>
        <v>0</v>
      </c>
      <c r="O73" s="11"/>
      <c r="P73" s="6">
        <v>1530.88</v>
      </c>
      <c r="Q73" s="2"/>
      <c r="R73" s="7">
        <f t="shared" si="56"/>
        <v>2.3778071662505463E-3</v>
      </c>
      <c r="S73" s="2"/>
      <c r="T73" s="6"/>
      <c r="U73" s="2"/>
      <c r="V73" s="7">
        <f t="shared" si="57"/>
        <v>0</v>
      </c>
      <c r="W73" s="2"/>
      <c r="X73" s="6">
        <f t="shared" si="58"/>
        <v>1530.88</v>
      </c>
      <c r="Y73" s="2"/>
      <c r="Z73" s="7">
        <f t="shared" si="59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>
        <v>726.98</v>
      </c>
      <c r="E74" s="2"/>
      <c r="F74" s="7">
        <f t="shared" si="52"/>
        <v>6.5659380111434346E-3</v>
      </c>
      <c r="G74" s="2"/>
      <c r="H74" s="6"/>
      <c r="I74" s="2"/>
      <c r="J74" s="7">
        <f t="shared" si="53"/>
        <v>0</v>
      </c>
      <c r="K74" s="2"/>
      <c r="L74" s="6">
        <f t="shared" si="54"/>
        <v>726.98</v>
      </c>
      <c r="M74" s="2"/>
      <c r="N74" s="7">
        <f t="shared" si="55"/>
        <v>0</v>
      </c>
      <c r="O74" s="11"/>
      <c r="P74" s="6">
        <v>2823.28</v>
      </c>
      <c r="Q74" s="2"/>
      <c r="R74" s="7">
        <f t="shared" si="56"/>
        <v>4.3852002876331531E-3</v>
      </c>
      <c r="S74" s="2"/>
      <c r="T74" s="6"/>
      <c r="U74" s="2"/>
      <c r="V74" s="7">
        <f t="shared" si="57"/>
        <v>0</v>
      </c>
      <c r="W74" s="2"/>
      <c r="X74" s="6">
        <f t="shared" si="58"/>
        <v>2823.28</v>
      </c>
      <c r="Y74" s="2"/>
      <c r="Z74" s="7">
        <f t="shared" si="59"/>
        <v>0</v>
      </c>
    </row>
    <row r="75" spans="1:26" s="24" customFormat="1" hidden="1" outlineLevel="2" x14ac:dyDescent="0.25">
      <c r="A75" s="25"/>
      <c r="B75" s="11" t="str">
        <f>CONCATENATE("          ", "6247", " - ", "STORE SUPPLIES")</f>
        <v xml:space="preserve">          6247 - STORE SUPPLIES</v>
      </c>
      <c r="C75" s="11"/>
      <c r="D75" s="6">
        <v>214.72</v>
      </c>
      <c r="E75" s="2"/>
      <c r="F75" s="7">
        <f t="shared" si="52"/>
        <v>1.9393081099242321E-3</v>
      </c>
      <c r="G75" s="2"/>
      <c r="H75" s="6">
        <v>2255</v>
      </c>
      <c r="I75" s="2"/>
      <c r="J75" s="7">
        <f t="shared" si="53"/>
        <v>1.9294117647058823E-2</v>
      </c>
      <c r="K75" s="2"/>
      <c r="L75" s="6">
        <f t="shared" si="54"/>
        <v>-2040.28</v>
      </c>
      <c r="M75" s="2"/>
      <c r="N75" s="7">
        <f t="shared" si="55"/>
        <v>-0.90478048780487808</v>
      </c>
      <c r="O75" s="11"/>
      <c r="P75" s="6">
        <v>7699.81</v>
      </c>
      <c r="Q75" s="2"/>
      <c r="R75" s="7">
        <f t="shared" si="56"/>
        <v>1.1959567958799917E-2</v>
      </c>
      <c r="S75" s="2"/>
      <c r="T75" s="6">
        <v>13383</v>
      </c>
      <c r="U75" s="2"/>
      <c r="V75" s="7">
        <f t="shared" si="57"/>
        <v>1.9294927061917353E-2</v>
      </c>
      <c r="W75" s="2"/>
      <c r="X75" s="6">
        <f t="shared" si="58"/>
        <v>-5683.19</v>
      </c>
      <c r="Y75" s="2"/>
      <c r="Z75" s="7">
        <f t="shared" si="59"/>
        <v>-0.42465740118060225</v>
      </c>
    </row>
    <row r="76" spans="1:26" s="27" customFormat="1" outlineLevel="1" collapsed="1" x14ac:dyDescent="0.25">
      <c r="A76" s="26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SUM(OSRRefD22_12x_0)</f>
        <v>86</v>
      </c>
      <c r="E76" s="1"/>
      <c r="F76" s="5">
        <f t="shared" ref="F76:F79" si="60">IF(D$12=0,0,D76/D$12)</f>
        <v>7.7673480557695579E-4</v>
      </c>
      <c r="G76" s="1"/>
      <c r="H76" s="1">
        <f>SUM(OSRRefH22_12x_0)</f>
        <v>75</v>
      </c>
      <c r="I76" s="1"/>
      <c r="J76" s="5">
        <f t="shared" ref="J76:J79" si="61">IF(H$12=0,0,H76/H$12)</f>
        <v>6.4171122994652406E-4</v>
      </c>
      <c r="K76" s="1"/>
      <c r="L76" s="1">
        <f t="shared" ref="L76:L79" si="62">+D76-H76</f>
        <v>11</v>
      </c>
      <c r="M76" s="1"/>
      <c r="N76" s="5">
        <f t="shared" ref="N76:N79" si="63">IF(H76=0,0,L76/H76)</f>
        <v>0.14666666666666667</v>
      </c>
      <c r="O76" s="13"/>
      <c r="P76" s="1">
        <f>SUM(OSRRefP22_12x_0)</f>
        <v>403</v>
      </c>
      <c r="Q76" s="1"/>
      <c r="R76" s="5">
        <f t="shared" ref="R76:R79" si="64">IF(P$12=0,0,P76/P$12)</f>
        <v>6.259512750829392E-4</v>
      </c>
      <c r="S76" s="1"/>
      <c r="T76" s="1">
        <f>SUM(OSRRefT22_12x_0)</f>
        <v>600</v>
      </c>
      <c r="U76" s="1"/>
      <c r="V76" s="5">
        <f t="shared" ref="V76:V79" si="65">IF(T$12=0,0,T76/T$12)</f>
        <v>8.6504940873872917E-4</v>
      </c>
      <c r="W76" s="1"/>
      <c r="X76" s="1">
        <f t="shared" ref="X76:X79" si="66">+P76-T76</f>
        <v>-197</v>
      </c>
      <c r="Y76" s="1"/>
      <c r="Z76" s="5">
        <f t="shared" ref="Z76:Z79" si="67">IF(T76=0,0,X76/T76)</f>
        <v>-0.32833333333333331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6">
        <v>86</v>
      </c>
      <c r="E77" s="2"/>
      <c r="F77" s="7">
        <f t="shared" si="60"/>
        <v>7.7673480557695579E-4</v>
      </c>
      <c r="G77" s="2"/>
      <c r="H77" s="6">
        <v>75</v>
      </c>
      <c r="I77" s="2"/>
      <c r="J77" s="7">
        <f t="shared" si="61"/>
        <v>6.4171122994652406E-4</v>
      </c>
      <c r="K77" s="2"/>
      <c r="L77" s="6">
        <f t="shared" si="62"/>
        <v>11</v>
      </c>
      <c r="M77" s="2"/>
      <c r="N77" s="7">
        <f t="shared" si="63"/>
        <v>0.14666666666666667</v>
      </c>
      <c r="O77" s="11"/>
      <c r="P77" s="6">
        <v>403</v>
      </c>
      <c r="Q77" s="2"/>
      <c r="R77" s="7">
        <f t="shared" si="64"/>
        <v>6.259512750829392E-4</v>
      </c>
      <c r="S77" s="2"/>
      <c r="T77" s="6">
        <v>600</v>
      </c>
      <c r="U77" s="2"/>
      <c r="V77" s="7">
        <f t="shared" si="65"/>
        <v>8.6504940873872917E-4</v>
      </c>
      <c r="W77" s="2"/>
      <c r="X77" s="6">
        <f t="shared" si="66"/>
        <v>-197</v>
      </c>
      <c r="Y77" s="2"/>
      <c r="Z77" s="7">
        <f t="shared" si="67"/>
        <v>-0.32833333333333331</v>
      </c>
    </row>
    <row r="78" spans="1:26" s="27" customFormat="1" outlineLevel="1" collapsed="1" x14ac:dyDescent="0.25">
      <c r="A78" s="26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SUM(OSRRefD22_13x_0)</f>
        <v>208</v>
      </c>
      <c r="E78" s="1"/>
      <c r="F78" s="5">
        <f t="shared" si="60"/>
        <v>1.8786144134884514E-3</v>
      </c>
      <c r="G78" s="1"/>
      <c r="H78" s="1">
        <f>SUM(OSRRefH22_13x_0)</f>
        <v>0</v>
      </c>
      <c r="I78" s="1"/>
      <c r="J78" s="5">
        <f t="shared" si="61"/>
        <v>0</v>
      </c>
      <c r="K78" s="1"/>
      <c r="L78" s="1">
        <f t="shared" si="62"/>
        <v>208</v>
      </c>
      <c r="M78" s="1"/>
      <c r="N78" s="5">
        <f t="shared" si="63"/>
        <v>0</v>
      </c>
      <c r="O78" s="13"/>
      <c r="P78" s="1">
        <f>SUM(OSRRefP22_13x_0)</f>
        <v>1601</v>
      </c>
      <c r="Q78" s="1"/>
      <c r="R78" s="5">
        <f t="shared" si="64"/>
        <v>2.4867195816570364E-3</v>
      </c>
      <c r="S78" s="1"/>
      <c r="T78" s="1">
        <f>SUM(OSRRefT22_13x_0)</f>
        <v>0</v>
      </c>
      <c r="U78" s="1"/>
      <c r="V78" s="5">
        <f t="shared" si="65"/>
        <v>0</v>
      </c>
      <c r="W78" s="1"/>
      <c r="X78" s="1">
        <f t="shared" si="66"/>
        <v>1601</v>
      </c>
      <c r="Y78" s="1"/>
      <c r="Z78" s="5">
        <f t="shared" si="67"/>
        <v>0</v>
      </c>
    </row>
    <row r="79" spans="1:26" s="24" customFormat="1" hidden="1" outlineLevel="2" x14ac:dyDescent="0.25">
      <c r="A79" s="25"/>
      <c r="B79" s="11" t="str">
        <f>CONCATENATE("          ", "6274", " - ", "UTILITIES")</f>
        <v xml:space="preserve">          6274 - UTILITIES</v>
      </c>
      <c r="C79" s="11"/>
      <c r="D79" s="6">
        <v>208</v>
      </c>
      <c r="E79" s="2"/>
      <c r="F79" s="7">
        <f t="shared" si="60"/>
        <v>1.8786144134884514E-3</v>
      </c>
      <c r="G79" s="2"/>
      <c r="H79" s="6"/>
      <c r="I79" s="2"/>
      <c r="J79" s="7">
        <f t="shared" si="61"/>
        <v>0</v>
      </c>
      <c r="K79" s="2"/>
      <c r="L79" s="6">
        <f t="shared" si="62"/>
        <v>208</v>
      </c>
      <c r="M79" s="2"/>
      <c r="N79" s="7">
        <f t="shared" si="63"/>
        <v>0</v>
      </c>
      <c r="O79" s="11"/>
      <c r="P79" s="6">
        <v>1601</v>
      </c>
      <c r="Q79" s="2"/>
      <c r="R79" s="7">
        <f t="shared" si="64"/>
        <v>2.4867195816570364E-3</v>
      </c>
      <c r="S79" s="2"/>
      <c r="T79" s="6"/>
      <c r="U79" s="2"/>
      <c r="V79" s="7">
        <f t="shared" si="65"/>
        <v>0</v>
      </c>
      <c r="W79" s="2"/>
      <c r="X79" s="6">
        <f t="shared" si="66"/>
        <v>1601</v>
      </c>
      <c r="Y79" s="2"/>
      <c r="Z79" s="7">
        <f t="shared" si="67"/>
        <v>0</v>
      </c>
    </row>
    <row r="80" spans="1:26" s="53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1">
        <f>+D22-D24+D81</f>
        <v>25059.33</v>
      </c>
      <c r="E83" s="14"/>
      <c r="F83" s="22">
        <f>IF(D$12=0,0,D83/D$12)</f>
        <v>0.22633085831905556</v>
      </c>
      <c r="G83" s="14"/>
      <c r="H83" s="21">
        <f>+H22-H24+H81</f>
        <v>26100.13905187077</v>
      </c>
      <c r="I83" s="14"/>
      <c r="J83" s="22">
        <f>IF(H$12=0,0,H83/H$12)</f>
        <v>0.22331669777001728</v>
      </c>
      <c r="K83" s="15"/>
      <c r="L83" s="21">
        <f>+D83-H83</f>
        <v>-1040.8090518707686</v>
      </c>
      <c r="M83" s="15"/>
      <c r="N83" s="22">
        <f>IF(H83=0,0,L83/H83)</f>
        <v>-3.9877528997155548E-2</v>
      </c>
      <c r="O83" s="29"/>
      <c r="P83" s="21">
        <f>+P22-P24+P81</f>
        <v>90403.65</v>
      </c>
      <c r="Q83" s="14"/>
      <c r="R83" s="22">
        <f>IF(P$12=0,0,P83/P$12)</f>
        <v>0.14041756821253537</v>
      </c>
      <c r="S83" s="14"/>
      <c r="T83" s="21">
        <f>+T22-T24+T81</f>
        <v>135913.31300020922</v>
      </c>
      <c r="U83" s="14"/>
      <c r="V83" s="22">
        <f>IF(T$12=0,0,T83/T$12)</f>
        <v>0.19595288508425468</v>
      </c>
      <c r="W83" s="15"/>
      <c r="X83" s="21">
        <f>+P83-T83</f>
        <v>-45509.663000209228</v>
      </c>
      <c r="Y83" s="15"/>
      <c r="Z83" s="22">
        <f>IF(T83=0,0,X83/T83)</f>
        <v>-0.33484330560126346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10023.200000000001</v>
      </c>
      <c r="E85" s="4"/>
      <c r="F85" s="12">
        <f>IF(D$12=0,0,D85/D$12)</f>
        <v>9.0527538409987729E-2</v>
      </c>
      <c r="G85" s="4"/>
      <c r="H85" s="4">
        <v>12397</v>
      </c>
      <c r="I85" s="4"/>
      <c r="J85" s="12">
        <f>IF(H$12=0,0,H85/H$12)</f>
        <v>0.10607058823529411</v>
      </c>
      <c r="K85" s="4"/>
      <c r="L85" s="4">
        <f>+D85-H85</f>
        <v>-2373.7999999999993</v>
      </c>
      <c r="M85" s="4"/>
      <c r="N85" s="12">
        <f>IF(H85=0,0,L85/H85)</f>
        <v>-0.19148181011535043</v>
      </c>
      <c r="O85" s="10"/>
      <c r="P85" s="4">
        <v>65618</v>
      </c>
      <c r="Q85" s="4"/>
      <c r="R85" s="12">
        <f>IF(P$12=0,0,P85/P$12)</f>
        <v>0.10191977858161863</v>
      </c>
      <c r="S85" s="4"/>
      <c r="T85" s="4">
        <v>83405</v>
      </c>
      <c r="U85" s="4"/>
      <c r="V85" s="12">
        <f>IF(T$12=0,0,T85/T$12)</f>
        <v>0.12024907655975617</v>
      </c>
      <c r="W85" s="4"/>
      <c r="X85" s="4">
        <f>+P85-T85</f>
        <v>-17787</v>
      </c>
      <c r="Y85" s="4"/>
      <c r="Z85" s="12">
        <f>IF(T85=0,0,X85/T85)</f>
        <v>-0.21326059588753671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1">
        <f>+D83-D85</f>
        <v>15036.130000000001</v>
      </c>
      <c r="E87" s="14"/>
      <c r="F87" s="32">
        <f>IF(D$12=0,0,D87/D$12)</f>
        <v>0.13580331990906783</v>
      </c>
      <c r="G87" s="14"/>
      <c r="H87" s="31">
        <f>+H83-H85</f>
        <v>13703.13905187077</v>
      </c>
      <c r="I87" s="14"/>
      <c r="J87" s="32">
        <f>IF(H$12=0,0,H87/H$12)</f>
        <v>0.11724610953472317</v>
      </c>
      <c r="K87" s="15"/>
      <c r="L87" s="31">
        <f>D87-H87</f>
        <v>1332.9909481292307</v>
      </c>
      <c r="M87" s="15"/>
      <c r="N87" s="32">
        <f>IF(H87=0,0,L87/H87)</f>
        <v>9.7276320635982239E-2</v>
      </c>
      <c r="O87" s="29"/>
      <c r="P87" s="31">
        <f>+P83-P85</f>
        <v>24785.649999999994</v>
      </c>
      <c r="Q87" s="14"/>
      <c r="R87" s="32">
        <f>IF(P$12=0,0,P87/P$12)</f>
        <v>3.8497789630916747E-2</v>
      </c>
      <c r="S87" s="14"/>
      <c r="T87" s="31">
        <f>+T83-T85</f>
        <v>52508.313000209222</v>
      </c>
      <c r="U87" s="14"/>
      <c r="V87" s="32">
        <f>IF(T$12=0,0,T87/T$12)</f>
        <v>7.5703808524498525E-2</v>
      </c>
      <c r="W87" s="15"/>
      <c r="X87" s="31">
        <f>P87-T87</f>
        <v>-27722.663000209228</v>
      </c>
      <c r="Y87" s="15"/>
      <c r="Z87" s="32">
        <f>IF(T87=0,0,X87/T87)</f>
        <v>-0.5279671239885152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3">
        <f>SUM(D87:D89)</f>
        <v>15036.130000000001</v>
      </c>
      <c r="E90" s="14"/>
      <c r="F90" s="30">
        <f>IF(D$12=0,0,D90/D$12)</f>
        <v>0.13580331990906783</v>
      </c>
      <c r="G90" s="14"/>
      <c r="H90" s="33">
        <f>SUM(H87:H89)</f>
        <v>13703.13905187077</v>
      </c>
      <c r="I90" s="14"/>
      <c r="J90" s="30">
        <f>IF(H$12=0,0,H90/H$12)</f>
        <v>0.11724610953472317</v>
      </c>
      <c r="K90" s="15"/>
      <c r="L90" s="33">
        <f>+D90-H90</f>
        <v>1332.9909481292307</v>
      </c>
      <c r="M90" s="15"/>
      <c r="N90" s="30">
        <f>IF(H90=0,0,L90/H90)</f>
        <v>9.7276320635982239E-2</v>
      </c>
      <c r="O90" s="29"/>
      <c r="P90" s="33">
        <f>SUM(P87:P89)</f>
        <v>24785.649999999994</v>
      </c>
      <c r="Q90" s="14"/>
      <c r="R90" s="30">
        <f>IF(P$12=0,0,P90/P$12)</f>
        <v>3.8497789630916747E-2</v>
      </c>
      <c r="S90" s="14"/>
      <c r="T90" s="33">
        <f>SUM(T87:T89)</f>
        <v>52508.313000209222</v>
      </c>
      <c r="U90" s="14"/>
      <c r="V90" s="30">
        <f>IF(T$12=0,0,T90/T$12)</f>
        <v>7.5703808524498525E-2</v>
      </c>
      <c r="W90" s="15"/>
      <c r="X90" s="33">
        <f>+P90-T90</f>
        <v>-27722.663000209228</v>
      </c>
      <c r="Y90" s="15"/>
      <c r="Z90" s="30">
        <f>IF(T90=0,0,X90/T90)</f>
        <v>-0.5279671239885152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9">
        <v>43908.494892164352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3" t="s">
        <v>314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7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101154.26000000001</v>
      </c>
      <c r="E12" s="4"/>
      <c r="F12" s="12"/>
      <c r="G12" s="4"/>
      <c r="H12" s="4">
        <f>SUM(OSRRefH13x_0)</f>
        <v>90974</v>
      </c>
      <c r="I12" s="4"/>
      <c r="J12" s="12"/>
      <c r="K12" s="4"/>
      <c r="L12" s="4">
        <f t="shared" ref="L12:L15" si="0">+D12-H12</f>
        <v>10180.260000000009</v>
      </c>
      <c r="M12" s="4"/>
      <c r="N12" s="12">
        <f t="shared" ref="N12:N15" si="1">IF(H12=0,0,L12/H12)</f>
        <v>0.11190296128564216</v>
      </c>
      <c r="O12" s="10"/>
      <c r="P12" s="4">
        <f>SUM(OSRRefP13x_0)</f>
        <v>553371.07000000007</v>
      </c>
      <c r="Q12" s="4"/>
      <c r="R12" s="12"/>
      <c r="S12" s="4"/>
      <c r="T12" s="4">
        <f>SUM(OSRRefT13x_0)</f>
        <v>515872.2</v>
      </c>
      <c r="U12" s="4"/>
      <c r="V12" s="12"/>
      <c r="W12" s="4"/>
      <c r="X12" s="4">
        <f t="shared" ref="X12:X15" si="2">+P12-T12</f>
        <v>37498.870000000054</v>
      </c>
      <c r="Y12" s="4"/>
      <c r="Z12" s="12">
        <f t="shared" ref="Z12:Z15" si="3">IF(T12=0,0,X12/T12)</f>
        <v>7.2690232193167323E-2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90974</v>
      </c>
      <c r="I13" s="2"/>
      <c r="J13" s="19"/>
      <c r="K13" s="2"/>
      <c r="L13" s="2">
        <f t="shared" si="0"/>
        <v>-90974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515872.2</v>
      </c>
      <c r="U13" s="2"/>
      <c r="V13" s="19"/>
      <c r="W13" s="2"/>
      <c r="X13" s="2">
        <f t="shared" si="2"/>
        <v>-515872.2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--16610.82</f>
        <v>16610.82</v>
      </c>
      <c r="E14" s="2"/>
      <c r="F14" s="19"/>
      <c r="G14" s="2"/>
      <c r="H14" s="2"/>
      <c r="I14" s="2"/>
      <c r="J14" s="19"/>
      <c r="K14" s="2"/>
      <c r="L14" s="2">
        <f t="shared" si="0"/>
        <v>16610.82</v>
      </c>
      <c r="M14" s="2"/>
      <c r="N14" s="19">
        <f t="shared" si="1"/>
        <v>0</v>
      </c>
      <c r="O14" s="11"/>
      <c r="P14" s="2">
        <f>--98081.99</f>
        <v>98081.99</v>
      </c>
      <c r="Q14" s="2"/>
      <c r="R14" s="19"/>
      <c r="S14" s="2"/>
      <c r="T14" s="2"/>
      <c r="U14" s="2"/>
      <c r="V14" s="19"/>
      <c r="W14" s="2"/>
      <c r="X14" s="2">
        <f t="shared" si="2"/>
        <v>98081.99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--84543.44</f>
        <v>84543.44</v>
      </c>
      <c r="E15" s="2"/>
      <c r="F15" s="19"/>
      <c r="G15" s="2"/>
      <c r="H15" s="2"/>
      <c r="I15" s="2"/>
      <c r="J15" s="19"/>
      <c r="K15" s="2"/>
      <c r="L15" s="2">
        <f t="shared" si="0"/>
        <v>84543.44</v>
      </c>
      <c r="M15" s="2"/>
      <c r="N15" s="19">
        <f t="shared" si="1"/>
        <v>0</v>
      </c>
      <c r="O15" s="11"/>
      <c r="P15" s="2">
        <f>--455289.08</f>
        <v>455289.08</v>
      </c>
      <c r="Q15" s="2"/>
      <c r="R15" s="19"/>
      <c r="S15" s="2"/>
      <c r="T15" s="2"/>
      <c r="U15" s="2"/>
      <c r="V15" s="19"/>
      <c r="W15" s="2"/>
      <c r="X15" s="2">
        <f t="shared" si="2"/>
        <v>455289.08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48553.599999999999</v>
      </c>
      <c r="E17" s="4"/>
      <c r="F17" s="12">
        <f t="shared" ref="F17:F20" si="4">IF(D$12=0,0,D17/D$12)</f>
        <v>0.4799956027556328</v>
      </c>
      <c r="G17" s="4"/>
      <c r="H17" s="4">
        <f>SUM(OSRRefH16x_0)</f>
        <v>43670</v>
      </c>
      <c r="I17" s="4"/>
      <c r="J17" s="12">
        <f t="shared" ref="J17:J20" si="5">IF(H$12=0,0,H17/H$12)</f>
        <v>0.48002726053597733</v>
      </c>
      <c r="K17" s="4"/>
      <c r="L17" s="4">
        <f t="shared" ref="L17:L20" si="6">+D17-H17</f>
        <v>4883.5999999999985</v>
      </c>
      <c r="M17" s="4"/>
      <c r="N17" s="12">
        <f t="shared" ref="N17:N20" si="7">IF(H17=0,0,L17/H17)</f>
        <v>0.11182963132585295</v>
      </c>
      <c r="O17" s="10"/>
      <c r="P17" s="4">
        <f>SUM(OSRRefP16x_0)</f>
        <v>255883.8</v>
      </c>
      <c r="Q17" s="4"/>
      <c r="R17" s="12">
        <f t="shared" ref="R17:R20" si="8">IF(P$12=0,0,P17/P$12)</f>
        <v>0.46240906666841103</v>
      </c>
      <c r="S17" s="4"/>
      <c r="T17" s="4">
        <f>SUM(OSRRefT16x_0)</f>
        <v>247619.99999999997</v>
      </c>
      <c r="U17" s="4"/>
      <c r="V17" s="12">
        <f t="shared" ref="V17:V20" si="9">IF(T$12=0,0,T17/T$12)</f>
        <v>0.48000260529642802</v>
      </c>
      <c r="W17" s="4"/>
      <c r="X17" s="4">
        <f t="shared" ref="X17:X20" si="10">+P17-T17</f>
        <v>8263.8000000000175</v>
      </c>
      <c r="Y17" s="4"/>
      <c r="Z17" s="12">
        <f t="shared" ref="Z17:Z20" si="11">IF(T17=0,0,X17/T17)</f>
        <v>3.337291010419198E-2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43670</v>
      </c>
      <c r="I18" s="2"/>
      <c r="J18" s="19">
        <f t="shared" si="5"/>
        <v>0.48002726053597733</v>
      </c>
      <c r="K18" s="2"/>
      <c r="L18" s="2">
        <f t="shared" si="6"/>
        <v>-43670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247619.99999999997</v>
      </c>
      <c r="U18" s="2"/>
      <c r="V18" s="19">
        <f t="shared" si="9"/>
        <v>0.48000260529642802</v>
      </c>
      <c r="W18" s="2"/>
      <c r="X18" s="2">
        <f t="shared" si="10"/>
        <v>-247619.99999999997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48176.43</v>
      </c>
      <c r="E19" s="2"/>
      <c r="F19" s="19">
        <f t="shared" si="4"/>
        <v>0.47626694120445345</v>
      </c>
      <c r="G19" s="2"/>
      <c r="H19" s="2"/>
      <c r="I19" s="2"/>
      <c r="J19" s="19">
        <f t="shared" si="5"/>
        <v>0</v>
      </c>
      <c r="K19" s="2"/>
      <c r="L19" s="2">
        <f t="shared" si="6"/>
        <v>48176.43</v>
      </c>
      <c r="M19" s="2"/>
      <c r="N19" s="19">
        <f t="shared" si="7"/>
        <v>0</v>
      </c>
      <c r="O19" s="11"/>
      <c r="P19" s="2">
        <v>261865.06</v>
      </c>
      <c r="Q19" s="2"/>
      <c r="R19" s="19">
        <f t="shared" si="8"/>
        <v>0.47321783554749253</v>
      </c>
      <c r="S19" s="2"/>
      <c r="T19" s="2"/>
      <c r="U19" s="2"/>
      <c r="V19" s="19">
        <f t="shared" si="9"/>
        <v>0</v>
      </c>
      <c r="W19" s="2"/>
      <c r="X19" s="2">
        <f t="shared" si="10"/>
        <v>261865.06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377.17</v>
      </c>
      <c r="E20" s="2"/>
      <c r="F20" s="19">
        <f t="shared" si="4"/>
        <v>3.7286615511793568E-3</v>
      </c>
      <c r="G20" s="2"/>
      <c r="H20" s="2"/>
      <c r="I20" s="2"/>
      <c r="J20" s="19">
        <f t="shared" si="5"/>
        <v>0</v>
      </c>
      <c r="K20" s="2"/>
      <c r="L20" s="2">
        <f t="shared" si="6"/>
        <v>377.17</v>
      </c>
      <c r="M20" s="2"/>
      <c r="N20" s="19">
        <f t="shared" si="7"/>
        <v>0</v>
      </c>
      <c r="O20" s="11"/>
      <c r="P20" s="2">
        <v>-5981.26</v>
      </c>
      <c r="Q20" s="2"/>
      <c r="R20" s="19">
        <f t="shared" si="8"/>
        <v>-1.0808768879081445E-2</v>
      </c>
      <c r="S20" s="2"/>
      <c r="T20" s="2"/>
      <c r="U20" s="2"/>
      <c r="V20" s="19">
        <f t="shared" si="9"/>
        <v>0</v>
      </c>
      <c r="W20" s="2"/>
      <c r="X20" s="2">
        <f t="shared" si="10"/>
        <v>-5981.26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D12-D17</f>
        <v>52600.660000000011</v>
      </c>
      <c r="E22" s="14"/>
      <c r="F22" s="22">
        <f>IF(D$12=0,0,D22/D$12)</f>
        <v>0.5200043972443672</v>
      </c>
      <c r="G22" s="14"/>
      <c r="H22" s="21">
        <f>H12-H17</f>
        <v>47304</v>
      </c>
      <c r="I22" s="14"/>
      <c r="J22" s="22">
        <f>IF(H$12=0,0,H22/H$12)</f>
        <v>0.51997273946402267</v>
      </c>
      <c r="K22" s="15"/>
      <c r="L22" s="21">
        <f>+D22-H22</f>
        <v>5296.6600000000108</v>
      </c>
      <c r="M22" s="15"/>
      <c r="N22" s="22">
        <f>IF(H22=0,0,L22/H22)</f>
        <v>0.11197065787248459</v>
      </c>
      <c r="O22" s="29"/>
      <c r="P22" s="21">
        <f>P12-P17</f>
        <v>297487.27000000008</v>
      </c>
      <c r="Q22" s="14"/>
      <c r="R22" s="22">
        <f>IF(P$12=0,0,P22/P$12)</f>
        <v>0.53759093333158892</v>
      </c>
      <c r="S22" s="14"/>
      <c r="T22" s="21">
        <f>T12-T17</f>
        <v>268252.20000000007</v>
      </c>
      <c r="U22" s="14"/>
      <c r="V22" s="22">
        <f>IF(T$12=0,0,T22/T$12)</f>
        <v>0.51999739470357209</v>
      </c>
      <c r="W22" s="15"/>
      <c r="X22" s="21">
        <f>+P22-T22</f>
        <v>29235.070000000007</v>
      </c>
      <c r="Y22" s="15"/>
      <c r="Z22" s="22">
        <f>IF(T22=0,0,X22/T22)</f>
        <v>0.10898352371387821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35076.119999999995</v>
      </c>
      <c r="E24" s="20"/>
      <c r="F24" s="34">
        <f t="shared" ref="F24:F34" si="12">IF(D$12=0,0,D24/D$12)</f>
        <v>0.34675870299481198</v>
      </c>
      <c r="G24" s="20"/>
      <c r="H24" s="20">
        <f>SUM(OSRRefH22x_0)</f>
        <v>32901.832332799997</v>
      </c>
      <c r="I24" s="20"/>
      <c r="J24" s="34">
        <f t="shared" ref="J24:J34" si="13">IF(H$12=0,0,H24/H$12)</f>
        <v>0.36166192904346295</v>
      </c>
      <c r="K24" s="4"/>
      <c r="L24" s="20">
        <f t="shared" ref="L24:L34" si="14">+D24-H24</f>
        <v>2174.2876671999984</v>
      </c>
      <c r="M24" s="4"/>
      <c r="N24" s="34">
        <f t="shared" ref="N24:N34" si="15">IF(H24=0,0,L24/H24)</f>
        <v>6.6084090551772723E-2</v>
      </c>
      <c r="O24" s="10"/>
      <c r="P24" s="20">
        <f>SUM(OSRRefP22x_0)</f>
        <v>245939.97000000003</v>
      </c>
      <c r="Q24" s="20"/>
      <c r="R24" s="34">
        <f t="shared" ref="R24:R34" si="16">IF(P$12=0,0,P24/P$12)</f>
        <v>0.44443951506174689</v>
      </c>
      <c r="S24" s="20"/>
      <c r="T24" s="20">
        <f>SUM(OSRRefT22x_0)</f>
        <v>239623.10207155001</v>
      </c>
      <c r="U24" s="20"/>
      <c r="V24" s="34">
        <f t="shared" ref="V24:V34" si="17">IF(T$12=0,0,T24/T$12)</f>
        <v>0.46450090171858455</v>
      </c>
      <c r="W24" s="4"/>
      <c r="X24" s="20">
        <f t="shared" ref="X24:X34" si="18">+P24-T24</f>
        <v>6316.8679284500249</v>
      </c>
      <c r="Y24" s="4"/>
      <c r="Z24" s="34">
        <f t="shared" ref="Z24:Z34" si="19">IF(T24=0,0,X24/T24)</f>
        <v>2.6361681631864722E-2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3916.85</v>
      </c>
      <c r="E25" s="1"/>
      <c r="F25" s="5">
        <f t="shared" si="12"/>
        <v>3.8721552606879824E-2</v>
      </c>
      <c r="G25" s="1"/>
      <c r="H25" s="1">
        <f>SUM(OSRRefH22_0x_0)</f>
        <v>3617.0617727999997</v>
      </c>
      <c r="I25" s="1"/>
      <c r="J25" s="5">
        <f t="shared" si="13"/>
        <v>3.9759291366764128E-2</v>
      </c>
      <c r="K25" s="1"/>
      <c r="L25" s="1">
        <f t="shared" si="14"/>
        <v>299.78822720000016</v>
      </c>
      <c r="M25" s="1"/>
      <c r="N25" s="5">
        <f t="shared" si="15"/>
        <v>8.2881699575711537E-2</v>
      </c>
      <c r="O25" s="13"/>
      <c r="P25" s="1">
        <f>SUM(OSRRefP22_0x_0)</f>
        <v>30536.29</v>
      </c>
      <c r="Q25" s="1"/>
      <c r="R25" s="5">
        <f t="shared" si="16"/>
        <v>5.5182302898487259E-2</v>
      </c>
      <c r="S25" s="1"/>
      <c r="T25" s="1">
        <f>SUM(OSRRefT22_0x_0)</f>
        <v>28860.277561550003</v>
      </c>
      <c r="U25" s="1"/>
      <c r="V25" s="5">
        <f t="shared" si="17"/>
        <v>5.5944626520967794E-2</v>
      </c>
      <c r="W25" s="1"/>
      <c r="X25" s="1">
        <f t="shared" si="18"/>
        <v>1676.0124384499977</v>
      </c>
      <c r="Y25" s="1"/>
      <c r="Z25" s="5">
        <f t="shared" si="19"/>
        <v>5.8073330544918846E-2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582.29999999999995</v>
      </c>
      <c r="E26" s="2"/>
      <c r="F26" s="7">
        <f t="shared" si="12"/>
        <v>5.7565543952375299E-3</v>
      </c>
      <c r="G26" s="2"/>
      <c r="H26" s="6">
        <v>302.69145600000002</v>
      </c>
      <c r="I26" s="2"/>
      <c r="J26" s="7">
        <f t="shared" si="13"/>
        <v>3.3272303735133119E-3</v>
      </c>
      <c r="K26" s="2"/>
      <c r="L26" s="6">
        <f t="shared" si="14"/>
        <v>279.60854399999994</v>
      </c>
      <c r="M26" s="2"/>
      <c r="N26" s="7">
        <f t="shared" si="15"/>
        <v>0.92374111808428427</v>
      </c>
      <c r="O26" s="11"/>
      <c r="P26" s="6">
        <v>4614.93</v>
      </c>
      <c r="Q26" s="2"/>
      <c r="R26" s="7">
        <f t="shared" si="16"/>
        <v>8.3396661845730382E-3</v>
      </c>
      <c r="S26" s="2"/>
      <c r="T26" s="6">
        <v>2914.44415875</v>
      </c>
      <c r="U26" s="2"/>
      <c r="V26" s="7">
        <f t="shared" si="17"/>
        <v>5.6495468427063909E-3</v>
      </c>
      <c r="W26" s="2"/>
      <c r="X26" s="6">
        <f t="shared" si="18"/>
        <v>1700.4858412500002</v>
      </c>
      <c r="Y26" s="2"/>
      <c r="Z26" s="7">
        <f t="shared" si="19"/>
        <v>0.58346832144464067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286.29000000000002</v>
      </c>
      <c r="E27" s="2"/>
      <c r="F27" s="7">
        <f t="shared" si="12"/>
        <v>2.830231766808437E-3</v>
      </c>
      <c r="G27" s="2"/>
      <c r="H27" s="6">
        <v>265.24851200000001</v>
      </c>
      <c r="I27" s="2"/>
      <c r="J27" s="7">
        <f t="shared" si="13"/>
        <v>2.915651856574406E-3</v>
      </c>
      <c r="K27" s="2"/>
      <c r="L27" s="6">
        <f t="shared" si="14"/>
        <v>21.041488000000015</v>
      </c>
      <c r="M27" s="2"/>
      <c r="N27" s="7">
        <f t="shared" si="15"/>
        <v>7.9327449723827353E-2</v>
      </c>
      <c r="O27" s="11"/>
      <c r="P27" s="6">
        <v>1529.61</v>
      </c>
      <c r="Q27" s="2"/>
      <c r="R27" s="7">
        <f t="shared" si="16"/>
        <v>2.7641669088338855E-3</v>
      </c>
      <c r="S27" s="2"/>
      <c r="T27" s="6">
        <v>1696.0023769999998</v>
      </c>
      <c r="U27" s="2"/>
      <c r="V27" s="7">
        <f t="shared" si="17"/>
        <v>3.2876405764838651E-3</v>
      </c>
      <c r="W27" s="2"/>
      <c r="X27" s="6">
        <f t="shared" si="18"/>
        <v>-166.3923769999999</v>
      </c>
      <c r="Y27" s="2"/>
      <c r="Z27" s="7">
        <f t="shared" si="19"/>
        <v>-9.8108575351365745E-2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1915.63</v>
      </c>
      <c r="E28" s="2"/>
      <c r="F28" s="7">
        <f t="shared" si="12"/>
        <v>1.8937709593248964E-2</v>
      </c>
      <c r="G28" s="2"/>
      <c r="H28" s="6">
        <v>1977</v>
      </c>
      <c r="I28" s="2"/>
      <c r="J28" s="7">
        <f t="shared" si="13"/>
        <v>2.1731483720623473E-2</v>
      </c>
      <c r="K28" s="2"/>
      <c r="L28" s="6">
        <f t="shared" si="14"/>
        <v>-61.369999999999891</v>
      </c>
      <c r="M28" s="2"/>
      <c r="N28" s="7">
        <f t="shared" si="15"/>
        <v>-3.1041982802225539E-2</v>
      </c>
      <c r="O28" s="11"/>
      <c r="P28" s="6">
        <v>15193.830000000002</v>
      </c>
      <c r="Q28" s="2"/>
      <c r="R28" s="7">
        <f t="shared" si="16"/>
        <v>2.7456856391137326E-2</v>
      </c>
      <c r="S28" s="2"/>
      <c r="T28" s="6">
        <v>15816</v>
      </c>
      <c r="U28" s="2"/>
      <c r="V28" s="7">
        <f t="shared" si="17"/>
        <v>3.0658756180309773E-2</v>
      </c>
      <c r="W28" s="2"/>
      <c r="X28" s="6">
        <f t="shared" si="18"/>
        <v>-622.16999999999825</v>
      </c>
      <c r="Y28" s="2"/>
      <c r="Z28" s="7">
        <f t="shared" si="19"/>
        <v>-3.9338012139605354E-2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39.18</v>
      </c>
      <c r="E29" s="2"/>
      <c r="F29" s="7">
        <f t="shared" si="12"/>
        <v>3.8732921381660044E-4</v>
      </c>
      <c r="G29" s="2"/>
      <c r="H29" s="6">
        <v>36.297164799999997</v>
      </c>
      <c r="I29" s="2"/>
      <c r="J29" s="7">
        <f t="shared" si="13"/>
        <v>3.9898393826807657E-4</v>
      </c>
      <c r="K29" s="2"/>
      <c r="L29" s="6">
        <f t="shared" si="14"/>
        <v>2.8828352000000024</v>
      </c>
      <c r="M29" s="2"/>
      <c r="N29" s="7">
        <f t="shared" si="15"/>
        <v>7.9423150978447848E-2</v>
      </c>
      <c r="O29" s="11"/>
      <c r="P29" s="6">
        <v>245.58</v>
      </c>
      <c r="Q29" s="2"/>
      <c r="R29" s="7">
        <f t="shared" si="16"/>
        <v>4.4378901123255318E-4</v>
      </c>
      <c r="S29" s="2"/>
      <c r="T29" s="6">
        <v>232.0845358</v>
      </c>
      <c r="U29" s="2"/>
      <c r="V29" s="7">
        <f t="shared" si="17"/>
        <v>4.498876578346342E-4</v>
      </c>
      <c r="W29" s="2"/>
      <c r="X29" s="6">
        <f t="shared" si="18"/>
        <v>13.495464200000015</v>
      </c>
      <c r="Y29" s="2"/>
      <c r="Z29" s="7">
        <f t="shared" si="19"/>
        <v>5.8148916098527986E-2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425.19</v>
      </c>
      <c r="E30" s="2"/>
      <c r="F30" s="7">
        <f t="shared" si="12"/>
        <v>4.2033820424369666E-3</v>
      </c>
      <c r="G30" s="2"/>
      <c r="H30" s="6">
        <v>340.1472</v>
      </c>
      <c r="I30" s="2"/>
      <c r="J30" s="7">
        <f t="shared" si="13"/>
        <v>3.7389495899927453E-3</v>
      </c>
      <c r="K30" s="2"/>
      <c r="L30" s="6">
        <f t="shared" si="14"/>
        <v>85.0428</v>
      </c>
      <c r="M30" s="2"/>
      <c r="N30" s="7">
        <f t="shared" si="15"/>
        <v>0.2500176394219914</v>
      </c>
      <c r="O30" s="11"/>
      <c r="P30" s="6">
        <v>3682.19</v>
      </c>
      <c r="Q30" s="2"/>
      <c r="R30" s="7">
        <f t="shared" si="16"/>
        <v>6.6541064389217157E-3</v>
      </c>
      <c r="S30" s="2"/>
      <c r="T30" s="6">
        <v>2976.288</v>
      </c>
      <c r="U30" s="2"/>
      <c r="V30" s="7">
        <f t="shared" si="17"/>
        <v>5.7694289399583846E-3</v>
      </c>
      <c r="W30" s="2"/>
      <c r="X30" s="6">
        <f t="shared" si="18"/>
        <v>705.90200000000004</v>
      </c>
      <c r="Y30" s="2"/>
      <c r="Z30" s="7">
        <f t="shared" si="19"/>
        <v>0.23717530023976174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304.2</v>
      </c>
      <c r="E32" s="2"/>
      <c r="F32" s="7">
        <f t="shared" si="12"/>
        <v>3.0072880766464998E-3</v>
      </c>
      <c r="G32" s="2"/>
      <c r="H32" s="6">
        <v>197.76</v>
      </c>
      <c r="I32" s="2"/>
      <c r="J32" s="7">
        <f t="shared" si="13"/>
        <v>2.1738079011585725E-3</v>
      </c>
      <c r="K32" s="2"/>
      <c r="L32" s="6">
        <f t="shared" si="14"/>
        <v>106.44</v>
      </c>
      <c r="M32" s="2"/>
      <c r="N32" s="7">
        <f t="shared" si="15"/>
        <v>0.53822815533980584</v>
      </c>
      <c r="O32" s="11"/>
      <c r="P32" s="6">
        <v>2433.6</v>
      </c>
      <c r="Q32" s="2"/>
      <c r="R32" s="7">
        <f t="shared" si="16"/>
        <v>4.3977723663797593E-3</v>
      </c>
      <c r="S32" s="2"/>
      <c r="T32" s="6">
        <v>1730.4</v>
      </c>
      <c r="U32" s="2"/>
      <c r="V32" s="7">
        <f t="shared" si="17"/>
        <v>3.3543191511385961E-3</v>
      </c>
      <c r="W32" s="2"/>
      <c r="X32" s="6">
        <f t="shared" si="18"/>
        <v>703.19999999999982</v>
      </c>
      <c r="Y32" s="2"/>
      <c r="Z32" s="7">
        <f t="shared" si="19"/>
        <v>0.40638002773925092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191.88</v>
      </c>
      <c r="E33" s="2"/>
      <c r="F33" s="7">
        <f t="shared" si="12"/>
        <v>1.8969047868077921E-3</v>
      </c>
      <c r="G33" s="2"/>
      <c r="H33" s="6">
        <v>497.91744</v>
      </c>
      <c r="I33" s="2"/>
      <c r="J33" s="7">
        <f t="shared" si="13"/>
        <v>5.4731839866335435E-3</v>
      </c>
      <c r="K33" s="2"/>
      <c r="L33" s="6">
        <f t="shared" si="14"/>
        <v>-306.03744</v>
      </c>
      <c r="M33" s="2"/>
      <c r="N33" s="7">
        <f t="shared" si="15"/>
        <v>-0.61463490814862798</v>
      </c>
      <c r="O33" s="11"/>
      <c r="P33" s="6">
        <v>1535.04</v>
      </c>
      <c r="Q33" s="2"/>
      <c r="R33" s="7">
        <f t="shared" si="16"/>
        <v>2.7739794926395409E-3</v>
      </c>
      <c r="S33" s="2"/>
      <c r="T33" s="6">
        <v>3370.0584899999999</v>
      </c>
      <c r="U33" s="2"/>
      <c r="V33" s="7">
        <f t="shared" si="17"/>
        <v>6.5327390970089097E-3</v>
      </c>
      <c r="W33" s="2"/>
      <c r="X33" s="6">
        <f t="shared" si="18"/>
        <v>-1835.0184899999999</v>
      </c>
      <c r="Y33" s="2"/>
      <c r="Z33" s="7">
        <f t="shared" si="19"/>
        <v>-0.54450642190486132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172.18</v>
      </c>
      <c r="E34" s="2"/>
      <c r="F34" s="7">
        <f t="shared" si="12"/>
        <v>1.7021527318770359E-3</v>
      </c>
      <c r="G34" s="2"/>
      <c r="H34" s="6"/>
      <c r="I34" s="2"/>
      <c r="J34" s="7">
        <f t="shared" si="13"/>
        <v>0</v>
      </c>
      <c r="K34" s="2"/>
      <c r="L34" s="6">
        <f t="shared" si="14"/>
        <v>172.18</v>
      </c>
      <c r="M34" s="2"/>
      <c r="N34" s="7">
        <f t="shared" si="15"/>
        <v>0</v>
      </c>
      <c r="O34" s="11"/>
      <c r="P34" s="6">
        <v>1301.51</v>
      </c>
      <c r="Q34" s="2"/>
      <c r="R34" s="7">
        <f t="shared" si="16"/>
        <v>2.3519661047694449E-3</v>
      </c>
      <c r="S34" s="2"/>
      <c r="T34" s="6">
        <v>125</v>
      </c>
      <c r="U34" s="2"/>
      <c r="V34" s="7">
        <f t="shared" si="17"/>
        <v>2.4230807552723328E-4</v>
      </c>
      <c r="W34" s="2"/>
      <c r="X34" s="6">
        <f t="shared" si="18"/>
        <v>1176.51</v>
      </c>
      <c r="Y34" s="2"/>
      <c r="Z34" s="7">
        <f t="shared" si="19"/>
        <v>9.4120799999999996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13757.169999999998</v>
      </c>
      <c r="E35" s="1"/>
      <c r="F35" s="5">
        <f t="shared" ref="F35:F45" si="20">IF(D$12=0,0,D35/D$12)</f>
        <v>0.1360018846462818</v>
      </c>
      <c r="G35" s="1"/>
      <c r="H35" s="1">
        <f>SUM(OSRRefH22_1x_0)</f>
        <v>13264.770560000001</v>
      </c>
      <c r="I35" s="1"/>
      <c r="J35" s="5">
        <f t="shared" ref="J35:J45" si="21">IF(H$12=0,0,H35/H$12)</f>
        <v>0.14580836898454505</v>
      </c>
      <c r="K35" s="1"/>
      <c r="L35" s="1">
        <f t="shared" ref="L35:L45" si="22">+D35-H35</f>
        <v>492.39943999999741</v>
      </c>
      <c r="M35" s="1"/>
      <c r="N35" s="5">
        <f t="shared" ref="N35:N45" si="23">IF(H35=0,0,L35/H35)</f>
        <v>3.7120841085998953E-2</v>
      </c>
      <c r="O35" s="13"/>
      <c r="P35" s="1">
        <f>SUM(OSRRefP22_1x_0)</f>
        <v>87808.37000000001</v>
      </c>
      <c r="Q35" s="1"/>
      <c r="R35" s="5">
        <f t="shared" ref="R35:R45" si="24">IF(P$12=0,0,P35/P$12)</f>
        <v>0.15867900358433989</v>
      </c>
      <c r="S35" s="1"/>
      <c r="T35" s="1">
        <f>SUM(OSRRefT22_1x_0)</f>
        <v>84162.824510000006</v>
      </c>
      <c r="U35" s="1"/>
      <c r="V35" s="5">
        <f t="shared" ref="V35:V45" si="25">IF(T$12=0,0,T35/T$12)</f>
        <v>0.1631466563036349</v>
      </c>
      <c r="W35" s="1"/>
      <c r="X35" s="1">
        <f t="shared" ref="X35:X45" si="26">+P35-T35</f>
        <v>3645.5454900000041</v>
      </c>
      <c r="Y35" s="1"/>
      <c r="Z35" s="5">
        <f t="shared" ref="Z35:Z45" si="27">IF(T35=0,0,X35/T35)</f>
        <v>4.3315389083298288E-2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3952</v>
      </c>
      <c r="E37" s="2"/>
      <c r="F37" s="7">
        <f t="shared" si="20"/>
        <v>3.9069041679510086E-2</v>
      </c>
      <c r="G37" s="2"/>
      <c r="H37" s="6">
        <v>3559.68</v>
      </c>
      <c r="I37" s="2"/>
      <c r="J37" s="7">
        <f t="shared" si="21"/>
        <v>3.9128542220854309E-2</v>
      </c>
      <c r="K37" s="2"/>
      <c r="L37" s="6">
        <f t="shared" si="22"/>
        <v>392.32000000000016</v>
      </c>
      <c r="M37" s="2"/>
      <c r="N37" s="7">
        <f t="shared" si="23"/>
        <v>0.11021215390147435</v>
      </c>
      <c r="O37" s="11"/>
      <c r="P37" s="6">
        <v>30608</v>
      </c>
      <c r="Q37" s="2"/>
      <c r="R37" s="7">
        <f t="shared" si="24"/>
        <v>5.5311890446314793E-2</v>
      </c>
      <c r="S37" s="2"/>
      <c r="T37" s="6">
        <v>31147.200000000001</v>
      </c>
      <c r="U37" s="2"/>
      <c r="V37" s="7">
        <f t="shared" si="25"/>
        <v>6.037774472049473E-2</v>
      </c>
      <c r="W37" s="2"/>
      <c r="X37" s="6">
        <f t="shared" si="26"/>
        <v>-539.20000000000073</v>
      </c>
      <c r="Y37" s="2"/>
      <c r="Z37" s="7">
        <f t="shared" si="27"/>
        <v>-1.7311347408434812E-2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254.64</v>
      </c>
      <c r="Q39" s="2"/>
      <c r="R39" s="7">
        <f t="shared" si="24"/>
        <v>4.6016138863204386E-4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254.64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3451.87</v>
      </c>
      <c r="E40" s="2"/>
      <c r="F40" s="7">
        <f t="shared" si="20"/>
        <v>3.4124810957047183E-2</v>
      </c>
      <c r="G40" s="2"/>
      <c r="H40" s="6">
        <v>1638.2911999999999</v>
      </c>
      <c r="I40" s="2"/>
      <c r="J40" s="7">
        <f t="shared" si="21"/>
        <v>1.800834524149757E-2</v>
      </c>
      <c r="K40" s="2"/>
      <c r="L40" s="6">
        <f t="shared" si="22"/>
        <v>1813.5788</v>
      </c>
      <c r="M40" s="2"/>
      <c r="N40" s="7">
        <f t="shared" si="23"/>
        <v>1.1069941656281863</v>
      </c>
      <c r="O40" s="11"/>
      <c r="P40" s="6">
        <v>19937.91</v>
      </c>
      <c r="Q40" s="2"/>
      <c r="R40" s="7">
        <f t="shared" si="24"/>
        <v>3.6029910273408398E-2</v>
      </c>
      <c r="S40" s="2"/>
      <c r="T40" s="6">
        <v>9985.1023999999998</v>
      </c>
      <c r="U40" s="2"/>
      <c r="V40" s="7">
        <f t="shared" si="25"/>
        <v>1.9355767571890867E-2</v>
      </c>
      <c r="W40" s="2"/>
      <c r="X40" s="6">
        <f t="shared" si="26"/>
        <v>9952.8076000000001</v>
      </c>
      <c r="Y40" s="2"/>
      <c r="Z40" s="7">
        <f t="shared" si="27"/>
        <v>0.99676570167172251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5897.91</v>
      </c>
      <c r="E42" s="2"/>
      <c r="F42" s="7">
        <f t="shared" si="20"/>
        <v>5.830609605566784E-2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5897.91</v>
      </c>
      <c r="M42" s="2"/>
      <c r="N42" s="7">
        <f t="shared" si="23"/>
        <v>0</v>
      </c>
      <c r="O42" s="11"/>
      <c r="P42" s="6">
        <v>34080.68</v>
      </c>
      <c r="Q42" s="2"/>
      <c r="R42" s="7">
        <f t="shared" si="24"/>
        <v>6.1587390175637476E-2</v>
      </c>
      <c r="S42" s="2"/>
      <c r="T42" s="6">
        <v>3370.1437500000002</v>
      </c>
      <c r="U42" s="2"/>
      <c r="V42" s="7">
        <f t="shared" si="25"/>
        <v>6.5329043705010664E-3</v>
      </c>
      <c r="W42" s="2"/>
      <c r="X42" s="6">
        <f t="shared" si="26"/>
        <v>30710.536250000001</v>
      </c>
      <c r="Y42" s="2"/>
      <c r="Z42" s="7">
        <f t="shared" si="27"/>
        <v>9.1125300664103719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455.39</v>
      </c>
      <c r="E43" s="2"/>
      <c r="F43" s="7">
        <f t="shared" si="20"/>
        <v>4.5019359540567046E-3</v>
      </c>
      <c r="G43" s="2"/>
      <c r="H43" s="6">
        <v>8066.79936</v>
      </c>
      <c r="I43" s="2"/>
      <c r="J43" s="7">
        <f t="shared" si="21"/>
        <v>8.867148152219316E-2</v>
      </c>
      <c r="K43" s="2"/>
      <c r="L43" s="6">
        <f t="shared" si="22"/>
        <v>-7611.4093599999997</v>
      </c>
      <c r="M43" s="2"/>
      <c r="N43" s="7">
        <f t="shared" si="23"/>
        <v>-0.94354762283315297</v>
      </c>
      <c r="O43" s="11"/>
      <c r="P43" s="6">
        <v>2927.14</v>
      </c>
      <c r="Q43" s="2"/>
      <c r="R43" s="7">
        <f t="shared" si="24"/>
        <v>5.2896513003471606E-3</v>
      </c>
      <c r="S43" s="2"/>
      <c r="T43" s="6">
        <v>39660.378360000002</v>
      </c>
      <c r="U43" s="2"/>
      <c r="V43" s="7">
        <f t="shared" si="25"/>
        <v>7.6880239640748235E-2</v>
      </c>
      <c r="W43" s="2"/>
      <c r="X43" s="6">
        <f t="shared" si="26"/>
        <v>-36733.238360000003</v>
      </c>
      <c r="Y43" s="2"/>
      <c r="Z43" s="7">
        <f t="shared" si="27"/>
        <v>-0.92619485438514615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239.15</v>
      </c>
      <c r="E46" s="1"/>
      <c r="F46" s="5">
        <f t="shared" ref="F46:F55" si="28">IF(D$12=0,0,D46/D$12)</f>
        <v>2.364210859730475E-3</v>
      </c>
      <c r="G46" s="1"/>
      <c r="H46" s="1">
        <f>SUM(OSRRefH22_2x_0)</f>
        <v>150</v>
      </c>
      <c r="I46" s="1"/>
      <c r="J46" s="5">
        <f t="shared" ref="J46:J55" si="29">IF(H$12=0,0,H46/H$12)</f>
        <v>1.6488227405632378E-3</v>
      </c>
      <c r="K46" s="1"/>
      <c r="L46" s="1">
        <f t="shared" ref="L46:L55" si="30">+D46-H46</f>
        <v>89.15</v>
      </c>
      <c r="M46" s="1"/>
      <c r="N46" s="5">
        <f t="shared" ref="N46:N55" si="31">IF(H46=0,0,L46/H46)</f>
        <v>0.59433333333333338</v>
      </c>
      <c r="O46" s="13"/>
      <c r="P46" s="1">
        <f>SUM(OSRRefP22_2x_0)</f>
        <v>968.17</v>
      </c>
      <c r="Q46" s="1"/>
      <c r="R46" s="5">
        <f t="shared" ref="R46:R55" si="32">IF(P$12=0,0,P46/P$12)</f>
        <v>1.7495854996539661E-3</v>
      </c>
      <c r="S46" s="1"/>
      <c r="T46" s="1">
        <f>SUM(OSRRefT22_2x_0)</f>
        <v>975</v>
      </c>
      <c r="U46" s="1"/>
      <c r="V46" s="5">
        <f t="shared" ref="V46:V55" si="33">IF(T$12=0,0,T46/T$12)</f>
        <v>1.8900029891124196E-3</v>
      </c>
      <c r="W46" s="1"/>
      <c r="X46" s="1">
        <f t="shared" ref="X46:X55" si="34">+P46-T46</f>
        <v>-6.8300000000000409</v>
      </c>
      <c r="Y46" s="1"/>
      <c r="Z46" s="5">
        <f t="shared" ref="Z46:Z55" si="35">IF(T46=0,0,X46/T46)</f>
        <v>-7.0051282051282471E-3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239.15</v>
      </c>
      <c r="E47" s="2"/>
      <c r="F47" s="7">
        <f t="shared" si="28"/>
        <v>2.364210859730475E-3</v>
      </c>
      <c r="G47" s="2"/>
      <c r="H47" s="6">
        <v>150</v>
      </c>
      <c r="I47" s="2"/>
      <c r="J47" s="7">
        <f t="shared" si="29"/>
        <v>1.6488227405632378E-3</v>
      </c>
      <c r="K47" s="2"/>
      <c r="L47" s="6">
        <f t="shared" si="30"/>
        <v>89.15</v>
      </c>
      <c r="M47" s="2"/>
      <c r="N47" s="7">
        <f t="shared" si="31"/>
        <v>0.59433333333333338</v>
      </c>
      <c r="O47" s="11"/>
      <c r="P47" s="6">
        <v>968.17</v>
      </c>
      <c r="Q47" s="2"/>
      <c r="R47" s="7">
        <f t="shared" si="32"/>
        <v>1.7495854996539661E-3</v>
      </c>
      <c r="S47" s="2"/>
      <c r="T47" s="6">
        <v>975</v>
      </c>
      <c r="U47" s="2"/>
      <c r="V47" s="7">
        <f t="shared" si="33"/>
        <v>1.8900029891124196E-3</v>
      </c>
      <c r="W47" s="2"/>
      <c r="X47" s="6">
        <f t="shared" si="34"/>
        <v>-6.8300000000000409</v>
      </c>
      <c r="Y47" s="2"/>
      <c r="Z47" s="7">
        <f t="shared" si="35"/>
        <v>-7.0051282051282471E-3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-6.52</v>
      </c>
      <c r="E48" s="1"/>
      <c r="F48" s="5">
        <f t="shared" si="28"/>
        <v>-6.4456010058301042E-5</v>
      </c>
      <c r="G48" s="1"/>
      <c r="H48" s="1">
        <f>SUM(OSRRefH22_3x_0)</f>
        <v>10</v>
      </c>
      <c r="I48" s="1"/>
      <c r="J48" s="5">
        <f t="shared" si="29"/>
        <v>1.0992151603754919E-4</v>
      </c>
      <c r="K48" s="1"/>
      <c r="L48" s="1">
        <f t="shared" si="30"/>
        <v>-16.52</v>
      </c>
      <c r="M48" s="1"/>
      <c r="N48" s="5">
        <f t="shared" si="31"/>
        <v>-1.6519999999999999</v>
      </c>
      <c r="O48" s="13"/>
      <c r="P48" s="1">
        <f>SUM(OSRRefP22_3x_0)</f>
        <v>-65.23</v>
      </c>
      <c r="Q48" s="1"/>
      <c r="R48" s="5">
        <f t="shared" si="32"/>
        <v>-1.1787750306498675E-4</v>
      </c>
      <c r="S48" s="1"/>
      <c r="T48" s="1">
        <f>SUM(OSRRefT22_3x_0)</f>
        <v>80</v>
      </c>
      <c r="U48" s="1"/>
      <c r="V48" s="5">
        <f t="shared" si="33"/>
        <v>1.550771683374293E-4</v>
      </c>
      <c r="W48" s="1"/>
      <c r="X48" s="1">
        <f t="shared" si="34"/>
        <v>-145.23000000000002</v>
      </c>
      <c r="Y48" s="1"/>
      <c r="Z48" s="5">
        <f t="shared" si="35"/>
        <v>-1.8153750000000002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-6.52</v>
      </c>
      <c r="E49" s="2"/>
      <c r="F49" s="7">
        <f t="shared" si="28"/>
        <v>-6.4456010058301042E-5</v>
      </c>
      <c r="G49" s="2"/>
      <c r="H49" s="6">
        <v>10</v>
      </c>
      <c r="I49" s="2"/>
      <c r="J49" s="7">
        <f t="shared" si="29"/>
        <v>1.0992151603754919E-4</v>
      </c>
      <c r="K49" s="2"/>
      <c r="L49" s="6">
        <f t="shared" si="30"/>
        <v>-16.52</v>
      </c>
      <c r="M49" s="2"/>
      <c r="N49" s="7">
        <f t="shared" si="31"/>
        <v>-1.6519999999999999</v>
      </c>
      <c r="O49" s="11"/>
      <c r="P49" s="6">
        <v>-65.23</v>
      </c>
      <c r="Q49" s="2"/>
      <c r="R49" s="7">
        <f t="shared" si="32"/>
        <v>-1.1787750306498675E-4</v>
      </c>
      <c r="S49" s="2"/>
      <c r="T49" s="6">
        <v>80</v>
      </c>
      <c r="U49" s="2"/>
      <c r="V49" s="7">
        <f t="shared" si="33"/>
        <v>1.550771683374293E-4</v>
      </c>
      <c r="W49" s="2"/>
      <c r="X49" s="6">
        <f t="shared" si="34"/>
        <v>-145.23000000000002</v>
      </c>
      <c r="Y49" s="2"/>
      <c r="Z49" s="7">
        <f t="shared" si="35"/>
        <v>-1.8153750000000002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4250.1099999999997</v>
      </c>
      <c r="E50" s="1"/>
      <c r="F50" s="5">
        <f t="shared" si="28"/>
        <v>4.201612467927697E-2</v>
      </c>
      <c r="G50" s="1"/>
      <c r="H50" s="1">
        <f>SUM(OSRRefH22_4x_0)</f>
        <v>3184</v>
      </c>
      <c r="I50" s="1"/>
      <c r="J50" s="5">
        <f t="shared" si="29"/>
        <v>3.4999010706355665E-2</v>
      </c>
      <c r="K50" s="1"/>
      <c r="L50" s="1">
        <f t="shared" si="30"/>
        <v>1066.1099999999997</v>
      </c>
      <c r="M50" s="1"/>
      <c r="N50" s="5">
        <f t="shared" si="31"/>
        <v>0.33483354271356774</v>
      </c>
      <c r="O50" s="13"/>
      <c r="P50" s="1">
        <f>SUM(OSRRefP22_4x_0)</f>
        <v>20632.099999999999</v>
      </c>
      <c r="Q50" s="1"/>
      <c r="R50" s="5">
        <f t="shared" si="32"/>
        <v>3.7284384960709994E-2</v>
      </c>
      <c r="S50" s="1"/>
      <c r="T50" s="1">
        <f>SUM(OSRRefT22_4x_0)</f>
        <v>17533</v>
      </c>
      <c r="U50" s="1"/>
      <c r="V50" s="5">
        <f t="shared" si="33"/>
        <v>3.3987099905751848E-2</v>
      </c>
      <c r="W50" s="1"/>
      <c r="X50" s="1">
        <f t="shared" si="34"/>
        <v>3099.0999999999985</v>
      </c>
      <c r="Y50" s="1"/>
      <c r="Z50" s="5">
        <f t="shared" si="35"/>
        <v>0.17675811327211535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4250.1099999999997</v>
      </c>
      <c r="E51" s="2"/>
      <c r="F51" s="7">
        <f t="shared" si="28"/>
        <v>4.201612467927697E-2</v>
      </c>
      <c r="G51" s="2"/>
      <c r="H51" s="6">
        <v>3184</v>
      </c>
      <c r="I51" s="2"/>
      <c r="J51" s="7">
        <f t="shared" si="29"/>
        <v>3.4999010706355665E-2</v>
      </c>
      <c r="K51" s="2"/>
      <c r="L51" s="6">
        <f t="shared" si="30"/>
        <v>1066.1099999999997</v>
      </c>
      <c r="M51" s="2"/>
      <c r="N51" s="7">
        <f t="shared" si="31"/>
        <v>0.33483354271356774</v>
      </c>
      <c r="O51" s="11"/>
      <c r="P51" s="6">
        <v>20632.099999999999</v>
      </c>
      <c r="Q51" s="2"/>
      <c r="R51" s="7">
        <f t="shared" si="32"/>
        <v>3.7284384960709994E-2</v>
      </c>
      <c r="S51" s="2"/>
      <c r="T51" s="6">
        <v>17533</v>
      </c>
      <c r="U51" s="2"/>
      <c r="V51" s="7">
        <f t="shared" si="33"/>
        <v>3.3987099905751848E-2</v>
      </c>
      <c r="W51" s="2"/>
      <c r="X51" s="6">
        <f t="shared" si="34"/>
        <v>3099.0999999999985</v>
      </c>
      <c r="Y51" s="2"/>
      <c r="Z51" s="7">
        <f t="shared" si="35"/>
        <v>0.17675811327211535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5564.79</v>
      </c>
      <c r="E52" s="1"/>
      <c r="F52" s="5">
        <f t="shared" si="28"/>
        <v>5.5012908008026544E-2</v>
      </c>
      <c r="G52" s="1"/>
      <c r="H52" s="1">
        <f>SUM(OSRRefH22_5x_0)</f>
        <v>6026</v>
      </c>
      <c r="I52" s="1"/>
      <c r="J52" s="5">
        <f t="shared" si="29"/>
        <v>6.6238705564227146E-2</v>
      </c>
      <c r="K52" s="1"/>
      <c r="L52" s="1">
        <f t="shared" si="30"/>
        <v>-461.21000000000004</v>
      </c>
      <c r="M52" s="1"/>
      <c r="N52" s="5">
        <f t="shared" si="31"/>
        <v>-7.6536674410886171E-2</v>
      </c>
      <c r="O52" s="13"/>
      <c r="P52" s="1">
        <f>SUM(OSRRefP22_5x_0)</f>
        <v>43801.22</v>
      </c>
      <c r="Q52" s="1"/>
      <c r="R52" s="5">
        <f t="shared" si="32"/>
        <v>7.915343315652551E-2</v>
      </c>
      <c r="S52" s="1"/>
      <c r="T52" s="1">
        <f>SUM(OSRRefT22_5x_0)</f>
        <v>46597</v>
      </c>
      <c r="U52" s="1"/>
      <c r="V52" s="5">
        <f t="shared" si="33"/>
        <v>9.0326635162739921E-2</v>
      </c>
      <c r="W52" s="1"/>
      <c r="X52" s="1">
        <f t="shared" si="34"/>
        <v>-2795.7799999999988</v>
      </c>
      <c r="Y52" s="1"/>
      <c r="Z52" s="5">
        <f t="shared" si="35"/>
        <v>-5.999914157563789E-2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5.0225368659708447E-2</v>
      </c>
      <c r="G53" s="2"/>
      <c r="H53" s="6">
        <v>5081</v>
      </c>
      <c r="I53" s="2"/>
      <c r="J53" s="7">
        <f t="shared" si="29"/>
        <v>5.5851122298678745E-2</v>
      </c>
      <c r="K53" s="2"/>
      <c r="L53" s="6">
        <f t="shared" si="30"/>
        <v>-0.48999999999978172</v>
      </c>
      <c r="M53" s="2"/>
      <c r="N53" s="7">
        <f t="shared" si="31"/>
        <v>-9.6437709112336489E-5</v>
      </c>
      <c r="O53" s="11"/>
      <c r="P53" s="6">
        <v>40644.080000000002</v>
      </c>
      <c r="Q53" s="2"/>
      <c r="R53" s="7">
        <f t="shared" si="32"/>
        <v>7.3448147551334761E-2</v>
      </c>
      <c r="S53" s="2"/>
      <c r="T53" s="6">
        <v>40648</v>
      </c>
      <c r="U53" s="2"/>
      <c r="V53" s="7">
        <f t="shared" si="33"/>
        <v>7.8794709232247837E-2</v>
      </c>
      <c r="W53" s="2"/>
      <c r="X53" s="6">
        <f t="shared" si="34"/>
        <v>-3.9199999999982538</v>
      </c>
      <c r="Y53" s="2"/>
      <c r="Z53" s="7">
        <f t="shared" si="35"/>
        <v>-9.6437709112336489E-5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484.28</v>
      </c>
      <c r="E54" s="2"/>
      <c r="F54" s="7">
        <f t="shared" si="28"/>
        <v>4.787539348318103E-3</v>
      </c>
      <c r="G54" s="2"/>
      <c r="H54" s="6">
        <v>348</v>
      </c>
      <c r="I54" s="2"/>
      <c r="J54" s="7">
        <f t="shared" si="29"/>
        <v>3.8252687581067117E-3</v>
      </c>
      <c r="K54" s="2"/>
      <c r="L54" s="6">
        <f t="shared" si="30"/>
        <v>136.27999999999997</v>
      </c>
      <c r="M54" s="2"/>
      <c r="N54" s="7">
        <f t="shared" si="31"/>
        <v>0.39160919540229877</v>
      </c>
      <c r="O54" s="11"/>
      <c r="P54" s="6">
        <v>3157.14</v>
      </c>
      <c r="Q54" s="2"/>
      <c r="R54" s="7">
        <f t="shared" si="32"/>
        <v>5.7052856051907439E-3</v>
      </c>
      <c r="S54" s="2"/>
      <c r="T54" s="6">
        <v>2784</v>
      </c>
      <c r="U54" s="2"/>
      <c r="V54" s="7">
        <f t="shared" si="33"/>
        <v>5.3966854581425396E-3</v>
      </c>
      <c r="W54" s="2"/>
      <c r="X54" s="6">
        <f t="shared" si="34"/>
        <v>373.13999999999987</v>
      </c>
      <c r="Y54" s="2"/>
      <c r="Z54" s="7">
        <f t="shared" si="35"/>
        <v>0.13403017241379306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597</v>
      </c>
      <c r="I55" s="2"/>
      <c r="J55" s="7">
        <f t="shared" si="29"/>
        <v>6.5623145074416864E-3</v>
      </c>
      <c r="K55" s="2"/>
      <c r="L55" s="6">
        <f t="shared" si="30"/>
        <v>-597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3165</v>
      </c>
      <c r="U55" s="2"/>
      <c r="V55" s="7">
        <f t="shared" si="33"/>
        <v>6.1352404723495468E-3</v>
      </c>
      <c r="W55" s="2"/>
      <c r="X55" s="6">
        <f t="shared" si="34"/>
        <v>-3165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25</v>
      </c>
      <c r="I56" s="1"/>
      <c r="J56" s="5">
        <f t="shared" ref="J56:J69" si="37">IF(H$12=0,0,H56/H$12)</f>
        <v>2.7480379009387298E-4</v>
      </c>
      <c r="K56" s="1"/>
      <c r="L56" s="1">
        <f t="shared" ref="L56:L69" si="38">+D56-H56</f>
        <v>-25</v>
      </c>
      <c r="M56" s="1"/>
      <c r="N56" s="5">
        <f t="shared" ref="N56:N69" si="39">IF(H56=0,0,L56/H56)</f>
        <v>-1</v>
      </c>
      <c r="O56" s="13"/>
      <c r="P56" s="1">
        <f>SUM(OSRRefP22_6x_0)</f>
        <v>74.569999999999993</v>
      </c>
      <c r="Q56" s="1"/>
      <c r="R56" s="5">
        <f t="shared" ref="R56:R69" si="40">IF(P$12=0,0,P56/P$12)</f>
        <v>1.347558700529827E-4</v>
      </c>
      <c r="S56" s="1"/>
      <c r="T56" s="1">
        <f>SUM(OSRRefT22_6x_0)</f>
        <v>200</v>
      </c>
      <c r="U56" s="1"/>
      <c r="V56" s="5">
        <f t="shared" ref="V56:V69" si="41">IF(T$12=0,0,T56/T$12)</f>
        <v>3.8769292084357324E-4</v>
      </c>
      <c r="W56" s="1"/>
      <c r="X56" s="1">
        <f t="shared" ref="X56:X69" si="42">+P56-T56</f>
        <v>-125.43</v>
      </c>
      <c r="Y56" s="1"/>
      <c r="Z56" s="5">
        <f t="shared" ref="Z56:Z69" si="43">IF(T56=0,0,X56/T56)</f>
        <v>-0.62714999999999999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25</v>
      </c>
      <c r="I57" s="2"/>
      <c r="J57" s="7">
        <f t="shared" si="37"/>
        <v>2.7480379009387298E-4</v>
      </c>
      <c r="K57" s="2"/>
      <c r="L57" s="6">
        <f t="shared" si="38"/>
        <v>-25</v>
      </c>
      <c r="M57" s="2"/>
      <c r="N57" s="7">
        <f t="shared" si="39"/>
        <v>-1</v>
      </c>
      <c r="O57" s="11"/>
      <c r="P57" s="6">
        <v>74.569999999999993</v>
      </c>
      <c r="Q57" s="2"/>
      <c r="R57" s="7">
        <f t="shared" si="40"/>
        <v>1.347558700529827E-4</v>
      </c>
      <c r="S57" s="2"/>
      <c r="T57" s="6">
        <v>200</v>
      </c>
      <c r="U57" s="2"/>
      <c r="V57" s="7">
        <f t="shared" si="41"/>
        <v>3.8769292084357324E-4</v>
      </c>
      <c r="W57" s="2"/>
      <c r="X57" s="6">
        <f t="shared" si="42"/>
        <v>-125.43</v>
      </c>
      <c r="Y57" s="2"/>
      <c r="Z57" s="7">
        <f t="shared" si="43"/>
        <v>-0.62714999999999999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103.34</v>
      </c>
      <c r="E58" s="1"/>
      <c r="F58" s="5">
        <f t="shared" si="36"/>
        <v>1.0216079876418452E-3</v>
      </c>
      <c r="G58" s="1"/>
      <c r="H58" s="1">
        <f>SUM(OSRRefH22_7x_0)</f>
        <v>80</v>
      </c>
      <c r="I58" s="1"/>
      <c r="J58" s="5">
        <f t="shared" si="37"/>
        <v>8.7937212830039354E-4</v>
      </c>
      <c r="K58" s="1"/>
      <c r="L58" s="1">
        <f t="shared" si="38"/>
        <v>23.340000000000003</v>
      </c>
      <c r="M58" s="1"/>
      <c r="N58" s="5">
        <f t="shared" si="39"/>
        <v>0.29175000000000006</v>
      </c>
      <c r="O58" s="13"/>
      <c r="P58" s="1">
        <f>SUM(OSRRefP22_7x_0)</f>
        <v>865.31</v>
      </c>
      <c r="Q58" s="1"/>
      <c r="R58" s="5">
        <f t="shared" si="40"/>
        <v>1.5637066101052226E-3</v>
      </c>
      <c r="S58" s="1"/>
      <c r="T58" s="1">
        <f>SUM(OSRRefT22_7x_0)</f>
        <v>640</v>
      </c>
      <c r="U58" s="1"/>
      <c r="V58" s="5">
        <f t="shared" si="41"/>
        <v>1.2406173466994344E-3</v>
      </c>
      <c r="W58" s="1"/>
      <c r="X58" s="1">
        <f t="shared" si="42"/>
        <v>225.30999999999995</v>
      </c>
      <c r="Y58" s="1"/>
      <c r="Z58" s="5">
        <f t="shared" si="43"/>
        <v>0.35204687499999993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103.34</v>
      </c>
      <c r="E59" s="2"/>
      <c r="F59" s="7">
        <f t="shared" si="36"/>
        <v>1.0216079876418452E-3</v>
      </c>
      <c r="G59" s="2"/>
      <c r="H59" s="6">
        <v>80</v>
      </c>
      <c r="I59" s="2"/>
      <c r="J59" s="7">
        <f t="shared" si="37"/>
        <v>8.7937212830039354E-4</v>
      </c>
      <c r="K59" s="2"/>
      <c r="L59" s="6">
        <f t="shared" si="38"/>
        <v>23.340000000000003</v>
      </c>
      <c r="M59" s="2"/>
      <c r="N59" s="7">
        <f t="shared" si="39"/>
        <v>0.29175000000000006</v>
      </c>
      <c r="O59" s="11"/>
      <c r="P59" s="6">
        <v>865.31</v>
      </c>
      <c r="Q59" s="2"/>
      <c r="R59" s="7">
        <f t="shared" si="40"/>
        <v>1.5637066101052226E-3</v>
      </c>
      <c r="S59" s="2"/>
      <c r="T59" s="6">
        <v>640</v>
      </c>
      <c r="U59" s="2"/>
      <c r="V59" s="7">
        <f t="shared" si="41"/>
        <v>1.2406173466994344E-3</v>
      </c>
      <c r="W59" s="2"/>
      <c r="X59" s="6">
        <f t="shared" si="42"/>
        <v>225.30999999999995</v>
      </c>
      <c r="Y59" s="2"/>
      <c r="Z59" s="7">
        <f t="shared" si="43"/>
        <v>0.35204687499999993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40.5</v>
      </c>
      <c r="E60" s="1"/>
      <c r="F60" s="5">
        <f t="shared" si="36"/>
        <v>4.0037859008607246E-4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40.5</v>
      </c>
      <c r="M60" s="1"/>
      <c r="N60" s="5">
        <f t="shared" si="39"/>
        <v>0</v>
      </c>
      <c r="O60" s="13"/>
      <c r="P60" s="1">
        <f>SUM(OSRRefP22_8x_0)</f>
        <v>1308.73</v>
      </c>
      <c r="Q60" s="1"/>
      <c r="R60" s="5">
        <f t="shared" si="40"/>
        <v>2.3650134077301869E-3</v>
      </c>
      <c r="S60" s="1"/>
      <c r="T60" s="1">
        <f>SUM(OSRRefT22_8x_0)</f>
        <v>800</v>
      </c>
      <c r="U60" s="1"/>
      <c r="V60" s="5">
        <f t="shared" si="41"/>
        <v>1.550771683374293E-3</v>
      </c>
      <c r="W60" s="1"/>
      <c r="X60" s="1">
        <f t="shared" si="42"/>
        <v>508.73</v>
      </c>
      <c r="Y60" s="1"/>
      <c r="Z60" s="5">
        <f t="shared" si="43"/>
        <v>0.63591249999999999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40.5</v>
      </c>
      <c r="E61" s="2"/>
      <c r="F61" s="7">
        <f t="shared" si="36"/>
        <v>4.0037859008607246E-4</v>
      </c>
      <c r="G61" s="2"/>
      <c r="H61" s="6"/>
      <c r="I61" s="2"/>
      <c r="J61" s="7">
        <f t="shared" si="37"/>
        <v>0</v>
      </c>
      <c r="K61" s="2"/>
      <c r="L61" s="6">
        <f t="shared" si="38"/>
        <v>40.5</v>
      </c>
      <c r="M61" s="2"/>
      <c r="N61" s="7">
        <f t="shared" si="39"/>
        <v>0</v>
      </c>
      <c r="O61" s="11"/>
      <c r="P61" s="6">
        <v>1308.73</v>
      </c>
      <c r="Q61" s="2"/>
      <c r="R61" s="7">
        <f t="shared" si="40"/>
        <v>2.3650134077301869E-3</v>
      </c>
      <c r="S61" s="2"/>
      <c r="T61" s="6">
        <v>800</v>
      </c>
      <c r="U61" s="2"/>
      <c r="V61" s="7">
        <f t="shared" si="41"/>
        <v>1.550771683374293E-3</v>
      </c>
      <c r="W61" s="2"/>
      <c r="X61" s="6">
        <f t="shared" si="42"/>
        <v>508.73</v>
      </c>
      <c r="Y61" s="2"/>
      <c r="Z61" s="7">
        <f t="shared" si="43"/>
        <v>0.63591249999999999</v>
      </c>
    </row>
    <row r="62" spans="1:26" s="27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6"/>
        <v>2.4076099217175823E-3</v>
      </c>
      <c r="G62" s="1"/>
      <c r="H62" s="1">
        <f>SUM(OSRRefH22_9x_0)</f>
        <v>230</v>
      </c>
      <c r="I62" s="1"/>
      <c r="J62" s="5">
        <f t="shared" si="37"/>
        <v>2.5281948688636313E-3</v>
      </c>
      <c r="K62" s="1"/>
      <c r="L62" s="1">
        <f t="shared" si="38"/>
        <v>13.539999999999992</v>
      </c>
      <c r="M62" s="1"/>
      <c r="N62" s="5">
        <f t="shared" si="39"/>
        <v>5.886956521739127E-2</v>
      </c>
      <c r="O62" s="13"/>
      <c r="P62" s="1">
        <f>SUM(OSRRefP22_9x_0)</f>
        <v>1948.32</v>
      </c>
      <c r="Q62" s="1"/>
      <c r="R62" s="5">
        <f t="shared" si="40"/>
        <v>3.5208201252732631E-3</v>
      </c>
      <c r="S62" s="1"/>
      <c r="T62" s="1">
        <f>SUM(OSRRefT22_9x_0)</f>
        <v>1840</v>
      </c>
      <c r="U62" s="1"/>
      <c r="V62" s="5">
        <f t="shared" si="41"/>
        <v>3.566774871760874E-3</v>
      </c>
      <c r="W62" s="1"/>
      <c r="X62" s="1">
        <f t="shared" si="42"/>
        <v>108.31999999999994</v>
      </c>
      <c r="Y62" s="1"/>
      <c r="Z62" s="5">
        <f t="shared" si="43"/>
        <v>5.886956521739127E-2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6">
        <v>243.54</v>
      </c>
      <c r="E63" s="2"/>
      <c r="F63" s="7">
        <f t="shared" si="36"/>
        <v>2.4076099217175823E-3</v>
      </c>
      <c r="G63" s="2"/>
      <c r="H63" s="6">
        <v>230</v>
      </c>
      <c r="I63" s="2"/>
      <c r="J63" s="7">
        <f t="shared" si="37"/>
        <v>2.5281948688636313E-3</v>
      </c>
      <c r="K63" s="2"/>
      <c r="L63" s="6">
        <f t="shared" si="38"/>
        <v>13.539999999999992</v>
      </c>
      <c r="M63" s="2"/>
      <c r="N63" s="7">
        <f t="shared" si="39"/>
        <v>5.886956521739127E-2</v>
      </c>
      <c r="O63" s="11"/>
      <c r="P63" s="6">
        <v>1948.32</v>
      </c>
      <c r="Q63" s="2"/>
      <c r="R63" s="7">
        <f t="shared" si="40"/>
        <v>3.5208201252732631E-3</v>
      </c>
      <c r="S63" s="2"/>
      <c r="T63" s="6">
        <v>1840</v>
      </c>
      <c r="U63" s="2"/>
      <c r="V63" s="7">
        <f t="shared" si="41"/>
        <v>3.566774871760874E-3</v>
      </c>
      <c r="W63" s="2"/>
      <c r="X63" s="6">
        <f t="shared" si="42"/>
        <v>108.31999999999994</v>
      </c>
      <c r="Y63" s="2"/>
      <c r="Z63" s="7">
        <f t="shared" si="43"/>
        <v>5.886956521739127E-2</v>
      </c>
    </row>
    <row r="64" spans="1:26" s="27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4175</v>
      </c>
      <c r="E64" s="1"/>
      <c r="F64" s="5">
        <f t="shared" si="36"/>
        <v>4.1273595397761792E-2</v>
      </c>
      <c r="G64" s="1"/>
      <c r="H64" s="1">
        <f>SUM(OSRRefH22_10x_0)</f>
        <v>4175</v>
      </c>
      <c r="I64" s="1"/>
      <c r="J64" s="5">
        <f t="shared" si="37"/>
        <v>4.5892232945676785E-2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33193.950000000004</v>
      </c>
      <c r="Q64" s="1"/>
      <c r="R64" s="5">
        <f t="shared" si="40"/>
        <v>5.9984975362011604E-2</v>
      </c>
      <c r="S64" s="1"/>
      <c r="T64" s="1">
        <f>SUM(OSRRefT22_10x_0)</f>
        <v>33400</v>
      </c>
      <c r="U64" s="1"/>
      <c r="V64" s="5">
        <f t="shared" si="41"/>
        <v>6.4744717780876732E-2</v>
      </c>
      <c r="W64" s="1"/>
      <c r="X64" s="1">
        <f t="shared" si="42"/>
        <v>-206.04999999999563</v>
      </c>
      <c r="Y64" s="1"/>
      <c r="Z64" s="5">
        <f t="shared" si="43"/>
        <v>-6.1691616766465758E-3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6">
        <v>4175</v>
      </c>
      <c r="E65" s="2"/>
      <c r="F65" s="7">
        <f t="shared" si="36"/>
        <v>4.1273595397761792E-2</v>
      </c>
      <c r="G65" s="2"/>
      <c r="H65" s="6">
        <v>4175</v>
      </c>
      <c r="I65" s="2"/>
      <c r="J65" s="7">
        <f t="shared" si="37"/>
        <v>4.5892232945676785E-2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33193.950000000004</v>
      </c>
      <c r="Q65" s="2"/>
      <c r="R65" s="7">
        <f t="shared" si="40"/>
        <v>5.9984975362011604E-2</v>
      </c>
      <c r="S65" s="2"/>
      <c r="T65" s="6">
        <v>33400</v>
      </c>
      <c r="U65" s="2"/>
      <c r="V65" s="7">
        <f t="shared" si="41"/>
        <v>6.4744717780876732E-2</v>
      </c>
      <c r="W65" s="2"/>
      <c r="X65" s="6">
        <f t="shared" si="42"/>
        <v>-206.04999999999563</v>
      </c>
      <c r="Y65" s="2"/>
      <c r="Z65" s="7">
        <f t="shared" si="43"/>
        <v>-6.1691616766465758E-3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0</v>
      </c>
      <c r="E66" s="1"/>
      <c r="F66" s="5">
        <f t="shared" si="36"/>
        <v>0</v>
      </c>
      <c r="G66" s="1"/>
      <c r="H66" s="1">
        <f>SUM(OSRRefH22_11x_0)</f>
        <v>200</v>
      </c>
      <c r="I66" s="1"/>
      <c r="J66" s="5">
        <f t="shared" si="37"/>
        <v>2.1984303207509838E-3</v>
      </c>
      <c r="K66" s="1"/>
      <c r="L66" s="1">
        <f t="shared" si="38"/>
        <v>-200</v>
      </c>
      <c r="M66" s="1"/>
      <c r="N66" s="5">
        <f t="shared" si="39"/>
        <v>-1</v>
      </c>
      <c r="O66" s="13"/>
      <c r="P66" s="1">
        <f>SUM(OSRRefP22_11x_0)</f>
        <v>937.67</v>
      </c>
      <c r="Q66" s="1"/>
      <c r="R66" s="5">
        <f t="shared" si="40"/>
        <v>1.6944687766203604E-3</v>
      </c>
      <c r="S66" s="1"/>
      <c r="T66" s="1">
        <f>SUM(OSRRefT22_11x_0)</f>
        <v>4400</v>
      </c>
      <c r="U66" s="1"/>
      <c r="V66" s="5">
        <f t="shared" si="41"/>
        <v>8.5292442585586121E-3</v>
      </c>
      <c r="W66" s="1"/>
      <c r="X66" s="1">
        <f t="shared" si="42"/>
        <v>-3462.33</v>
      </c>
      <c r="Y66" s="1"/>
      <c r="Z66" s="5">
        <f t="shared" si="43"/>
        <v>-0.7868931818181818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437.31</v>
      </c>
      <c r="Q67" s="2"/>
      <c r="R67" s="7">
        <f t="shared" si="40"/>
        <v>7.9026538196151088E-4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437.31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209.74</v>
      </c>
      <c r="Q68" s="2"/>
      <c r="R68" s="7">
        <f t="shared" si="40"/>
        <v>3.7902234390388347E-4</v>
      </c>
      <c r="S68" s="2"/>
      <c r="T68" s="6"/>
      <c r="U68" s="2"/>
      <c r="V68" s="7">
        <f t="shared" si="41"/>
        <v>0</v>
      </c>
      <c r="W68" s="2"/>
      <c r="X68" s="6">
        <f t="shared" si="42"/>
        <v>209.74</v>
      </c>
      <c r="Y68" s="2"/>
      <c r="Z68" s="7">
        <f t="shared" si="43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6"/>
        <v>0</v>
      </c>
      <c r="G69" s="2"/>
      <c r="H69" s="6">
        <v>200</v>
      </c>
      <c r="I69" s="2"/>
      <c r="J69" s="7">
        <f t="shared" si="37"/>
        <v>2.1984303207509838E-3</v>
      </c>
      <c r="K69" s="2"/>
      <c r="L69" s="6">
        <f t="shared" si="38"/>
        <v>-200</v>
      </c>
      <c r="M69" s="2"/>
      <c r="N69" s="7">
        <f t="shared" si="39"/>
        <v>-1</v>
      </c>
      <c r="O69" s="11"/>
      <c r="P69" s="6">
        <v>290.62</v>
      </c>
      <c r="Q69" s="2"/>
      <c r="R69" s="7">
        <f t="shared" si="40"/>
        <v>5.251810507549662E-4</v>
      </c>
      <c r="S69" s="2"/>
      <c r="T69" s="6">
        <v>4400</v>
      </c>
      <c r="U69" s="2"/>
      <c r="V69" s="7">
        <f t="shared" si="41"/>
        <v>8.5292442585586121E-3</v>
      </c>
      <c r="W69" s="2"/>
      <c r="X69" s="6">
        <f t="shared" si="42"/>
        <v>-4109.38</v>
      </c>
      <c r="Y69" s="2"/>
      <c r="Z69" s="7">
        <f t="shared" si="43"/>
        <v>-0.93395000000000006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707.58</v>
      </c>
      <c r="E70" s="1"/>
      <c r="F70" s="5">
        <f t="shared" ref="F70:F74" si="44">IF(D$12=0,0,D70/D$12)</f>
        <v>6.9950588339037821E-3</v>
      </c>
      <c r="G70" s="1"/>
      <c r="H70" s="1">
        <f>SUM(OSRRefH22_12x_0)</f>
        <v>400</v>
      </c>
      <c r="I70" s="1"/>
      <c r="J70" s="5">
        <f t="shared" ref="J70:J74" si="45">IF(H$12=0,0,H70/H$12)</f>
        <v>4.3968606415019677E-3</v>
      </c>
      <c r="K70" s="1"/>
      <c r="L70" s="1">
        <f t="shared" ref="L70:L74" si="46">+D70-H70</f>
        <v>307.58000000000004</v>
      </c>
      <c r="M70" s="1"/>
      <c r="N70" s="5">
        <f t="shared" ref="N70:N74" si="47">IF(H70=0,0,L70/H70)</f>
        <v>0.76895000000000013</v>
      </c>
      <c r="O70" s="13"/>
      <c r="P70" s="1">
        <f>SUM(OSRRefP22_12x_0)</f>
        <v>4551.8900000000003</v>
      </c>
      <c r="Q70" s="1"/>
      <c r="R70" s="5">
        <f t="shared" ref="R70:R74" si="48">IF(P$12=0,0,P70/P$12)</f>
        <v>8.2257462429324319E-3</v>
      </c>
      <c r="S70" s="1"/>
      <c r="T70" s="1">
        <f>SUM(OSRRefT22_12x_0)</f>
        <v>3065</v>
      </c>
      <c r="U70" s="1"/>
      <c r="V70" s="5">
        <f t="shared" ref="V70:V74" si="49">IF(T$12=0,0,T70/T$12)</f>
        <v>5.94139401192776E-3</v>
      </c>
      <c r="W70" s="1"/>
      <c r="X70" s="1">
        <f t="shared" ref="X70:X74" si="50">+P70-T70</f>
        <v>1486.8900000000003</v>
      </c>
      <c r="Y70" s="1"/>
      <c r="Z70" s="5">
        <f t="shared" ref="Z70:Z74" si="51">IF(T70=0,0,X70/T70)</f>
        <v>0.48511908646003271</v>
      </c>
    </row>
    <row r="71" spans="1:26" s="24" customFormat="1" hidden="1" outlineLevel="2" x14ac:dyDescent="0.25">
      <c r="A71" s="25"/>
      <c r="B71" s="11" t="str">
        <f>CONCATENATE("          ", "6281", " - ", "STORAGE FEE")</f>
        <v xml:space="preserve">          6281 - STORAGE FEE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0</v>
      </c>
      <c r="U71" s="2"/>
      <c r="V71" s="7">
        <f t="shared" si="49"/>
        <v>0</v>
      </c>
      <c r="W71" s="2"/>
      <c r="X71" s="6">
        <f t="shared" si="50"/>
        <v>0</v>
      </c>
      <c r="Y71" s="2"/>
      <c r="Z71" s="7">
        <f t="shared" si="51"/>
        <v>0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314.7</v>
      </c>
      <c r="E72" s="2"/>
      <c r="F72" s="7">
        <f t="shared" si="44"/>
        <v>3.1110899333354814E-3</v>
      </c>
      <c r="G72" s="2"/>
      <c r="H72" s="6">
        <v>160</v>
      </c>
      <c r="I72" s="2"/>
      <c r="J72" s="7">
        <f t="shared" si="45"/>
        <v>1.7587442566007871E-3</v>
      </c>
      <c r="K72" s="2"/>
      <c r="L72" s="6">
        <f t="shared" si="46"/>
        <v>154.69999999999999</v>
      </c>
      <c r="M72" s="2"/>
      <c r="N72" s="7">
        <f t="shared" si="47"/>
        <v>0.96687499999999993</v>
      </c>
      <c r="O72" s="11"/>
      <c r="P72" s="6">
        <v>1416.15</v>
      </c>
      <c r="Q72" s="2"/>
      <c r="R72" s="7">
        <f t="shared" si="48"/>
        <v>2.5591326991488729E-3</v>
      </c>
      <c r="S72" s="2"/>
      <c r="T72" s="6">
        <v>1280</v>
      </c>
      <c r="U72" s="2"/>
      <c r="V72" s="7">
        <f t="shared" si="49"/>
        <v>2.4812346933988688E-3</v>
      </c>
      <c r="W72" s="2"/>
      <c r="X72" s="6">
        <f t="shared" si="50"/>
        <v>136.15000000000009</v>
      </c>
      <c r="Y72" s="2"/>
      <c r="Z72" s="7">
        <f t="shared" si="51"/>
        <v>0.10636718750000007</v>
      </c>
    </row>
    <row r="73" spans="1:26" s="24" customFormat="1" hidden="1" outlineLevel="2" x14ac:dyDescent="0.25">
      <c r="A73" s="25"/>
      <c r="B73" s="11" t="str">
        <f>CONCATENATE("          ", "6284", " - ", "TRASH REMOVAL EXPENSE")</f>
        <v xml:space="preserve">          6284 - TRASH REMOVAL EXPENSE</v>
      </c>
      <c r="C73" s="11"/>
      <c r="D73" s="6">
        <v>289</v>
      </c>
      <c r="E73" s="2"/>
      <c r="F73" s="7">
        <f t="shared" si="44"/>
        <v>2.8570225317253073E-3</v>
      </c>
      <c r="G73" s="2"/>
      <c r="H73" s="6">
        <v>150</v>
      </c>
      <c r="I73" s="2"/>
      <c r="J73" s="7">
        <f t="shared" si="45"/>
        <v>1.6488227405632378E-3</v>
      </c>
      <c r="K73" s="2"/>
      <c r="L73" s="6">
        <f t="shared" si="46"/>
        <v>139</v>
      </c>
      <c r="M73" s="2"/>
      <c r="N73" s="7">
        <f t="shared" si="47"/>
        <v>0.92666666666666664</v>
      </c>
      <c r="O73" s="11"/>
      <c r="P73" s="6">
        <v>2311</v>
      </c>
      <c r="Q73" s="2"/>
      <c r="R73" s="7">
        <f t="shared" si="48"/>
        <v>4.1762212108413972E-3</v>
      </c>
      <c r="S73" s="2"/>
      <c r="T73" s="6">
        <v>1200</v>
      </c>
      <c r="U73" s="2"/>
      <c r="V73" s="7">
        <f t="shared" si="49"/>
        <v>2.3261575250614398E-3</v>
      </c>
      <c r="W73" s="2"/>
      <c r="X73" s="6">
        <f t="shared" si="50"/>
        <v>1111</v>
      </c>
      <c r="Y73" s="2"/>
      <c r="Z73" s="7">
        <f t="shared" si="51"/>
        <v>0.92583333333333329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>
        <v>103.88</v>
      </c>
      <c r="E74" s="2"/>
      <c r="F74" s="7">
        <f t="shared" si="44"/>
        <v>1.0269463688429928E-3</v>
      </c>
      <c r="G74" s="2"/>
      <c r="H74" s="6">
        <v>90</v>
      </c>
      <c r="I74" s="2"/>
      <c r="J74" s="7">
        <f t="shared" si="45"/>
        <v>9.8929364433794262E-4</v>
      </c>
      <c r="K74" s="2"/>
      <c r="L74" s="6">
        <f t="shared" si="46"/>
        <v>13.879999999999995</v>
      </c>
      <c r="M74" s="2"/>
      <c r="N74" s="7">
        <f t="shared" si="47"/>
        <v>0.15422222222222218</v>
      </c>
      <c r="O74" s="11"/>
      <c r="P74" s="6">
        <v>824.74</v>
      </c>
      <c r="Q74" s="2"/>
      <c r="R74" s="7">
        <f t="shared" si="48"/>
        <v>1.4903923329421611E-3</v>
      </c>
      <c r="S74" s="2"/>
      <c r="T74" s="6">
        <v>585</v>
      </c>
      <c r="U74" s="2"/>
      <c r="V74" s="7">
        <f t="shared" si="49"/>
        <v>1.1340017934674518E-3</v>
      </c>
      <c r="W74" s="2"/>
      <c r="X74" s="6">
        <f t="shared" si="50"/>
        <v>239.74</v>
      </c>
      <c r="Y74" s="2"/>
      <c r="Z74" s="7">
        <f t="shared" si="51"/>
        <v>0.40981196581196583</v>
      </c>
    </row>
    <row r="75" spans="1:26" s="27" customFormat="1" outlineLevel="1" collapsed="1" x14ac:dyDescent="0.25">
      <c r="A75" s="26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176.4</v>
      </c>
      <c r="E75" s="1"/>
      <c r="F75" s="5">
        <f t="shared" ref="F75:F84" si="52">IF(D$12=0,0,D75/D$12)</f>
        <v>1.7438711923748935E-3</v>
      </c>
      <c r="G75" s="1"/>
      <c r="H75" s="1">
        <f>SUM(OSRRefH22_13x_0)</f>
        <v>180</v>
      </c>
      <c r="I75" s="1"/>
      <c r="J75" s="5">
        <f t="shared" ref="J75:J84" si="53">IF(H$12=0,0,H75/H$12)</f>
        <v>1.9785872886758852E-3</v>
      </c>
      <c r="K75" s="1"/>
      <c r="L75" s="1">
        <f t="shared" ref="L75:L84" si="54">+D75-H75</f>
        <v>-3.5999999999999943</v>
      </c>
      <c r="M75" s="1"/>
      <c r="N75" s="5">
        <f t="shared" ref="N75:N84" si="55">IF(H75=0,0,L75/H75)</f>
        <v>-1.9999999999999969E-2</v>
      </c>
      <c r="O75" s="13"/>
      <c r="P75" s="1">
        <f>SUM(OSRRefP22_13x_0)</f>
        <v>1411.2</v>
      </c>
      <c r="Q75" s="1"/>
      <c r="R75" s="5">
        <f t="shared" ref="R75:R84" si="56">IF(P$12=0,0,P75/P$12)</f>
        <v>2.5501875260663695E-3</v>
      </c>
      <c r="S75" s="1"/>
      <c r="T75" s="1">
        <f>SUM(OSRRefT22_13x_0)</f>
        <v>1440</v>
      </c>
      <c r="U75" s="1"/>
      <c r="V75" s="5">
        <f t="shared" ref="V75:V84" si="57">IF(T$12=0,0,T75/T$12)</f>
        <v>2.7913890300737274E-3</v>
      </c>
      <c r="W75" s="1"/>
      <c r="X75" s="1">
        <f t="shared" ref="X75:X84" si="58">+P75-T75</f>
        <v>-28.799999999999955</v>
      </c>
      <c r="Y75" s="1"/>
      <c r="Z75" s="5">
        <f t="shared" ref="Z75:Z84" si="59">IF(T75=0,0,X75/T75)</f>
        <v>-1.9999999999999969E-2</v>
      </c>
    </row>
    <row r="76" spans="1:26" s="24" customFormat="1" hidden="1" outlineLevel="2" x14ac:dyDescent="0.25">
      <c r="A76" s="25"/>
      <c r="B76" s="11" t="str">
        <f>CONCATENATE("          ", "6275", " - ", "SUBSCRIPTIONS")</f>
        <v xml:space="preserve">          6275 - SUBSCRIPTIONS</v>
      </c>
      <c r="C76" s="11"/>
      <c r="D76" s="6">
        <v>176.4</v>
      </c>
      <c r="E76" s="2"/>
      <c r="F76" s="7">
        <f t="shared" si="52"/>
        <v>1.7438711923748935E-3</v>
      </c>
      <c r="G76" s="2"/>
      <c r="H76" s="6">
        <v>180</v>
      </c>
      <c r="I76" s="2"/>
      <c r="J76" s="7">
        <f t="shared" si="53"/>
        <v>1.9785872886758852E-3</v>
      </c>
      <c r="K76" s="2"/>
      <c r="L76" s="6">
        <f t="shared" si="54"/>
        <v>-3.5999999999999943</v>
      </c>
      <c r="M76" s="2"/>
      <c r="N76" s="7">
        <f t="shared" si="55"/>
        <v>-1.9999999999999969E-2</v>
      </c>
      <c r="O76" s="11"/>
      <c r="P76" s="6">
        <v>1411.2</v>
      </c>
      <c r="Q76" s="2"/>
      <c r="R76" s="7">
        <f t="shared" si="56"/>
        <v>2.5501875260663695E-3</v>
      </c>
      <c r="S76" s="2"/>
      <c r="T76" s="6">
        <v>1440</v>
      </c>
      <c r="U76" s="2"/>
      <c r="V76" s="7">
        <f t="shared" si="57"/>
        <v>2.7913890300737274E-3</v>
      </c>
      <c r="W76" s="2"/>
      <c r="X76" s="6">
        <f t="shared" si="58"/>
        <v>-28.799999999999955</v>
      </c>
      <c r="Y76" s="2"/>
      <c r="Z76" s="7">
        <f t="shared" si="59"/>
        <v>-1.9999999999999969E-2</v>
      </c>
    </row>
    <row r="77" spans="1:26" s="27" customFormat="1" outlineLevel="1" collapsed="1" x14ac:dyDescent="0.25">
      <c r="A77" s="26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927.76</v>
      </c>
      <c r="E77" s="1"/>
      <c r="F77" s="5">
        <f t="shared" si="52"/>
        <v>9.1717343392161629E-3</v>
      </c>
      <c r="G77" s="1"/>
      <c r="H77" s="1">
        <f>SUM(OSRRefH22_14x_0)</f>
        <v>220</v>
      </c>
      <c r="I77" s="1"/>
      <c r="J77" s="5">
        <f t="shared" si="53"/>
        <v>2.418273352826082E-3</v>
      </c>
      <c r="K77" s="1"/>
      <c r="L77" s="1">
        <f t="shared" si="54"/>
        <v>707.76</v>
      </c>
      <c r="M77" s="1"/>
      <c r="N77" s="5">
        <f t="shared" si="55"/>
        <v>3.217090909090909</v>
      </c>
      <c r="O77" s="13"/>
      <c r="P77" s="1">
        <f>SUM(OSRRefP22_14x_0)</f>
        <v>10770.71</v>
      </c>
      <c r="Q77" s="1"/>
      <c r="R77" s="5">
        <f t="shared" si="56"/>
        <v>1.9463811145747099E-2</v>
      </c>
      <c r="S77" s="1"/>
      <c r="T77" s="1">
        <f>SUM(OSRRefT22_14x_0)</f>
        <v>5310</v>
      </c>
      <c r="U77" s="1"/>
      <c r="V77" s="5">
        <f t="shared" si="57"/>
        <v>1.029324704839687E-2</v>
      </c>
      <c r="W77" s="1"/>
      <c r="X77" s="1">
        <f t="shared" si="58"/>
        <v>5460.7099999999991</v>
      </c>
      <c r="Y77" s="1"/>
      <c r="Z77" s="5">
        <f t="shared" si="59"/>
        <v>1.0283822975517889</v>
      </c>
    </row>
    <row r="78" spans="1:26" s="24" customFormat="1" hidden="1" outlineLevel="2" x14ac:dyDescent="0.25">
      <c r="A78" s="25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28.22</v>
      </c>
      <c r="Q78" s="2"/>
      <c r="R78" s="7">
        <f t="shared" si="56"/>
        <v>5.0996522098634458E-5</v>
      </c>
      <c r="S78" s="2"/>
      <c r="T78" s="6">
        <v>3000</v>
      </c>
      <c r="U78" s="2"/>
      <c r="V78" s="7">
        <f t="shared" si="57"/>
        <v>5.8153938126535992E-3</v>
      </c>
      <c r="W78" s="2"/>
      <c r="X78" s="6">
        <f t="shared" si="58"/>
        <v>-2971.78</v>
      </c>
      <c r="Y78" s="2"/>
      <c r="Z78" s="7">
        <f t="shared" si="59"/>
        <v>-0.99059333333333344</v>
      </c>
    </row>
    <row r="79" spans="1:26" s="24" customFormat="1" hidden="1" outlineLevel="2" x14ac:dyDescent="0.25">
      <c r="A79" s="25"/>
      <c r="B79" s="11" t="str">
        <f>CONCATENATE("          ", "6237", " - ", "JANITORIAL SUPPLIES")</f>
        <v xml:space="preserve">          6237 - JANITORIAL SUPPLIES</v>
      </c>
      <c r="C79" s="11"/>
      <c r="D79" s="6">
        <v>501.6</v>
      </c>
      <c r="E79" s="2"/>
      <c r="F79" s="7">
        <f t="shared" si="52"/>
        <v>4.9587629823993565E-3</v>
      </c>
      <c r="G79" s="2"/>
      <c r="H79" s="6">
        <v>100</v>
      </c>
      <c r="I79" s="2"/>
      <c r="J79" s="7">
        <f t="shared" si="53"/>
        <v>1.0992151603754919E-3</v>
      </c>
      <c r="K79" s="2"/>
      <c r="L79" s="6">
        <f t="shared" si="54"/>
        <v>401.6</v>
      </c>
      <c r="M79" s="2"/>
      <c r="N79" s="7">
        <f t="shared" si="55"/>
        <v>4.016</v>
      </c>
      <c r="O79" s="11"/>
      <c r="P79" s="6">
        <v>1422.57</v>
      </c>
      <c r="Q79" s="2"/>
      <c r="R79" s="7">
        <f t="shared" si="56"/>
        <v>2.5707343175710284E-3</v>
      </c>
      <c r="S79" s="2"/>
      <c r="T79" s="6">
        <v>1200</v>
      </c>
      <c r="U79" s="2"/>
      <c r="V79" s="7">
        <f t="shared" si="57"/>
        <v>2.3261575250614398E-3</v>
      </c>
      <c r="W79" s="2"/>
      <c r="X79" s="6">
        <f t="shared" si="58"/>
        <v>222.56999999999994</v>
      </c>
      <c r="Y79" s="2"/>
      <c r="Z79" s="7">
        <f t="shared" si="59"/>
        <v>0.18547499999999995</v>
      </c>
    </row>
    <row r="80" spans="1:26" s="24" customFormat="1" hidden="1" outlineLevel="2" x14ac:dyDescent="0.25">
      <c r="A80" s="25"/>
      <c r="B80" s="11" t="str">
        <f>CONCATENATE("          ", "6241", " - ", "OFFICE EXPENSE")</f>
        <v xml:space="preserve">          6241 - OFFICE EXPENSE</v>
      </c>
      <c r="C80" s="11"/>
      <c r="D80" s="6"/>
      <c r="E80" s="2"/>
      <c r="F80" s="7">
        <f t="shared" si="52"/>
        <v>0</v>
      </c>
      <c r="G80" s="2"/>
      <c r="H80" s="6">
        <v>120</v>
      </c>
      <c r="I80" s="2"/>
      <c r="J80" s="7">
        <f t="shared" si="53"/>
        <v>1.3190581924505903E-3</v>
      </c>
      <c r="K80" s="2"/>
      <c r="L80" s="6">
        <f t="shared" si="54"/>
        <v>-120</v>
      </c>
      <c r="M80" s="2"/>
      <c r="N80" s="7">
        <f t="shared" si="55"/>
        <v>-1</v>
      </c>
      <c r="O80" s="11"/>
      <c r="P80" s="6">
        <v>484.03</v>
      </c>
      <c r="Q80" s="2"/>
      <c r="R80" s="7">
        <f t="shared" si="56"/>
        <v>8.746933590149552E-4</v>
      </c>
      <c r="S80" s="2"/>
      <c r="T80" s="6">
        <v>480</v>
      </c>
      <c r="U80" s="2"/>
      <c r="V80" s="7">
        <f t="shared" si="57"/>
        <v>9.3046301002457587E-4</v>
      </c>
      <c r="W80" s="2"/>
      <c r="X80" s="6">
        <f t="shared" si="58"/>
        <v>4.0299999999999727</v>
      </c>
      <c r="Y80" s="2"/>
      <c r="Z80" s="7">
        <f t="shared" si="59"/>
        <v>8.395833333333276E-3</v>
      </c>
    </row>
    <row r="81" spans="1:26" s="24" customFormat="1" hidden="1" outlineLevel="2" x14ac:dyDescent="0.25">
      <c r="A81" s="25"/>
      <c r="B81" s="11" t="str">
        <f>CONCATENATE("          ", "6243", " - ", "PAPER SUPPLIES")</f>
        <v xml:space="preserve">          6243 - PAPER SUPPLIES</v>
      </c>
      <c r="C81" s="11"/>
      <c r="D81" s="6">
        <v>142.21</v>
      </c>
      <c r="E81" s="2"/>
      <c r="F81" s="7">
        <f t="shared" si="52"/>
        <v>1.4058725752133425E-3</v>
      </c>
      <c r="G81" s="2"/>
      <c r="H81" s="6"/>
      <c r="I81" s="2"/>
      <c r="J81" s="7">
        <f t="shared" si="53"/>
        <v>0</v>
      </c>
      <c r="K81" s="2"/>
      <c r="L81" s="6">
        <f t="shared" si="54"/>
        <v>142.21</v>
      </c>
      <c r="M81" s="2"/>
      <c r="N81" s="7">
        <f t="shared" si="55"/>
        <v>0</v>
      </c>
      <c r="O81" s="11"/>
      <c r="P81" s="6">
        <v>1272.29</v>
      </c>
      <c r="Q81" s="2"/>
      <c r="R81" s="7">
        <f t="shared" si="56"/>
        <v>2.2991624769975773E-3</v>
      </c>
      <c r="S81" s="2"/>
      <c r="T81" s="6"/>
      <c r="U81" s="2"/>
      <c r="V81" s="7">
        <f t="shared" si="57"/>
        <v>0</v>
      </c>
      <c r="W81" s="2"/>
      <c r="X81" s="6">
        <f t="shared" si="58"/>
        <v>1272.29</v>
      </c>
      <c r="Y81" s="2"/>
      <c r="Z81" s="7">
        <f t="shared" si="59"/>
        <v>0</v>
      </c>
    </row>
    <row r="82" spans="1:26" s="24" customFormat="1" hidden="1" outlineLevel="2" x14ac:dyDescent="0.25">
      <c r="A82" s="25"/>
      <c r="B82" s="11" t="str">
        <f>CONCATENATE("          ", "6244", " - ", "SAFETY SUPPLY EXPENSE")</f>
        <v xml:space="preserve">          6244 - SAFETY SUPPLY EXPENSE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30</v>
      </c>
      <c r="U82" s="2"/>
      <c r="V82" s="7">
        <f t="shared" si="57"/>
        <v>5.8153938126535992E-5</v>
      </c>
      <c r="W82" s="2"/>
      <c r="X82" s="6">
        <f t="shared" si="58"/>
        <v>-30</v>
      </c>
      <c r="Y82" s="2"/>
      <c r="Z82" s="7">
        <f t="shared" si="59"/>
        <v>-1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6">
        <v>283.95</v>
      </c>
      <c r="E83" s="2"/>
      <c r="F83" s="7">
        <f t="shared" si="52"/>
        <v>2.8070987816034634E-3</v>
      </c>
      <c r="G83" s="2"/>
      <c r="H83" s="6"/>
      <c r="I83" s="2"/>
      <c r="J83" s="7">
        <f t="shared" si="53"/>
        <v>0</v>
      </c>
      <c r="K83" s="2"/>
      <c r="L83" s="6">
        <f t="shared" si="54"/>
        <v>283.95</v>
      </c>
      <c r="M83" s="2"/>
      <c r="N83" s="7">
        <f t="shared" si="55"/>
        <v>0</v>
      </c>
      <c r="O83" s="11"/>
      <c r="P83" s="6">
        <v>7563.6</v>
      </c>
      <c r="Q83" s="2"/>
      <c r="R83" s="7">
        <f t="shared" si="56"/>
        <v>1.3668224470064905E-2</v>
      </c>
      <c r="S83" s="2"/>
      <c r="T83" s="6"/>
      <c r="U83" s="2"/>
      <c r="V83" s="7">
        <f t="shared" si="57"/>
        <v>0</v>
      </c>
      <c r="W83" s="2"/>
      <c r="X83" s="6">
        <f t="shared" si="58"/>
        <v>7563.6</v>
      </c>
      <c r="Y83" s="2"/>
      <c r="Z83" s="7">
        <f t="shared" si="59"/>
        <v>0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/>
      <c r="Q84" s="2"/>
      <c r="R84" s="7">
        <f t="shared" si="56"/>
        <v>0</v>
      </c>
      <c r="S84" s="2"/>
      <c r="T84" s="6">
        <v>600</v>
      </c>
      <c r="U84" s="2"/>
      <c r="V84" s="7">
        <f t="shared" si="57"/>
        <v>1.1630787625307199E-3</v>
      </c>
      <c r="W84" s="2"/>
      <c r="X84" s="6">
        <f t="shared" si="58"/>
        <v>-600</v>
      </c>
      <c r="Y84" s="2"/>
      <c r="Z84" s="7">
        <f t="shared" si="59"/>
        <v>-1</v>
      </c>
    </row>
    <row r="85" spans="1:26" s="27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88.45</v>
      </c>
      <c r="E85" s="1"/>
      <c r="F85" s="5">
        <f t="shared" ref="F85:F92" si="60">IF(D$12=0,0,D85/D$12)</f>
        <v>8.7440706896575585E-4</v>
      </c>
      <c r="G85" s="1"/>
      <c r="H85" s="1">
        <f>SUM(OSRRefH22_15x_0)</f>
        <v>40</v>
      </c>
      <c r="I85" s="1"/>
      <c r="J85" s="5">
        <f t="shared" ref="J85:J92" si="61">IF(H$12=0,0,H85/H$12)</f>
        <v>4.3968606415019677E-4</v>
      </c>
      <c r="K85" s="1"/>
      <c r="L85" s="1">
        <f t="shared" ref="L85:L92" si="62">+D85-H85</f>
        <v>48.45</v>
      </c>
      <c r="M85" s="1"/>
      <c r="N85" s="5">
        <f t="shared" ref="N85:N92" si="63">IF(H85=0,0,L85/H85)</f>
        <v>1.2112500000000002</v>
      </c>
      <c r="O85" s="13"/>
      <c r="P85" s="1">
        <f>SUM(OSRRefP22_15x_0)</f>
        <v>410.7</v>
      </c>
      <c r="Q85" s="1"/>
      <c r="R85" s="5">
        <f t="shared" ref="R85:R92" si="64">IF(P$12=0,0,P85/P$12)</f>
        <v>7.4217829999678145E-4</v>
      </c>
      <c r="S85" s="1"/>
      <c r="T85" s="1">
        <f>SUM(OSRRefT22_15x_0)</f>
        <v>320</v>
      </c>
      <c r="U85" s="1"/>
      <c r="V85" s="5">
        <f t="shared" ref="V85:V92" si="65">IF(T$12=0,0,T85/T$12)</f>
        <v>6.2030867334971721E-4</v>
      </c>
      <c r="W85" s="1"/>
      <c r="X85" s="1">
        <f t="shared" ref="X85:X92" si="66">+P85-T85</f>
        <v>90.699999999999989</v>
      </c>
      <c r="Y85" s="1"/>
      <c r="Z85" s="5">
        <f t="shared" ref="Z85:Z92" si="67">IF(T85=0,0,X85/T85)</f>
        <v>0.28343749999999995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6">
        <v>88.45</v>
      </c>
      <c r="E86" s="2"/>
      <c r="F86" s="7">
        <f t="shared" si="60"/>
        <v>8.7440706896575585E-4</v>
      </c>
      <c r="G86" s="2"/>
      <c r="H86" s="6">
        <v>40</v>
      </c>
      <c r="I86" s="2"/>
      <c r="J86" s="7">
        <f t="shared" si="61"/>
        <v>4.3968606415019677E-4</v>
      </c>
      <c r="K86" s="2"/>
      <c r="L86" s="6">
        <f t="shared" si="62"/>
        <v>48.45</v>
      </c>
      <c r="M86" s="2"/>
      <c r="N86" s="7">
        <f t="shared" si="63"/>
        <v>1.2112500000000002</v>
      </c>
      <c r="O86" s="11"/>
      <c r="P86" s="6">
        <v>410.7</v>
      </c>
      <c r="Q86" s="2"/>
      <c r="R86" s="7">
        <f t="shared" si="64"/>
        <v>7.4217829999678145E-4</v>
      </c>
      <c r="S86" s="2"/>
      <c r="T86" s="6">
        <v>320</v>
      </c>
      <c r="U86" s="2"/>
      <c r="V86" s="7">
        <f t="shared" si="65"/>
        <v>6.2030867334971721E-4</v>
      </c>
      <c r="W86" s="2"/>
      <c r="X86" s="6">
        <f t="shared" si="66"/>
        <v>90.699999999999989</v>
      </c>
      <c r="Y86" s="2"/>
      <c r="Z86" s="7">
        <f t="shared" si="67"/>
        <v>0.28343749999999995</v>
      </c>
    </row>
    <row r="87" spans="1:26" s="27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14</v>
      </c>
      <c r="E87" s="1"/>
      <c r="F87" s="5">
        <f t="shared" si="60"/>
        <v>1.3840247558530899E-4</v>
      </c>
      <c r="G87" s="1"/>
      <c r="H87" s="1">
        <f>SUM(OSRRefH22_16x_0)</f>
        <v>0</v>
      </c>
      <c r="I87" s="1"/>
      <c r="J87" s="5">
        <f t="shared" si="61"/>
        <v>0</v>
      </c>
      <c r="K87" s="1"/>
      <c r="L87" s="1">
        <f t="shared" si="62"/>
        <v>14</v>
      </c>
      <c r="M87" s="1"/>
      <c r="N87" s="5">
        <f t="shared" si="63"/>
        <v>0</v>
      </c>
      <c r="O87" s="13"/>
      <c r="P87" s="1">
        <f>SUM(OSRRefP22_16x_0)</f>
        <v>14</v>
      </c>
      <c r="Q87" s="1"/>
      <c r="R87" s="5">
        <f t="shared" si="64"/>
        <v>2.5299479425261602E-5</v>
      </c>
      <c r="S87" s="1"/>
      <c r="T87" s="1">
        <f>SUM(OSRRefT22_16x_0)</f>
        <v>200</v>
      </c>
      <c r="U87" s="1"/>
      <c r="V87" s="5">
        <f t="shared" si="65"/>
        <v>3.8769292084357324E-4</v>
      </c>
      <c r="W87" s="1"/>
      <c r="X87" s="1">
        <f t="shared" si="66"/>
        <v>-186</v>
      </c>
      <c r="Y87" s="1"/>
      <c r="Z87" s="5">
        <f t="shared" si="67"/>
        <v>-0.93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6">
        <v>14</v>
      </c>
      <c r="E88" s="2"/>
      <c r="F88" s="7">
        <f t="shared" si="60"/>
        <v>1.3840247558530899E-4</v>
      </c>
      <c r="G88" s="2"/>
      <c r="H88" s="6"/>
      <c r="I88" s="2"/>
      <c r="J88" s="7">
        <f t="shared" si="61"/>
        <v>0</v>
      </c>
      <c r="K88" s="2"/>
      <c r="L88" s="6">
        <f t="shared" si="62"/>
        <v>14</v>
      </c>
      <c r="M88" s="2"/>
      <c r="N88" s="7">
        <f t="shared" si="63"/>
        <v>0</v>
      </c>
      <c r="O88" s="11"/>
      <c r="P88" s="6">
        <v>14</v>
      </c>
      <c r="Q88" s="2"/>
      <c r="R88" s="7">
        <f t="shared" si="64"/>
        <v>2.5299479425261602E-5</v>
      </c>
      <c r="S88" s="2"/>
      <c r="T88" s="6">
        <v>200</v>
      </c>
      <c r="U88" s="2"/>
      <c r="V88" s="7">
        <f t="shared" si="65"/>
        <v>3.8769292084357324E-4</v>
      </c>
      <c r="W88" s="2"/>
      <c r="X88" s="6">
        <f t="shared" si="66"/>
        <v>-186</v>
      </c>
      <c r="Y88" s="2"/>
      <c r="Z88" s="7">
        <f t="shared" si="67"/>
        <v>-0.93</v>
      </c>
    </row>
    <row r="89" spans="1:26" s="27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SUM(OSRRefP22_17x_0)</f>
        <v>0</v>
      </c>
      <c r="Q89" s="1"/>
      <c r="R89" s="5">
        <f t="shared" si="64"/>
        <v>0</v>
      </c>
      <c r="S89" s="1"/>
      <c r="T89" s="1">
        <f>SUM(OSRRefT22_17x_0)</f>
        <v>1000</v>
      </c>
      <c r="U89" s="1"/>
      <c r="V89" s="5">
        <f t="shared" si="65"/>
        <v>1.9384646042178663E-3</v>
      </c>
      <c r="W89" s="1"/>
      <c r="X89" s="1">
        <f t="shared" si="66"/>
        <v>-1000</v>
      </c>
      <c r="Y89" s="1"/>
      <c r="Z89" s="5">
        <f t="shared" si="67"/>
        <v>-1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0"/>
        <v>0</v>
      </c>
      <c r="G90" s="2"/>
      <c r="H90" s="6"/>
      <c r="I90" s="2"/>
      <c r="J90" s="7">
        <f t="shared" si="61"/>
        <v>0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/>
      <c r="Q90" s="2"/>
      <c r="R90" s="7">
        <f t="shared" si="64"/>
        <v>0</v>
      </c>
      <c r="S90" s="2"/>
      <c r="T90" s="6">
        <v>1000</v>
      </c>
      <c r="U90" s="2"/>
      <c r="V90" s="7">
        <f t="shared" si="65"/>
        <v>1.9384646042178663E-3</v>
      </c>
      <c r="W90" s="2"/>
      <c r="X90" s="6">
        <f t="shared" si="66"/>
        <v>-1000</v>
      </c>
      <c r="Y90" s="2"/>
      <c r="Z90" s="7">
        <f t="shared" si="67"/>
        <v>-1</v>
      </c>
    </row>
    <row r="91" spans="1:26" s="27" customFormat="1" outlineLevel="1" collapsed="1" x14ac:dyDescent="0.25">
      <c r="A91" s="26"/>
      <c r="B91" s="13" t="str">
        <f>CONCATENATE("     ","Utilities                                         ")</f>
        <v xml:space="preserve">     Utilities                                         </v>
      </c>
      <c r="C91" s="13"/>
      <c r="D91" s="1">
        <f>SUM(OSRRefD22_18x_0)</f>
        <v>878</v>
      </c>
      <c r="E91" s="1"/>
      <c r="F91" s="5">
        <f t="shared" si="60"/>
        <v>8.6798123974215213E-3</v>
      </c>
      <c r="G91" s="1"/>
      <c r="H91" s="1">
        <f>SUM(OSRRefH22_18x_0)</f>
        <v>1100</v>
      </c>
      <c r="I91" s="1"/>
      <c r="J91" s="5">
        <f t="shared" si="61"/>
        <v>1.2091366764130411E-2</v>
      </c>
      <c r="K91" s="1"/>
      <c r="L91" s="1">
        <f t="shared" si="62"/>
        <v>-222</v>
      </c>
      <c r="M91" s="1"/>
      <c r="N91" s="5">
        <f t="shared" si="63"/>
        <v>-0.20181818181818181</v>
      </c>
      <c r="O91" s="13"/>
      <c r="P91" s="1">
        <f>SUM(OSRRefP22_18x_0)</f>
        <v>6772</v>
      </c>
      <c r="Q91" s="1"/>
      <c r="R91" s="5">
        <f t="shared" si="64"/>
        <v>1.2237719619133685E-2</v>
      </c>
      <c r="S91" s="1"/>
      <c r="T91" s="1">
        <f>SUM(OSRRefT22_18x_0)</f>
        <v>8800</v>
      </c>
      <c r="U91" s="1"/>
      <c r="V91" s="5">
        <f t="shared" si="65"/>
        <v>1.7058488517117224E-2</v>
      </c>
      <c r="W91" s="1"/>
      <c r="X91" s="1">
        <f t="shared" si="66"/>
        <v>-2028</v>
      </c>
      <c r="Y91" s="1"/>
      <c r="Z91" s="5">
        <f t="shared" si="67"/>
        <v>-0.23045454545454547</v>
      </c>
    </row>
    <row r="92" spans="1:26" s="24" customFormat="1" hidden="1" outlineLevel="2" x14ac:dyDescent="0.25">
      <c r="A92" s="25"/>
      <c r="B92" s="11" t="str">
        <f>CONCATENATE("          ", "6274", " - ", "UTILITIES")</f>
        <v xml:space="preserve">          6274 - UTILITIES</v>
      </c>
      <c r="C92" s="11"/>
      <c r="D92" s="6">
        <v>878</v>
      </c>
      <c r="E92" s="2"/>
      <c r="F92" s="7">
        <f t="shared" si="60"/>
        <v>8.6798123974215213E-3</v>
      </c>
      <c r="G92" s="2"/>
      <c r="H92" s="6">
        <v>1100</v>
      </c>
      <c r="I92" s="2"/>
      <c r="J92" s="7">
        <f t="shared" si="61"/>
        <v>1.2091366764130411E-2</v>
      </c>
      <c r="K92" s="2"/>
      <c r="L92" s="6">
        <f t="shared" si="62"/>
        <v>-222</v>
      </c>
      <c r="M92" s="2"/>
      <c r="N92" s="7">
        <f t="shared" si="63"/>
        <v>-0.20181818181818181</v>
      </c>
      <c r="O92" s="11"/>
      <c r="P92" s="6">
        <v>6772</v>
      </c>
      <c r="Q92" s="2"/>
      <c r="R92" s="7">
        <f t="shared" si="64"/>
        <v>1.2237719619133685E-2</v>
      </c>
      <c r="S92" s="2"/>
      <c r="T92" s="6">
        <v>8800</v>
      </c>
      <c r="U92" s="2"/>
      <c r="V92" s="7">
        <f t="shared" si="65"/>
        <v>1.7058488517117224E-2</v>
      </c>
      <c r="W92" s="2"/>
      <c r="X92" s="6">
        <f t="shared" si="66"/>
        <v>-2028</v>
      </c>
      <c r="Y92" s="2"/>
      <c r="Z92" s="7">
        <f t="shared" si="67"/>
        <v>-0.23045454545454547</v>
      </c>
    </row>
    <row r="93" spans="1:26" s="53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9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1">
        <f>+D22-D24+D94</f>
        <v>17524.540000000015</v>
      </c>
      <c r="E96" s="14"/>
      <c r="F96" s="22">
        <f>IF(D$12=0,0,D96/D$12)</f>
        <v>0.17324569424955522</v>
      </c>
      <c r="G96" s="14"/>
      <c r="H96" s="21">
        <f>+H22-H24+H94</f>
        <v>14402.167667200003</v>
      </c>
      <c r="I96" s="14"/>
      <c r="J96" s="22">
        <f>IF(H$12=0,0,H96/H$12)</f>
        <v>0.15831081042055975</v>
      </c>
      <c r="K96" s="15"/>
      <c r="L96" s="21">
        <f>+D96-H96</f>
        <v>3122.3723328000124</v>
      </c>
      <c r="M96" s="15"/>
      <c r="N96" s="22">
        <f>IF(H96=0,0,L96/H96)</f>
        <v>0.21679877675018405</v>
      </c>
      <c r="O96" s="29"/>
      <c r="P96" s="21">
        <f>+P22-P24+P94</f>
        <v>51547.300000000047</v>
      </c>
      <c r="Q96" s="14"/>
      <c r="R96" s="22">
        <f>IF(P$12=0,0,P96/P$12)</f>
        <v>9.3151418269842037E-2</v>
      </c>
      <c r="S96" s="14"/>
      <c r="T96" s="21">
        <f>+T22-T24+T94</f>
        <v>28629.097928450065</v>
      </c>
      <c r="U96" s="14"/>
      <c r="V96" s="22">
        <f>IF(T$12=0,0,T96/T$12)</f>
        <v>5.5496492984987489E-2</v>
      </c>
      <c r="W96" s="15"/>
      <c r="X96" s="21">
        <f>+P96-T96</f>
        <v>22918.202071549982</v>
      </c>
      <c r="Y96" s="15"/>
      <c r="Z96" s="22">
        <f>IF(T96=0,0,X96/T96)</f>
        <v>0.80052127834510289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9239.64</v>
      </c>
      <c r="E98" s="4"/>
      <c r="F98" s="12">
        <f>IF(D$12=0,0,D98/D$12)</f>
        <v>9.1342074965503173E-2</v>
      </c>
      <c r="G98" s="4"/>
      <c r="H98" s="4">
        <v>9719</v>
      </c>
      <c r="I98" s="4"/>
      <c r="J98" s="12">
        <f>IF(H$12=0,0,H98/H$12)</f>
        <v>0.10683272143689405</v>
      </c>
      <c r="K98" s="4"/>
      <c r="L98" s="4">
        <f>+D98-H98</f>
        <v>-479.36000000000058</v>
      </c>
      <c r="M98" s="4"/>
      <c r="N98" s="12">
        <f>IF(H98=0,0,L98/H98)</f>
        <v>-4.9321946702335688E-2</v>
      </c>
      <c r="O98" s="10"/>
      <c r="P98" s="4">
        <v>56399.45</v>
      </c>
      <c r="Q98" s="4"/>
      <c r="R98" s="12">
        <f>IF(P$12=0,0,P98/P$12)</f>
        <v>0.10191976606221932</v>
      </c>
      <c r="S98" s="4"/>
      <c r="T98" s="4">
        <v>62035.000000000007</v>
      </c>
      <c r="U98" s="4"/>
      <c r="V98" s="12">
        <f>IF(T$12=0,0,T98/T$12)</f>
        <v>0.12025265172265535</v>
      </c>
      <c r="W98" s="4"/>
      <c r="X98" s="4">
        <f>+P98-T98</f>
        <v>-5635.5500000000102</v>
      </c>
      <c r="Y98" s="4"/>
      <c r="Z98" s="12">
        <f>IF(T98=0,0,X98/T98)</f>
        <v>-9.084468445232545E-2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1">
        <f>+D96-D98</f>
        <v>8284.900000000016</v>
      </c>
      <c r="E100" s="14"/>
      <c r="F100" s="32">
        <f>IF(D$12=0,0,D100/D$12)</f>
        <v>8.1903619284052057E-2</v>
      </c>
      <c r="G100" s="14"/>
      <c r="H100" s="31">
        <f>+H96-H98</f>
        <v>4683.1676672000031</v>
      </c>
      <c r="I100" s="14"/>
      <c r="J100" s="32">
        <f>IF(H$12=0,0,H100/H$12)</f>
        <v>5.1478088983665696E-2</v>
      </c>
      <c r="K100" s="15"/>
      <c r="L100" s="31">
        <f>D100-H100</f>
        <v>3601.732332800013</v>
      </c>
      <c r="M100" s="15"/>
      <c r="N100" s="32">
        <f>IF(H100=0,0,L100/H100)</f>
        <v>0.76908037225014314</v>
      </c>
      <c r="O100" s="29"/>
      <c r="P100" s="31">
        <f>+P96-P98</f>
        <v>-4852.1499999999505</v>
      </c>
      <c r="Q100" s="14"/>
      <c r="R100" s="32">
        <f>IF(P$12=0,0,P100/P$12)</f>
        <v>-8.7683477923772742E-3</v>
      </c>
      <c r="S100" s="14"/>
      <c r="T100" s="31">
        <f>+T96-T98</f>
        <v>-33405.902071549943</v>
      </c>
      <c r="U100" s="14"/>
      <c r="V100" s="32">
        <f>IF(T$12=0,0,T100/T$12)</f>
        <v>-6.4756158737667865E-2</v>
      </c>
      <c r="W100" s="15"/>
      <c r="X100" s="31">
        <f>P100-T100</f>
        <v>28553.752071549992</v>
      </c>
      <c r="Y100" s="15"/>
      <c r="Z100" s="32">
        <f>IF(T100=0,0,X100/T100)</f>
        <v>-0.85475171454411125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3">
        <f>SUM(D100:D102)</f>
        <v>8284.900000000016</v>
      </c>
      <c r="E103" s="14"/>
      <c r="F103" s="30">
        <f>IF(D$12=0,0,D103/D$12)</f>
        <v>8.1903619284052057E-2</v>
      </c>
      <c r="G103" s="14"/>
      <c r="H103" s="33">
        <f>SUM(H100:H102)</f>
        <v>4683.1676672000031</v>
      </c>
      <c r="I103" s="14"/>
      <c r="J103" s="30">
        <f>IF(H$12=0,0,H103/H$12)</f>
        <v>5.1478088983665696E-2</v>
      </c>
      <c r="K103" s="15"/>
      <c r="L103" s="33">
        <f>+D103-H103</f>
        <v>3601.732332800013</v>
      </c>
      <c r="M103" s="15"/>
      <c r="N103" s="30">
        <f>IF(H103=0,0,L103/H103)</f>
        <v>0.76908037225014314</v>
      </c>
      <c r="O103" s="29"/>
      <c r="P103" s="33">
        <f>SUM(P100:P102)</f>
        <v>-4852.1499999999505</v>
      </c>
      <c r="Q103" s="14"/>
      <c r="R103" s="30">
        <f>IF(P$12=0,0,P103/P$12)</f>
        <v>-8.7683477923772742E-3</v>
      </c>
      <c r="S103" s="14"/>
      <c r="T103" s="33">
        <f>SUM(T100:T102)</f>
        <v>-33405.902071549943</v>
      </c>
      <c r="U103" s="14"/>
      <c r="V103" s="30">
        <f>IF(T$12=0,0,T103/T$12)</f>
        <v>-6.4756158737667865E-2</v>
      </c>
      <c r="W103" s="15"/>
      <c r="X103" s="33">
        <f>+P103-T103</f>
        <v>28553.752071549992</v>
      </c>
      <c r="Y103" s="15"/>
      <c r="Z103" s="30">
        <f>IF(T103=0,0,X103/T103)</f>
        <v>-0.85475171454411125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9">
        <v>43908.494951469911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3" t="s">
        <v>314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7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2537.5</v>
      </c>
      <c r="E12" s="4"/>
      <c r="F12" s="12"/>
      <c r="G12" s="4"/>
      <c r="H12" s="4">
        <f>SUM(OSRRefH13x_0)</f>
        <v>2475</v>
      </c>
      <c r="I12" s="4"/>
      <c r="J12" s="12"/>
      <c r="K12" s="4"/>
      <c r="L12" s="4">
        <f t="shared" ref="L12:L14" si="0">+D12-H12</f>
        <v>62.5</v>
      </c>
      <c r="M12" s="4"/>
      <c r="N12" s="12">
        <f t="shared" ref="N12:N14" si="1">IF(H12=0,0,L12/H12)</f>
        <v>2.5252525252525252E-2</v>
      </c>
      <c r="O12" s="10"/>
      <c r="P12" s="4">
        <f>SUM(OSRRefP13x_0)</f>
        <v>12812.5</v>
      </c>
      <c r="Q12" s="4"/>
      <c r="R12" s="12"/>
      <c r="S12" s="4"/>
      <c r="T12" s="4">
        <f>SUM(OSRRefT13x_0)</f>
        <v>10193</v>
      </c>
      <c r="U12" s="4"/>
      <c r="V12" s="12"/>
      <c r="W12" s="4"/>
      <c r="X12" s="4">
        <f t="shared" ref="X12:X14" si="2">+P12-T12</f>
        <v>2619.5</v>
      </c>
      <c r="Y12" s="4"/>
      <c r="Z12" s="12">
        <f t="shared" ref="Z12:Z14" si="3">IF(T12=0,0,X12/T12)</f>
        <v>0.25699009123908567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2475</v>
      </c>
      <c r="I13" s="2"/>
      <c r="J13" s="19"/>
      <c r="K13" s="2"/>
      <c r="L13" s="2">
        <f t="shared" si="0"/>
        <v>-2475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10193</v>
      </c>
      <c r="U13" s="2"/>
      <c r="V13" s="19"/>
      <c r="W13" s="2"/>
      <c r="X13" s="2">
        <f t="shared" si="2"/>
        <v>-10193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--2537.5</f>
        <v>2537.5</v>
      </c>
      <c r="E14" s="2"/>
      <c r="F14" s="19"/>
      <c r="G14" s="2"/>
      <c r="H14" s="2"/>
      <c r="I14" s="2"/>
      <c r="J14" s="19"/>
      <c r="K14" s="2"/>
      <c r="L14" s="2">
        <f t="shared" si="0"/>
        <v>2537.5</v>
      </c>
      <c r="M14" s="2"/>
      <c r="N14" s="19">
        <f t="shared" si="1"/>
        <v>0</v>
      </c>
      <c r="O14" s="11"/>
      <c r="P14" s="2">
        <f>--12812.5</f>
        <v>12812.5</v>
      </c>
      <c r="Q14" s="2"/>
      <c r="R14" s="19"/>
      <c r="S14" s="2"/>
      <c r="T14" s="2"/>
      <c r="U14" s="2"/>
      <c r="V14" s="19"/>
      <c r="W14" s="2"/>
      <c r="X14" s="2">
        <f t="shared" si="2"/>
        <v>12812.5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1268</v>
      </c>
      <c r="E16" s="4"/>
      <c r="F16" s="12">
        <f t="shared" ref="F16:F18" si="4">IF(D$12=0,0,D16/D$12)</f>
        <v>0.49970443349753696</v>
      </c>
      <c r="G16" s="4"/>
      <c r="H16" s="4">
        <f>SUM(OSRRefH16x_0)</f>
        <v>1237</v>
      </c>
      <c r="I16" s="4"/>
      <c r="J16" s="12">
        <f t="shared" ref="J16:J18" si="5">IF(H$12=0,0,H16/H$12)</f>
        <v>0.4997979797979798</v>
      </c>
      <c r="K16" s="4"/>
      <c r="L16" s="4">
        <f t="shared" ref="L16:L18" si="6">+D16-H16</f>
        <v>31</v>
      </c>
      <c r="M16" s="4"/>
      <c r="N16" s="12">
        <f t="shared" ref="N16:N18" si="7">IF(H16=0,0,L16/H16)</f>
        <v>2.5060630557801132E-2</v>
      </c>
      <c r="O16" s="10"/>
      <c r="P16" s="4">
        <f>SUM(OSRRefP16x_0)</f>
        <v>3256.12</v>
      </c>
      <c r="Q16" s="4"/>
      <c r="R16" s="12">
        <f t="shared" ref="R16:R18" si="8">IF(P$12=0,0,P16/P$12)</f>
        <v>0.25413619512195124</v>
      </c>
      <c r="S16" s="4"/>
      <c r="T16" s="4">
        <f>SUM(OSRRefT16x_0)</f>
        <v>5095</v>
      </c>
      <c r="U16" s="4"/>
      <c r="V16" s="12">
        <f t="shared" ref="V16:V18" si="9">IF(T$12=0,0,T16/T$12)</f>
        <v>0.49985284018444032</v>
      </c>
      <c r="W16" s="4"/>
      <c r="X16" s="4">
        <f t="shared" ref="X16:X18" si="10">+P16-T16</f>
        <v>-1838.88</v>
      </c>
      <c r="Y16" s="4"/>
      <c r="Z16" s="12">
        <f t="shared" ref="Z16:Z18" si="11">IF(T16=0,0,X16/T16)</f>
        <v>-0.36091854759568204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1237</v>
      </c>
      <c r="I17" s="2"/>
      <c r="J17" s="19">
        <f t="shared" si="5"/>
        <v>0.4997979797979798</v>
      </c>
      <c r="K17" s="2"/>
      <c r="L17" s="2">
        <f t="shared" si="6"/>
        <v>-1237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5095</v>
      </c>
      <c r="U17" s="2"/>
      <c r="V17" s="19">
        <f t="shared" si="9"/>
        <v>0.49985284018444032</v>
      </c>
      <c r="W17" s="2"/>
      <c r="X17" s="2">
        <f t="shared" si="10"/>
        <v>-5095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1268</v>
      </c>
      <c r="E18" s="2"/>
      <c r="F18" s="19">
        <f t="shared" si="4"/>
        <v>0.49970443349753696</v>
      </c>
      <c r="G18" s="2"/>
      <c r="H18" s="2"/>
      <c r="I18" s="2"/>
      <c r="J18" s="19">
        <f t="shared" si="5"/>
        <v>0</v>
      </c>
      <c r="K18" s="2"/>
      <c r="L18" s="2">
        <f t="shared" si="6"/>
        <v>1268</v>
      </c>
      <c r="M18" s="2"/>
      <c r="N18" s="19">
        <f t="shared" si="7"/>
        <v>0</v>
      </c>
      <c r="O18" s="11"/>
      <c r="P18" s="2">
        <v>3256.12</v>
      </c>
      <c r="Q18" s="2"/>
      <c r="R18" s="19">
        <f t="shared" si="8"/>
        <v>0.25413619512195124</v>
      </c>
      <c r="S18" s="2"/>
      <c r="T18" s="2"/>
      <c r="U18" s="2"/>
      <c r="V18" s="19">
        <f t="shared" si="9"/>
        <v>0</v>
      </c>
      <c r="W18" s="2"/>
      <c r="X18" s="2">
        <f t="shared" si="10"/>
        <v>3256.12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1269.5</v>
      </c>
      <c r="E20" s="14"/>
      <c r="F20" s="22">
        <f>IF(D$12=0,0,D20/D$12)</f>
        <v>0.5002955665024631</v>
      </c>
      <c r="G20" s="14"/>
      <c r="H20" s="21">
        <f>H12-H16</f>
        <v>1238</v>
      </c>
      <c r="I20" s="14"/>
      <c r="J20" s="22">
        <f>IF(H$12=0,0,H20/H$12)</f>
        <v>0.5002020202020202</v>
      </c>
      <c r="K20" s="15"/>
      <c r="L20" s="21">
        <f>+D20-H20</f>
        <v>31.5</v>
      </c>
      <c r="M20" s="15"/>
      <c r="N20" s="22">
        <f>IF(H20=0,0,L20/H20)</f>
        <v>2.5444264943457189E-2</v>
      </c>
      <c r="O20" s="29"/>
      <c r="P20" s="21">
        <f>P12-P16</f>
        <v>9556.380000000001</v>
      </c>
      <c r="Q20" s="14"/>
      <c r="R20" s="22">
        <f>IF(P$12=0,0,P20/P$12)</f>
        <v>0.74586380487804882</v>
      </c>
      <c r="S20" s="14"/>
      <c r="T20" s="21">
        <f>T12-T16</f>
        <v>5098</v>
      </c>
      <c r="U20" s="14"/>
      <c r="V20" s="22">
        <f>IF(T$12=0,0,T20/T$12)</f>
        <v>0.50014715981555968</v>
      </c>
      <c r="W20" s="15"/>
      <c r="X20" s="21">
        <f>+P20-T20</f>
        <v>4458.380000000001</v>
      </c>
      <c r="Y20" s="15"/>
      <c r="Z20" s="22">
        <f>IF(T20=0,0,X20/T20)</f>
        <v>0.87453511180855259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161.26</v>
      </c>
      <c r="E22" s="20"/>
      <c r="F22" s="34">
        <f t="shared" ref="F22:F28" si="12">IF(D$12=0,0,D22/D$12)</f>
        <v>6.355073891625615E-2</v>
      </c>
      <c r="G22" s="20"/>
      <c r="H22" s="20">
        <f>SUM(OSRRefH22x_0)</f>
        <v>213</v>
      </c>
      <c r="I22" s="20"/>
      <c r="J22" s="34">
        <f t="shared" ref="J22:J28" si="13">IF(H$12=0,0,H22/H$12)</f>
        <v>8.606060606060606E-2</v>
      </c>
      <c r="K22" s="4"/>
      <c r="L22" s="20">
        <f t="shared" ref="L22:L28" si="14">+D22-H22</f>
        <v>-51.740000000000009</v>
      </c>
      <c r="M22" s="4"/>
      <c r="N22" s="34">
        <f t="shared" ref="N22:N28" si="15">IF(H22=0,0,L22/H22)</f>
        <v>-0.24291079812206576</v>
      </c>
      <c r="O22" s="10"/>
      <c r="P22" s="20">
        <f>SUM(OSRRefP22x_0)</f>
        <v>1408.63</v>
      </c>
      <c r="Q22" s="20"/>
      <c r="R22" s="34">
        <f t="shared" ref="R22:R28" si="16">IF(P$12=0,0,P22/P$12)</f>
        <v>0.10994185365853659</v>
      </c>
      <c r="S22" s="20"/>
      <c r="T22" s="20">
        <f>SUM(OSRRefT22x_0)</f>
        <v>876</v>
      </c>
      <c r="U22" s="20"/>
      <c r="V22" s="34">
        <f t="shared" ref="V22:V28" si="17">IF(T$12=0,0,T22/T$12)</f>
        <v>8.5941332286863528E-2</v>
      </c>
      <c r="W22" s="4"/>
      <c r="X22" s="20">
        <f t="shared" ref="X22:X28" si="18">+P22-T22</f>
        <v>532.63000000000011</v>
      </c>
      <c r="Y22" s="4"/>
      <c r="Z22" s="34">
        <f t="shared" ref="Z22:Z28" si="19">IF(T22=0,0,X22/T22)</f>
        <v>0.60802511415525129</v>
      </c>
    </row>
    <row r="23" spans="1:26" s="27" customFormat="1" outlineLevel="1" collapsed="1" x14ac:dyDescent="0.25">
      <c r="A23" s="26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161.26</v>
      </c>
      <c r="E23" s="1"/>
      <c r="F23" s="5">
        <f t="shared" si="12"/>
        <v>6.355073891625615E-2</v>
      </c>
      <c r="G23" s="1"/>
      <c r="H23" s="1">
        <f>SUM(OSRRefH22_0x_0)</f>
        <v>213</v>
      </c>
      <c r="I23" s="1"/>
      <c r="J23" s="5">
        <f t="shared" si="13"/>
        <v>8.606060606060606E-2</v>
      </c>
      <c r="K23" s="1"/>
      <c r="L23" s="1">
        <f t="shared" si="14"/>
        <v>-51.740000000000009</v>
      </c>
      <c r="M23" s="1"/>
      <c r="N23" s="5">
        <f t="shared" si="15"/>
        <v>-0.24291079812206576</v>
      </c>
      <c r="O23" s="13"/>
      <c r="P23" s="1">
        <f>SUM(OSRRefP22_0x_0)</f>
        <v>1088.18</v>
      </c>
      <c r="Q23" s="1"/>
      <c r="R23" s="5">
        <f t="shared" si="16"/>
        <v>8.4931121951219518E-2</v>
      </c>
      <c r="S23" s="1"/>
      <c r="T23" s="1">
        <f>SUM(OSRRefT22_0x_0)</f>
        <v>876</v>
      </c>
      <c r="U23" s="1"/>
      <c r="V23" s="5">
        <f t="shared" si="17"/>
        <v>8.5941332286863528E-2</v>
      </c>
      <c r="W23" s="1"/>
      <c r="X23" s="1">
        <f t="shared" si="18"/>
        <v>212.18000000000006</v>
      </c>
      <c r="Y23" s="1"/>
      <c r="Z23" s="5">
        <f t="shared" si="19"/>
        <v>0.24221461187214618</v>
      </c>
    </row>
    <row r="24" spans="1:26" s="24" customFormat="1" hidden="1" outlineLevel="2" x14ac:dyDescent="0.25">
      <c r="A24" s="25"/>
      <c r="B24" s="11" t="str">
        <f>CONCATENATE("          ", "6381", " - ", "BANK/CREDIT CARD FEES")</f>
        <v xml:space="preserve">          6381 - BANK/CREDIT CARD FEES</v>
      </c>
      <c r="C24" s="11"/>
      <c r="D24" s="6">
        <v>161.26</v>
      </c>
      <c r="E24" s="2"/>
      <c r="F24" s="7">
        <f t="shared" si="12"/>
        <v>6.355073891625615E-2</v>
      </c>
      <c r="G24" s="2"/>
      <c r="H24" s="6">
        <v>213</v>
      </c>
      <c r="I24" s="2"/>
      <c r="J24" s="7">
        <f t="shared" si="13"/>
        <v>8.606060606060606E-2</v>
      </c>
      <c r="K24" s="2"/>
      <c r="L24" s="6">
        <f t="shared" si="14"/>
        <v>-51.740000000000009</v>
      </c>
      <c r="M24" s="2"/>
      <c r="N24" s="7">
        <f t="shared" si="15"/>
        <v>-0.24291079812206576</v>
      </c>
      <c r="O24" s="11"/>
      <c r="P24" s="6">
        <v>1088.18</v>
      </c>
      <c r="Q24" s="2"/>
      <c r="R24" s="7">
        <f t="shared" si="16"/>
        <v>8.4931121951219518E-2</v>
      </c>
      <c r="S24" s="2"/>
      <c r="T24" s="6">
        <v>876</v>
      </c>
      <c r="U24" s="2"/>
      <c r="V24" s="7">
        <f t="shared" si="17"/>
        <v>8.5941332286863528E-2</v>
      </c>
      <c r="W24" s="2"/>
      <c r="X24" s="6">
        <f t="shared" si="18"/>
        <v>212.18000000000006</v>
      </c>
      <c r="Y24" s="2"/>
      <c r="Z24" s="7">
        <f t="shared" si="19"/>
        <v>0.24221461187214618</v>
      </c>
    </row>
    <row r="25" spans="1:26" s="27" customFormat="1" outlineLevel="1" collapsed="1" x14ac:dyDescent="0.25">
      <c r="A25" s="26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0</v>
      </c>
      <c r="E25" s="1"/>
      <c r="F25" s="5">
        <f t="shared" si="12"/>
        <v>0</v>
      </c>
      <c r="G25" s="1"/>
      <c r="H25" s="1">
        <f>SUM(OSRRefH22_1x_0)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SUM(OSRRefP22_1x_0)</f>
        <v>23.45</v>
      </c>
      <c r="Q25" s="1"/>
      <c r="R25" s="5">
        <f t="shared" si="16"/>
        <v>1.8302439024390244E-3</v>
      </c>
      <c r="S25" s="1"/>
      <c r="T25" s="1">
        <f>SUM(OSRRefT22_1x_0)</f>
        <v>0</v>
      </c>
      <c r="U25" s="1"/>
      <c r="V25" s="5">
        <f t="shared" si="17"/>
        <v>0</v>
      </c>
      <c r="W25" s="1"/>
      <c r="X25" s="1">
        <f t="shared" si="18"/>
        <v>23.45</v>
      </c>
      <c r="Y25" s="1"/>
      <c r="Z25" s="5">
        <f t="shared" si="19"/>
        <v>0</v>
      </c>
    </row>
    <row r="26" spans="1:26" s="24" customFormat="1" hidden="1" outlineLevel="2" x14ac:dyDescent="0.25">
      <c r="A26" s="25"/>
      <c r="B26" s="11" t="str">
        <f>CONCATENATE("          ", "6279", " - ", "GENERAL EXPENSE")</f>
        <v xml:space="preserve">          6279 - GENERAL EXPENSE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23.45</v>
      </c>
      <c r="Q26" s="2"/>
      <c r="R26" s="7">
        <f t="shared" si="16"/>
        <v>1.8302439024390244E-3</v>
      </c>
      <c r="S26" s="2"/>
      <c r="T26" s="6"/>
      <c r="U26" s="2"/>
      <c r="V26" s="7">
        <f t="shared" si="17"/>
        <v>0</v>
      </c>
      <c r="W26" s="2"/>
      <c r="X26" s="6">
        <f t="shared" si="18"/>
        <v>23.45</v>
      </c>
      <c r="Y26" s="2"/>
      <c r="Z26" s="7">
        <f t="shared" si="19"/>
        <v>0</v>
      </c>
    </row>
    <row r="27" spans="1:26" s="27" customFormat="1" outlineLevel="1" collapsed="1" x14ac:dyDescent="0.25">
      <c r="A27" s="26"/>
      <c r="B27" s="13" t="str">
        <f>CONCATENATE("     ","Supplies                                          ")</f>
        <v xml:space="preserve">     Supplies                                          </v>
      </c>
      <c r="C27" s="13"/>
      <c r="D27" s="1">
        <f>SUM(OSRRefD22_2x_0)</f>
        <v>0</v>
      </c>
      <c r="E27" s="1"/>
      <c r="F27" s="5">
        <f t="shared" si="12"/>
        <v>0</v>
      </c>
      <c r="G27" s="1"/>
      <c r="H27" s="1">
        <f>SUM(OSRRefH22_2x_0)</f>
        <v>0</v>
      </c>
      <c r="I27" s="1"/>
      <c r="J27" s="5">
        <f t="shared" si="13"/>
        <v>0</v>
      </c>
      <c r="K27" s="1"/>
      <c r="L27" s="1">
        <f t="shared" si="14"/>
        <v>0</v>
      </c>
      <c r="M27" s="1"/>
      <c r="N27" s="5">
        <f t="shared" si="15"/>
        <v>0</v>
      </c>
      <c r="O27" s="13"/>
      <c r="P27" s="1">
        <f>SUM(OSRRefP22_2x_0)</f>
        <v>297</v>
      </c>
      <c r="Q27" s="1"/>
      <c r="R27" s="5">
        <f t="shared" si="16"/>
        <v>2.3180487804878049E-2</v>
      </c>
      <c r="S27" s="1"/>
      <c r="T27" s="1">
        <f>SUM(OSRRefT22_2x_0)</f>
        <v>0</v>
      </c>
      <c r="U27" s="1"/>
      <c r="V27" s="5">
        <f t="shared" si="17"/>
        <v>0</v>
      </c>
      <c r="W27" s="1"/>
      <c r="X27" s="1">
        <f t="shared" si="18"/>
        <v>297</v>
      </c>
      <c r="Y27" s="1"/>
      <c r="Z27" s="5">
        <f t="shared" si="19"/>
        <v>0</v>
      </c>
    </row>
    <row r="28" spans="1:26" s="24" customFormat="1" hidden="1" outlineLevel="2" x14ac:dyDescent="0.25">
      <c r="A28" s="25"/>
      <c r="B28" s="11" t="str">
        <f>CONCATENATE("          ", "6247", " - ", "STORE SUPPLIES")</f>
        <v xml:space="preserve">          6247 - STORE SUPPLIES</v>
      </c>
      <c r="C28" s="11"/>
      <c r="D28" s="6"/>
      <c r="E28" s="2"/>
      <c r="F28" s="7">
        <f t="shared" si="12"/>
        <v>0</v>
      </c>
      <c r="G28" s="2"/>
      <c r="H28" s="6"/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>
        <v>297</v>
      </c>
      <c r="Q28" s="2"/>
      <c r="R28" s="7">
        <f t="shared" si="16"/>
        <v>2.3180487804878049E-2</v>
      </c>
      <c r="S28" s="2"/>
      <c r="T28" s="6"/>
      <c r="U28" s="2"/>
      <c r="V28" s="7">
        <f t="shared" si="17"/>
        <v>0</v>
      </c>
      <c r="W28" s="2"/>
      <c r="X28" s="6">
        <f t="shared" si="18"/>
        <v>297</v>
      </c>
      <c r="Y28" s="2"/>
      <c r="Z28" s="7">
        <f t="shared" si="19"/>
        <v>0</v>
      </c>
    </row>
    <row r="29" spans="1:26" s="53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3</v>
      </c>
      <c r="C32" s="28"/>
      <c r="D32" s="21">
        <f>+D20-D22+D30</f>
        <v>1108.24</v>
      </c>
      <c r="E32" s="14"/>
      <c r="F32" s="22">
        <f>IF(D$12=0,0,D32/D$12)</f>
        <v>0.43674482758620692</v>
      </c>
      <c r="G32" s="14"/>
      <c r="H32" s="21">
        <f>+H20-H22+H30</f>
        <v>1025</v>
      </c>
      <c r="I32" s="14"/>
      <c r="J32" s="22">
        <f>IF(H$12=0,0,H32/H$12)</f>
        <v>0.41414141414141414</v>
      </c>
      <c r="K32" s="15"/>
      <c r="L32" s="21">
        <f>+D32-H32</f>
        <v>83.240000000000009</v>
      </c>
      <c r="M32" s="15"/>
      <c r="N32" s="22">
        <f>IF(H32=0,0,L32/H32)</f>
        <v>8.1209756097560981E-2</v>
      </c>
      <c r="O32" s="29"/>
      <c r="P32" s="21">
        <f>+P20-P22+P30</f>
        <v>8147.7500000000009</v>
      </c>
      <c r="Q32" s="14"/>
      <c r="R32" s="22">
        <f>IF(P$12=0,0,P32/P$12)</f>
        <v>0.63592195121951223</v>
      </c>
      <c r="S32" s="14"/>
      <c r="T32" s="21">
        <f>+T20-T22+T30</f>
        <v>4222</v>
      </c>
      <c r="U32" s="14"/>
      <c r="V32" s="22">
        <f>IF(T$12=0,0,T32/T$12)</f>
        <v>0.41420582752869617</v>
      </c>
      <c r="W32" s="15"/>
      <c r="X32" s="21">
        <f>+P32-T32</f>
        <v>3925.7500000000009</v>
      </c>
      <c r="Y32" s="15"/>
      <c r="Z32" s="22">
        <f>IF(T32=0,0,X32/T32)</f>
        <v>0.92983183325438201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234.31</v>
      </c>
      <c r="E34" s="4"/>
      <c r="F34" s="12">
        <f>IF(D$12=0,0,D34/D$12)</f>
        <v>9.233891625615763E-2</v>
      </c>
      <c r="G34" s="4"/>
      <c r="H34" s="4">
        <v>275</v>
      </c>
      <c r="I34" s="4"/>
      <c r="J34" s="12">
        <f>IF(H$12=0,0,H34/H$12)</f>
        <v>0.1111111111111111</v>
      </c>
      <c r="K34" s="4"/>
      <c r="L34" s="4">
        <f>+D34-H34</f>
        <v>-40.69</v>
      </c>
      <c r="M34" s="4"/>
      <c r="N34" s="12">
        <f>IF(H34=0,0,L34/H34)</f>
        <v>-0.14796363636363635</v>
      </c>
      <c r="O34" s="10"/>
      <c r="P34" s="4">
        <v>1305.8499999999999</v>
      </c>
      <c r="Q34" s="4"/>
      <c r="R34" s="12">
        <f>IF(P$12=0,0,P34/P$12)</f>
        <v>0.10192</v>
      </c>
      <c r="S34" s="4"/>
      <c r="T34" s="4">
        <v>1226</v>
      </c>
      <c r="U34" s="4"/>
      <c r="V34" s="12">
        <f>IF(T$12=0,0,T34/T$12)</f>
        <v>0.12027862258412636</v>
      </c>
      <c r="W34" s="4"/>
      <c r="X34" s="4">
        <f>+P34-T34</f>
        <v>79.849999999999909</v>
      </c>
      <c r="Y34" s="4"/>
      <c r="Z34" s="12">
        <f>IF(T34=0,0,X34/T34)</f>
        <v>6.5130505709624725E-2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4</v>
      </c>
      <c r="C36" s="28"/>
      <c r="D36" s="31">
        <f>+D32-D34</f>
        <v>873.93000000000006</v>
      </c>
      <c r="E36" s="14"/>
      <c r="F36" s="32">
        <f>IF(D$12=0,0,D36/D$12)</f>
        <v>0.34440591133004927</v>
      </c>
      <c r="G36" s="14"/>
      <c r="H36" s="31">
        <f>+H32-H34</f>
        <v>750</v>
      </c>
      <c r="I36" s="14"/>
      <c r="J36" s="32">
        <f>IF(H$12=0,0,H36/H$12)</f>
        <v>0.30303030303030304</v>
      </c>
      <c r="K36" s="15"/>
      <c r="L36" s="31">
        <f>D36-H36</f>
        <v>123.93000000000006</v>
      </c>
      <c r="M36" s="15"/>
      <c r="N36" s="32">
        <f>IF(H36=0,0,L36/H36)</f>
        <v>0.16524000000000008</v>
      </c>
      <c r="O36" s="29"/>
      <c r="P36" s="31">
        <f>+P32-P34</f>
        <v>6841.9000000000015</v>
      </c>
      <c r="Q36" s="14"/>
      <c r="R36" s="32">
        <f>IF(P$12=0,0,P36/P$12)</f>
        <v>0.53400195121951233</v>
      </c>
      <c r="S36" s="14"/>
      <c r="T36" s="31">
        <f>+T32-T34</f>
        <v>2996</v>
      </c>
      <c r="U36" s="14"/>
      <c r="V36" s="32">
        <f>IF(T$12=0,0,T36/T$12)</f>
        <v>0.29392720494456981</v>
      </c>
      <c r="W36" s="15"/>
      <c r="X36" s="31">
        <f>P36-T36</f>
        <v>3845.9000000000015</v>
      </c>
      <c r="Y36" s="15"/>
      <c r="Z36" s="32">
        <f>IF(T36=0,0,X36/T36)</f>
        <v>1.2836782376502007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5</v>
      </c>
      <c r="C39" s="28"/>
      <c r="D39" s="33">
        <f>SUM(D36:D38)</f>
        <v>873.93000000000006</v>
      </c>
      <c r="E39" s="14"/>
      <c r="F39" s="30">
        <f>IF(D$12=0,0,D39/D$12)</f>
        <v>0.34440591133004927</v>
      </c>
      <c r="G39" s="14"/>
      <c r="H39" s="33">
        <f>SUM(H36:H38)</f>
        <v>750</v>
      </c>
      <c r="I39" s="14"/>
      <c r="J39" s="30">
        <f>IF(H$12=0,0,H39/H$12)</f>
        <v>0.30303030303030304</v>
      </c>
      <c r="K39" s="15"/>
      <c r="L39" s="33">
        <f>+D39-H39</f>
        <v>123.93000000000006</v>
      </c>
      <c r="M39" s="15"/>
      <c r="N39" s="30">
        <f>IF(H39=0,0,L39/H39)</f>
        <v>0.16524000000000008</v>
      </c>
      <c r="O39" s="29"/>
      <c r="P39" s="33">
        <f>SUM(P36:P38)</f>
        <v>6841.9000000000015</v>
      </c>
      <c r="Q39" s="14"/>
      <c r="R39" s="30">
        <f>IF(P$12=0,0,P39/P$12)</f>
        <v>0.53400195121951233</v>
      </c>
      <c r="S39" s="14"/>
      <c r="T39" s="33">
        <f>SUM(T36:T38)</f>
        <v>2996</v>
      </c>
      <c r="U39" s="14"/>
      <c r="V39" s="30">
        <f>IF(T$12=0,0,T39/T$12)</f>
        <v>0.29392720494456981</v>
      </c>
      <c r="W39" s="15"/>
      <c r="X39" s="33">
        <f>+P39-T39</f>
        <v>3845.9000000000015</v>
      </c>
      <c r="Y39" s="15"/>
      <c r="Z39" s="30">
        <f>IF(T39=0,0,X39/T39)</f>
        <v>1.2836782376502007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9">
        <v>43908.494992048611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63" t="s">
        <v>314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57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","335", " - ", "Customer Service")</f>
        <v>Department 335 - Customer Service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4">
        <f>IF(D$12=0,0,D18/D$12)</f>
        <v>0</v>
      </c>
      <c r="G18" s="20"/>
      <c r="H18" s="20">
        <f>SUM(0)</f>
        <v>0</v>
      </c>
      <c r="I18" s="20"/>
      <c r="J18" s="34">
        <f>IF(H$12=0,0,H18/H$12)</f>
        <v>0</v>
      </c>
      <c r="K18" s="4"/>
      <c r="L18" s="20">
        <f>+D18-H18</f>
        <v>0</v>
      </c>
      <c r="M18" s="4"/>
      <c r="N18" s="34">
        <f>IF(H18=0,0,L18/H18)</f>
        <v>0</v>
      </c>
      <c r="O18" s="10"/>
      <c r="P18" s="20">
        <f>SUM(0)</f>
        <v>0</v>
      </c>
      <c r="Q18" s="20"/>
      <c r="R18" s="34">
        <f>IF(P$12=0,0,P18/P$12)</f>
        <v>0</v>
      </c>
      <c r="S18" s="20"/>
      <c r="T18" s="20">
        <f>SUM(0)</f>
        <v>0</v>
      </c>
      <c r="U18" s="20"/>
      <c r="V18" s="34">
        <f>IF(T$12=0,0,T18/T$12)</f>
        <v>0</v>
      </c>
      <c r="W18" s="4"/>
      <c r="X18" s="20">
        <f>+P18-T18</f>
        <v>0</v>
      </c>
      <c r="Y18" s="4"/>
      <c r="Z18" s="34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9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8" t="s">
        <v>5</v>
      </c>
      <c r="C29" s="28"/>
      <c r="D29" s="33">
        <f>SUM(D26:D28)</f>
        <v>0</v>
      </c>
      <c r="E29" s="14"/>
      <c r="F29" s="30">
        <f>IF(D$12=0,0,D29/D$12)</f>
        <v>0</v>
      </c>
      <c r="G29" s="14"/>
      <c r="H29" s="33">
        <f>SUM(H26:H28)</f>
        <v>0</v>
      </c>
      <c r="I29" s="14"/>
      <c r="J29" s="30">
        <f>IF(H$12=0,0,H29/H$12)</f>
        <v>0</v>
      </c>
      <c r="K29" s="15"/>
      <c r="L29" s="33">
        <f>+D29-H29</f>
        <v>0</v>
      </c>
      <c r="M29" s="15"/>
      <c r="N29" s="30">
        <f>IF(H29=0,0,L29/H29)</f>
        <v>0</v>
      </c>
      <c r="O29" s="29"/>
      <c r="P29" s="33">
        <f>SUM(P26:P28)</f>
        <v>0</v>
      </c>
      <c r="Q29" s="14"/>
      <c r="R29" s="30">
        <f>IF(P$12=0,0,P29/P$12)</f>
        <v>0</v>
      </c>
      <c r="S29" s="14"/>
      <c r="T29" s="33">
        <f>SUM(T26:T28)</f>
        <v>0</v>
      </c>
      <c r="U29" s="14"/>
      <c r="V29" s="30">
        <f>IF(T$12=0,0,T29/T$12)</f>
        <v>0</v>
      </c>
      <c r="W29" s="15"/>
      <c r="X29" s="33">
        <f>+P29-T29</f>
        <v>0</v>
      </c>
      <c r="Y29" s="15"/>
      <c r="Z29" s="30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9">
        <v>43908.495012037034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63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7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5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2124939.9699999997</v>
      </c>
      <c r="E12" s="4"/>
      <c r="F12" s="12"/>
      <c r="G12" s="4"/>
      <c r="H12" s="4">
        <f>SUM(OSRRefH13x_0)</f>
        <v>2110613</v>
      </c>
      <c r="I12" s="4"/>
      <c r="J12" s="12"/>
      <c r="K12" s="4"/>
      <c r="L12" s="4">
        <f t="shared" ref="L12:L24" si="0">+D12-H12</f>
        <v>14326.969999999739</v>
      </c>
      <c r="M12" s="4"/>
      <c r="N12" s="12">
        <f t="shared" ref="N12:N24" si="1">IF(H12=0,0,L12/H12)</f>
        <v>6.788061098837039E-3</v>
      </c>
      <c r="O12" s="10"/>
      <c r="P12" s="4">
        <f>SUM(OSRRefP13x_0)</f>
        <v>12369888.810000001</v>
      </c>
      <c r="Q12" s="4"/>
      <c r="R12" s="12"/>
      <c r="S12" s="4"/>
      <c r="T12" s="4">
        <f>SUM(OSRRefT13x_0)</f>
        <v>12858026</v>
      </c>
      <c r="U12" s="4"/>
      <c r="V12" s="12"/>
      <c r="W12" s="4"/>
      <c r="X12" s="4">
        <f t="shared" ref="X12:X24" si="2">+P12-T12</f>
        <v>-488137.18999999948</v>
      </c>
      <c r="Y12" s="4"/>
      <c r="Z12" s="12">
        <f t="shared" ref="Z12:Z24" si="3">IF(T12=0,0,X12/T12)</f>
        <v>-3.7963618210135795E-2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364838</v>
      </c>
      <c r="I13" s="2"/>
      <c r="J13" s="19"/>
      <c r="K13" s="2"/>
      <c r="L13" s="2">
        <f t="shared" si="0"/>
        <v>-364838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2381587</v>
      </c>
      <c r="U13" s="2"/>
      <c r="V13" s="19"/>
      <c r="W13" s="2"/>
      <c r="X13" s="2">
        <f t="shared" si="2"/>
        <v>-2381587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--68008.29</f>
        <v>68008.289999999994</v>
      </c>
      <c r="E14" s="2"/>
      <c r="F14" s="19"/>
      <c r="G14" s="2"/>
      <c r="H14" s="2"/>
      <c r="I14" s="2"/>
      <c r="J14" s="19"/>
      <c r="K14" s="2"/>
      <c r="L14" s="2">
        <f t="shared" si="0"/>
        <v>68008.289999999994</v>
      </c>
      <c r="M14" s="2"/>
      <c r="N14" s="19">
        <f t="shared" si="1"/>
        <v>0</v>
      </c>
      <c r="O14" s="11"/>
      <c r="P14" s="2">
        <f>--426270.45</f>
        <v>426270.45</v>
      </c>
      <c r="Q14" s="2"/>
      <c r="R14" s="19"/>
      <c r="S14" s="2"/>
      <c r="T14" s="2"/>
      <c r="U14" s="2"/>
      <c r="V14" s="19"/>
      <c r="W14" s="2"/>
      <c r="X14" s="2">
        <f t="shared" si="2"/>
        <v>426270.45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--131149.86</f>
        <v>131149.85999999999</v>
      </c>
      <c r="E15" s="2"/>
      <c r="F15" s="19"/>
      <c r="G15" s="2"/>
      <c r="H15" s="2"/>
      <c r="I15" s="2"/>
      <c r="J15" s="19"/>
      <c r="K15" s="2"/>
      <c r="L15" s="2">
        <f t="shared" si="0"/>
        <v>131149.85999999999</v>
      </c>
      <c r="M15" s="2"/>
      <c r="N15" s="19">
        <f t="shared" si="1"/>
        <v>0</v>
      </c>
      <c r="O15" s="11"/>
      <c r="P15" s="2">
        <f>--788152.3</f>
        <v>788152.3</v>
      </c>
      <c r="Q15" s="2"/>
      <c r="R15" s="19"/>
      <c r="S15" s="2"/>
      <c r="T15" s="2"/>
      <c r="U15" s="2"/>
      <c r="V15" s="19"/>
      <c r="W15" s="2"/>
      <c r="X15" s="2">
        <f t="shared" si="2"/>
        <v>788152.3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--128356.95</f>
        <v>128356.95</v>
      </c>
      <c r="E16" s="2"/>
      <c r="F16" s="19"/>
      <c r="G16" s="2"/>
      <c r="H16" s="2"/>
      <c r="I16" s="2"/>
      <c r="J16" s="19"/>
      <c r="K16" s="2"/>
      <c r="L16" s="2">
        <f t="shared" si="0"/>
        <v>128356.95</v>
      </c>
      <c r="M16" s="2"/>
      <c r="N16" s="19">
        <f t="shared" si="1"/>
        <v>0</v>
      </c>
      <c r="O16" s="11"/>
      <c r="P16" s="2">
        <f>--244955.87</f>
        <v>244955.87</v>
      </c>
      <c r="Q16" s="2"/>
      <c r="R16" s="19"/>
      <c r="S16" s="2"/>
      <c r="T16" s="2"/>
      <c r="U16" s="2"/>
      <c r="V16" s="19"/>
      <c r="W16" s="2"/>
      <c r="X16" s="2">
        <f t="shared" si="2"/>
        <v>244955.87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--54029.26</f>
        <v>54029.26</v>
      </c>
      <c r="E17" s="2"/>
      <c r="F17" s="19"/>
      <c r="G17" s="2"/>
      <c r="H17" s="2"/>
      <c r="I17" s="2"/>
      <c r="J17" s="19"/>
      <c r="K17" s="2"/>
      <c r="L17" s="2">
        <f t="shared" si="0"/>
        <v>54029.26</v>
      </c>
      <c r="M17" s="2"/>
      <c r="N17" s="19">
        <f t="shared" si="1"/>
        <v>0</v>
      </c>
      <c r="O17" s="11"/>
      <c r="P17" s="2">
        <f>--358216.7</f>
        <v>358216.7</v>
      </c>
      <c r="Q17" s="2"/>
      <c r="R17" s="19"/>
      <c r="S17" s="2"/>
      <c r="T17" s="2"/>
      <c r="U17" s="2"/>
      <c r="V17" s="19"/>
      <c r="W17" s="2"/>
      <c r="X17" s="2">
        <f t="shared" si="2"/>
        <v>358216.7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--15335.14</f>
        <v>15335.14</v>
      </c>
      <c r="E18" s="2"/>
      <c r="F18" s="19"/>
      <c r="G18" s="2"/>
      <c r="H18" s="2"/>
      <c r="I18" s="2"/>
      <c r="J18" s="19"/>
      <c r="K18" s="2"/>
      <c r="L18" s="2">
        <f t="shared" si="0"/>
        <v>15335.14</v>
      </c>
      <c r="M18" s="2"/>
      <c r="N18" s="19">
        <f t="shared" si="1"/>
        <v>0</v>
      </c>
      <c r="O18" s="11"/>
      <c r="P18" s="2">
        <f>--110971.24</f>
        <v>110971.24</v>
      </c>
      <c r="Q18" s="2"/>
      <c r="R18" s="19"/>
      <c r="S18" s="2"/>
      <c r="T18" s="2"/>
      <c r="U18" s="2"/>
      <c r="V18" s="19"/>
      <c r="W18" s="2"/>
      <c r="X18" s="2">
        <f t="shared" si="2"/>
        <v>110971.24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1745775</v>
      </c>
      <c r="I19" s="2"/>
      <c r="J19" s="19"/>
      <c r="K19" s="2"/>
      <c r="L19" s="2">
        <f t="shared" si="0"/>
        <v>-1745775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10476439</v>
      </c>
      <c r="U19" s="2"/>
      <c r="V19" s="19"/>
      <c r="W19" s="2"/>
      <c r="X19" s="2">
        <f t="shared" si="2"/>
        <v>-10476439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--1518712.1</f>
        <v>1518712.1</v>
      </c>
      <c r="E20" s="2"/>
      <c r="F20" s="19"/>
      <c r="G20" s="2"/>
      <c r="H20" s="2"/>
      <c r="I20" s="2"/>
      <c r="J20" s="19"/>
      <c r="K20" s="2"/>
      <c r="L20" s="2">
        <f t="shared" si="0"/>
        <v>1518712.1</v>
      </c>
      <c r="M20" s="2"/>
      <c r="N20" s="19">
        <f t="shared" si="1"/>
        <v>0</v>
      </c>
      <c r="O20" s="11"/>
      <c r="P20" s="2">
        <f>--9015848.48</f>
        <v>9015848.4800000004</v>
      </c>
      <c r="Q20" s="2"/>
      <c r="R20" s="19"/>
      <c r="S20" s="2"/>
      <c r="T20" s="2"/>
      <c r="U20" s="2"/>
      <c r="V20" s="19"/>
      <c r="W20" s="2"/>
      <c r="X20" s="2">
        <f t="shared" si="2"/>
        <v>9015848.4800000004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--8298.17</f>
        <v>8298.17</v>
      </c>
      <c r="E21" s="2"/>
      <c r="F21" s="19"/>
      <c r="G21" s="2"/>
      <c r="H21" s="2"/>
      <c r="I21" s="2"/>
      <c r="J21" s="19"/>
      <c r="K21" s="2"/>
      <c r="L21" s="2">
        <f t="shared" si="0"/>
        <v>8298.17</v>
      </c>
      <c r="M21" s="2"/>
      <c r="N21" s="19">
        <f t="shared" si="1"/>
        <v>0</v>
      </c>
      <c r="O21" s="11"/>
      <c r="P21" s="2">
        <f>--47727.07</f>
        <v>47727.07</v>
      </c>
      <c r="Q21" s="2"/>
      <c r="R21" s="19"/>
      <c r="S21" s="2"/>
      <c r="T21" s="2"/>
      <c r="U21" s="2"/>
      <c r="V21" s="19"/>
      <c r="W21" s="2"/>
      <c r="X21" s="2">
        <f t="shared" si="2"/>
        <v>47727.07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--22502.64</f>
        <v>22502.639999999999</v>
      </c>
      <c r="E22" s="2"/>
      <c r="F22" s="19"/>
      <c r="G22" s="2"/>
      <c r="H22" s="2"/>
      <c r="I22" s="2"/>
      <c r="J22" s="19"/>
      <c r="K22" s="2"/>
      <c r="L22" s="2">
        <f t="shared" si="0"/>
        <v>22502.639999999999</v>
      </c>
      <c r="M22" s="2"/>
      <c r="N22" s="19">
        <f t="shared" si="1"/>
        <v>0</v>
      </c>
      <c r="O22" s="11"/>
      <c r="P22" s="2">
        <f>--289167.43</f>
        <v>289167.43</v>
      </c>
      <c r="Q22" s="2"/>
      <c r="R22" s="19"/>
      <c r="S22" s="2"/>
      <c r="T22" s="2"/>
      <c r="U22" s="2"/>
      <c r="V22" s="19"/>
      <c r="W22" s="2"/>
      <c r="X22" s="2">
        <f t="shared" si="2"/>
        <v>289167.43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--100290.43</f>
        <v>100290.43</v>
      </c>
      <c r="E23" s="2"/>
      <c r="F23" s="19"/>
      <c r="G23" s="2"/>
      <c r="H23" s="2"/>
      <c r="I23" s="2"/>
      <c r="J23" s="19"/>
      <c r="K23" s="2"/>
      <c r="L23" s="2">
        <f t="shared" si="0"/>
        <v>100290.43</v>
      </c>
      <c r="M23" s="2"/>
      <c r="N23" s="19">
        <f t="shared" si="1"/>
        <v>0</v>
      </c>
      <c r="O23" s="11"/>
      <c r="P23" s="2">
        <f>--647185.49</f>
        <v>647185.49</v>
      </c>
      <c r="Q23" s="2"/>
      <c r="R23" s="19"/>
      <c r="S23" s="2"/>
      <c r="T23" s="2"/>
      <c r="U23" s="2"/>
      <c r="V23" s="19"/>
      <c r="W23" s="2"/>
      <c r="X23" s="2">
        <f t="shared" si="2"/>
        <v>647185.49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--78257.13</f>
        <v>78257.13</v>
      </c>
      <c r="E24" s="2"/>
      <c r="F24" s="19"/>
      <c r="G24" s="2"/>
      <c r="H24" s="2"/>
      <c r="I24" s="2"/>
      <c r="J24" s="19"/>
      <c r="K24" s="2"/>
      <c r="L24" s="2">
        <f t="shared" si="0"/>
        <v>78257.13</v>
      </c>
      <c r="M24" s="2"/>
      <c r="N24" s="19">
        <f t="shared" si="1"/>
        <v>0</v>
      </c>
      <c r="O24" s="11"/>
      <c r="P24" s="2">
        <f>--441393.78</f>
        <v>441393.78</v>
      </c>
      <c r="Q24" s="2"/>
      <c r="R24" s="19"/>
      <c r="S24" s="2"/>
      <c r="T24" s="2"/>
      <c r="U24" s="2"/>
      <c r="V24" s="19"/>
      <c r="W24" s="2"/>
      <c r="X24" s="2">
        <f t="shared" si="2"/>
        <v>441393.78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585424.21</v>
      </c>
      <c r="E26" s="4"/>
      <c r="F26" s="12">
        <f t="shared" ref="F26:F29" si="4">IF(D$12=0,0,D26/D$12)</f>
        <v>0.27550152863847727</v>
      </c>
      <c r="G26" s="4"/>
      <c r="H26" s="4">
        <f>SUM(OSRRefH16x_0)</f>
        <v>575023.85</v>
      </c>
      <c r="I26" s="4"/>
      <c r="J26" s="12">
        <f t="shared" ref="J26:J29" si="5">IF(H$12=0,0,H26/H$12)</f>
        <v>0.2724440008660991</v>
      </c>
      <c r="K26" s="4"/>
      <c r="L26" s="4">
        <f t="shared" ref="L26:L29" si="6">+D26-H26</f>
        <v>10400.359999999986</v>
      </c>
      <c r="M26" s="4"/>
      <c r="N26" s="12">
        <f t="shared" ref="N26:N29" si="7">IF(H26=0,0,L26/H26)</f>
        <v>1.8086832398343106E-2</v>
      </c>
      <c r="O26" s="10"/>
      <c r="P26" s="4">
        <f>SUM(OSRRefP16x_0)</f>
        <v>3380285.42</v>
      </c>
      <c r="Q26" s="4"/>
      <c r="R26" s="12">
        <f t="shared" ref="R26:R29" si="8">IF(P$12=0,0,P26/P$12)</f>
        <v>0.27326724370127947</v>
      </c>
      <c r="S26" s="4"/>
      <c r="T26" s="4">
        <f>SUM(OSRRefT16x_0)</f>
        <v>3611948.8000000003</v>
      </c>
      <c r="U26" s="4"/>
      <c r="V26" s="12">
        <f t="shared" ref="V26:V29" si="9">IF(T$12=0,0,T26/T$12)</f>
        <v>0.28091005571150657</v>
      </c>
      <c r="W26" s="4"/>
      <c r="X26" s="4">
        <f t="shared" ref="X26:X29" si="10">+P26-T26</f>
        <v>-231663.38000000035</v>
      </c>
      <c r="Y26" s="4"/>
      <c r="Z26" s="12">
        <f t="shared" ref="Z26:Z29" si="11">IF(T26=0,0,X26/T26)</f>
        <v>-6.4138057549431582E-2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575023.85</v>
      </c>
      <c r="I27" s="2"/>
      <c r="J27" s="19">
        <f t="shared" si="5"/>
        <v>0.2724440008660991</v>
      </c>
      <c r="K27" s="2"/>
      <c r="L27" s="2">
        <f t="shared" si="6"/>
        <v>-575023.85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3611948.8000000003</v>
      </c>
      <c r="U27" s="2"/>
      <c r="V27" s="19">
        <f t="shared" si="9"/>
        <v>0.28091005571150657</v>
      </c>
      <c r="W27" s="2"/>
      <c r="X27" s="2">
        <f t="shared" si="10"/>
        <v>-3611948.8000000003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581014.23</v>
      </c>
      <c r="E28" s="2"/>
      <c r="F28" s="19">
        <f t="shared" si="4"/>
        <v>0.27342618530536655</v>
      </c>
      <c r="G28" s="2"/>
      <c r="H28" s="2"/>
      <c r="I28" s="2"/>
      <c r="J28" s="19">
        <f t="shared" si="5"/>
        <v>0</v>
      </c>
      <c r="K28" s="2"/>
      <c r="L28" s="2">
        <f t="shared" si="6"/>
        <v>581014.23</v>
      </c>
      <c r="M28" s="2"/>
      <c r="N28" s="19">
        <f t="shared" si="7"/>
        <v>0</v>
      </c>
      <c r="O28" s="11"/>
      <c r="P28" s="2">
        <v>3446856.69</v>
      </c>
      <c r="Q28" s="2"/>
      <c r="R28" s="19">
        <f t="shared" si="8"/>
        <v>0.27864896305401793</v>
      </c>
      <c r="S28" s="2"/>
      <c r="T28" s="2"/>
      <c r="U28" s="2"/>
      <c r="V28" s="19">
        <f t="shared" si="9"/>
        <v>0</v>
      </c>
      <c r="W28" s="2"/>
      <c r="X28" s="2">
        <f t="shared" si="10"/>
        <v>3446856.69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4409.9799999999996</v>
      </c>
      <c r="E29" s="2"/>
      <c r="F29" s="19">
        <f t="shared" si="4"/>
        <v>2.0753433331107234E-3</v>
      </c>
      <c r="G29" s="2"/>
      <c r="H29" s="2"/>
      <c r="I29" s="2"/>
      <c r="J29" s="19">
        <f t="shared" si="5"/>
        <v>0</v>
      </c>
      <c r="K29" s="2"/>
      <c r="L29" s="2">
        <f t="shared" si="6"/>
        <v>4409.9799999999996</v>
      </c>
      <c r="M29" s="2"/>
      <c r="N29" s="19">
        <f t="shared" si="7"/>
        <v>0</v>
      </c>
      <c r="O29" s="11"/>
      <c r="P29" s="2">
        <v>-66571.27</v>
      </c>
      <c r="Q29" s="2"/>
      <c r="R29" s="19">
        <f t="shared" si="8"/>
        <v>-5.381719352738467E-3</v>
      </c>
      <c r="S29" s="2"/>
      <c r="T29" s="2"/>
      <c r="U29" s="2"/>
      <c r="V29" s="19">
        <f t="shared" si="9"/>
        <v>0</v>
      </c>
      <c r="W29" s="2"/>
      <c r="X29" s="2">
        <f t="shared" si="10"/>
        <v>-66571.27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1">
        <f>D12-D26</f>
        <v>1539515.7599999998</v>
      </c>
      <c r="E31" s="14"/>
      <c r="F31" s="22">
        <f>IF(D$12=0,0,D31/D$12)</f>
        <v>0.72449847136152268</v>
      </c>
      <c r="G31" s="14"/>
      <c r="H31" s="21">
        <f>H12-H26</f>
        <v>1535589.15</v>
      </c>
      <c r="I31" s="14"/>
      <c r="J31" s="22">
        <f>IF(H$12=0,0,H31/H$12)</f>
        <v>0.7275559991339009</v>
      </c>
      <c r="K31" s="15"/>
      <c r="L31" s="21">
        <f>+D31-H31</f>
        <v>3926.6099999998696</v>
      </c>
      <c r="M31" s="15"/>
      <c r="N31" s="22">
        <f>IF(H31=0,0,L31/H31)</f>
        <v>2.5570706852154237E-3</v>
      </c>
      <c r="O31" s="29"/>
      <c r="P31" s="21">
        <f>P12-P26</f>
        <v>8989603.3900000006</v>
      </c>
      <c r="Q31" s="14"/>
      <c r="R31" s="22">
        <f>IF(P$12=0,0,P31/P$12)</f>
        <v>0.72673275629872058</v>
      </c>
      <c r="S31" s="14"/>
      <c r="T31" s="21">
        <f>T12-T26</f>
        <v>9246077.1999999993</v>
      </c>
      <c r="U31" s="14"/>
      <c r="V31" s="22">
        <f>IF(T$12=0,0,T31/T$12)</f>
        <v>0.71908994428849338</v>
      </c>
      <c r="W31" s="15"/>
      <c r="X31" s="21">
        <f>+P31-T31</f>
        <v>-256473.80999999866</v>
      </c>
      <c r="Y31" s="15"/>
      <c r="Z31" s="22">
        <f>IF(T31=0,0,X31/T31)</f>
        <v>-2.7738661970072961E-2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0">
        <f>SUM(OSRRefD22x_0)</f>
        <v>1151669.9700000002</v>
      </c>
      <c r="E33" s="20"/>
      <c r="F33" s="34">
        <f t="shared" ref="F33:F44" si="12">IF(D$12=0,0,D33/D$12)</f>
        <v>0.54197764937331394</v>
      </c>
      <c r="G33" s="20"/>
      <c r="H33" s="20">
        <f>SUM(OSRRefH22x_0)</f>
        <v>1076797.9268654238</v>
      </c>
      <c r="I33" s="20"/>
      <c r="J33" s="34">
        <f t="shared" ref="J33:J44" si="13">IF(H$12=0,0,H33/H$12)</f>
        <v>0.51018255211420749</v>
      </c>
      <c r="K33" s="4"/>
      <c r="L33" s="20">
        <f t="shared" ref="L33:L44" si="14">+D33-H33</f>
        <v>74872.043134576408</v>
      </c>
      <c r="M33" s="4"/>
      <c r="N33" s="34">
        <f t="shared" ref="N33:N44" si="15">IF(H33=0,0,L33/H33)</f>
        <v>6.9532120434639147E-2</v>
      </c>
      <c r="O33" s="10"/>
      <c r="P33" s="20">
        <f>SUM(OSRRefP22x_0)</f>
        <v>7877850.4300000006</v>
      </c>
      <c r="Q33" s="20"/>
      <c r="R33" s="34">
        <f t="shared" ref="R33:R44" si="16">IF(P$12=0,0,P33/P$12)</f>
        <v>0.63685701229839919</v>
      </c>
      <c r="S33" s="20"/>
      <c r="T33" s="20">
        <f>SUM(OSRRefT22x_0)</f>
        <v>7618587.1750794332</v>
      </c>
      <c r="U33" s="20"/>
      <c r="V33" s="34">
        <f t="shared" ref="V33:V44" si="17">IF(T$12=0,0,T33/T$12)</f>
        <v>0.59251608101270237</v>
      </c>
      <c r="W33" s="4"/>
      <c r="X33" s="20">
        <f t="shared" ref="X33:X44" si="18">+P33-T33</f>
        <v>259263.25492056739</v>
      </c>
      <c r="Y33" s="4"/>
      <c r="Z33" s="34">
        <f t="shared" ref="Z33:Z44" si="19">IF(T33=0,0,X33/T33)</f>
        <v>3.4030358774212524E-2</v>
      </c>
    </row>
    <row r="34" spans="1:26" s="27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170339.59000000003</v>
      </c>
      <c r="E34" s="1"/>
      <c r="F34" s="5">
        <f t="shared" si="12"/>
        <v>8.0162071590191813E-2</v>
      </c>
      <c r="G34" s="1"/>
      <c r="H34" s="1">
        <f>SUM(OSRRefH22_0x_0)</f>
        <v>148573.07291157753</v>
      </c>
      <c r="I34" s="1"/>
      <c r="J34" s="5">
        <f t="shared" si="13"/>
        <v>7.0393327868054231E-2</v>
      </c>
      <c r="K34" s="1"/>
      <c r="L34" s="1">
        <f t="shared" si="14"/>
        <v>21766.517088422494</v>
      </c>
      <c r="M34" s="1"/>
      <c r="N34" s="5">
        <f t="shared" si="15"/>
        <v>0.14650378202365594</v>
      </c>
      <c r="O34" s="13"/>
      <c r="P34" s="1">
        <f>SUM(OSRRefP22_0x_0)</f>
        <v>1310419.73</v>
      </c>
      <c r="Q34" s="1"/>
      <c r="R34" s="5">
        <f t="shared" si="16"/>
        <v>0.10593625780537634</v>
      </c>
      <c r="S34" s="1"/>
      <c r="T34" s="1">
        <f>SUM(OSRRefT22_0x_0)</f>
        <v>1224421.7777392799</v>
      </c>
      <c r="U34" s="1"/>
      <c r="V34" s="5">
        <f t="shared" si="17"/>
        <v>9.5226263949013623E-2</v>
      </c>
      <c r="W34" s="1"/>
      <c r="X34" s="1">
        <f t="shared" si="18"/>
        <v>85997.952260720078</v>
      </c>
      <c r="Y34" s="1"/>
      <c r="Z34" s="5">
        <f t="shared" si="19"/>
        <v>7.0235562470558982E-2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6">
        <v>25954.99</v>
      </c>
      <c r="E35" s="2"/>
      <c r="F35" s="7">
        <f t="shared" si="12"/>
        <v>1.2214457992429784E-2</v>
      </c>
      <c r="G35" s="2"/>
      <c r="H35" s="6">
        <v>22027.080671269854</v>
      </c>
      <c r="I35" s="2"/>
      <c r="J35" s="7">
        <f t="shared" si="13"/>
        <v>1.043634274557669E-2</v>
      </c>
      <c r="K35" s="2"/>
      <c r="L35" s="6">
        <f t="shared" si="14"/>
        <v>3927.9093287301475</v>
      </c>
      <c r="M35" s="2"/>
      <c r="N35" s="7">
        <f t="shared" si="15"/>
        <v>0.1783218297217824</v>
      </c>
      <c r="O35" s="11"/>
      <c r="P35" s="6">
        <v>212911.2</v>
      </c>
      <c r="Q35" s="2"/>
      <c r="R35" s="7">
        <f t="shared" si="16"/>
        <v>1.7212054471167068E-2</v>
      </c>
      <c r="S35" s="2"/>
      <c r="T35" s="6">
        <v>191708.78012969519</v>
      </c>
      <c r="U35" s="2"/>
      <c r="V35" s="7">
        <f t="shared" si="17"/>
        <v>1.4909658771081595E-2</v>
      </c>
      <c r="W35" s="2"/>
      <c r="X35" s="6">
        <f t="shared" si="18"/>
        <v>21202.419870304817</v>
      </c>
      <c r="Y35" s="2"/>
      <c r="Z35" s="7">
        <f t="shared" si="19"/>
        <v>0.11059702041795329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6">
        <v>21575.390000000003</v>
      </c>
      <c r="E36" s="2"/>
      <c r="F36" s="7">
        <f t="shared" si="12"/>
        <v>1.015341153378559E-2</v>
      </c>
      <c r="G36" s="2"/>
      <c r="H36" s="6">
        <v>20156.115943415381</v>
      </c>
      <c r="I36" s="2"/>
      <c r="J36" s="7">
        <f t="shared" si="13"/>
        <v>9.5498871386726896E-3</v>
      </c>
      <c r="K36" s="2"/>
      <c r="L36" s="6">
        <f t="shared" si="14"/>
        <v>1419.2740565846216</v>
      </c>
      <c r="M36" s="2"/>
      <c r="N36" s="7">
        <f t="shared" si="15"/>
        <v>7.0414064920492347E-2</v>
      </c>
      <c r="O36" s="11"/>
      <c r="P36" s="6">
        <v>120740.67000000001</v>
      </c>
      <c r="Q36" s="2"/>
      <c r="R36" s="7">
        <f t="shared" si="16"/>
        <v>9.7608532990524112E-3</v>
      </c>
      <c r="S36" s="2"/>
      <c r="T36" s="6">
        <v>147103.6753492846</v>
      </c>
      <c r="U36" s="2"/>
      <c r="V36" s="7">
        <f t="shared" si="17"/>
        <v>1.1440611128744381E-2</v>
      </c>
      <c r="W36" s="2"/>
      <c r="X36" s="6">
        <f t="shared" si="18"/>
        <v>-26363.005349284591</v>
      </c>
      <c r="Y36" s="2"/>
      <c r="Z36" s="7">
        <f t="shared" si="19"/>
        <v>-0.17921377753946649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6">
        <v>76392.960000000006</v>
      </c>
      <c r="E37" s="2"/>
      <c r="F37" s="7">
        <f t="shared" si="12"/>
        <v>3.59506438198346E-2</v>
      </c>
      <c r="G37" s="2"/>
      <c r="H37" s="6">
        <v>66471.961538461532</v>
      </c>
      <c r="I37" s="2"/>
      <c r="J37" s="7">
        <f t="shared" si="13"/>
        <v>3.1494149585197063E-2</v>
      </c>
      <c r="K37" s="2"/>
      <c r="L37" s="6">
        <f t="shared" si="14"/>
        <v>9920.9984615384747</v>
      </c>
      <c r="M37" s="2"/>
      <c r="N37" s="7">
        <f t="shared" si="15"/>
        <v>0.14925087558606281</v>
      </c>
      <c r="O37" s="11"/>
      <c r="P37" s="6">
        <v>560398.14</v>
      </c>
      <c r="Q37" s="2"/>
      <c r="R37" s="7">
        <f t="shared" si="16"/>
        <v>4.5303409643178513E-2</v>
      </c>
      <c r="S37" s="2"/>
      <c r="T37" s="6">
        <v>549984.40576923068</v>
      </c>
      <c r="U37" s="2"/>
      <c r="V37" s="7">
        <f t="shared" si="17"/>
        <v>4.2773626820262353E-2</v>
      </c>
      <c r="W37" s="2"/>
      <c r="X37" s="6">
        <f t="shared" si="18"/>
        <v>10413.734230769332</v>
      </c>
      <c r="Y37" s="2"/>
      <c r="Z37" s="7">
        <f t="shared" si="19"/>
        <v>1.8934599093231121E-2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6">
        <v>1495.01</v>
      </c>
      <c r="E38" s="2"/>
      <c r="F38" s="7">
        <f t="shared" si="12"/>
        <v>7.0355399263349546E-4</v>
      </c>
      <c r="G38" s="2"/>
      <c r="H38" s="6">
        <v>1407.1250236000001</v>
      </c>
      <c r="I38" s="2"/>
      <c r="J38" s="7">
        <f t="shared" si="13"/>
        <v>6.6669020971632412E-4</v>
      </c>
      <c r="K38" s="2"/>
      <c r="L38" s="6">
        <f t="shared" si="14"/>
        <v>87.884976399999914</v>
      </c>
      <c r="M38" s="2"/>
      <c r="N38" s="7">
        <f t="shared" si="15"/>
        <v>6.2457119961632321E-2</v>
      </c>
      <c r="O38" s="11"/>
      <c r="P38" s="6">
        <v>10308.18</v>
      </c>
      <c r="Q38" s="2"/>
      <c r="R38" s="7">
        <f t="shared" si="16"/>
        <v>8.3332842827711726E-4</v>
      </c>
      <c r="S38" s="2"/>
      <c r="T38" s="6">
        <v>10217.8172313</v>
      </c>
      <c r="U38" s="2"/>
      <c r="V38" s="7">
        <f t="shared" si="17"/>
        <v>7.9466453336616367E-4</v>
      </c>
      <c r="W38" s="2"/>
      <c r="X38" s="6">
        <f t="shared" si="18"/>
        <v>90.362768700000743</v>
      </c>
      <c r="Y38" s="2"/>
      <c r="Z38" s="7">
        <f t="shared" si="19"/>
        <v>8.8436469995954326E-3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6">
        <v>10828.35</v>
      </c>
      <c r="E39" s="2"/>
      <c r="F39" s="7">
        <f t="shared" si="12"/>
        <v>5.095838072075044E-3</v>
      </c>
      <c r="G39" s="2"/>
      <c r="H39" s="6">
        <v>10432.659806830779</v>
      </c>
      <c r="I39" s="2"/>
      <c r="J39" s="7">
        <f t="shared" si="13"/>
        <v>4.9429525009230873E-3</v>
      </c>
      <c r="K39" s="2"/>
      <c r="L39" s="6">
        <f t="shared" si="14"/>
        <v>395.69019316922095</v>
      </c>
      <c r="M39" s="2"/>
      <c r="N39" s="7">
        <f t="shared" si="15"/>
        <v>3.792802607347965E-2</v>
      </c>
      <c r="O39" s="11"/>
      <c r="P39" s="6">
        <v>95366.41</v>
      </c>
      <c r="Q39" s="2"/>
      <c r="R39" s="7">
        <f t="shared" si="16"/>
        <v>7.7095608105146743E-3</v>
      </c>
      <c r="S39" s="2"/>
      <c r="T39" s="6">
        <v>91285.773309769298</v>
      </c>
      <c r="U39" s="2"/>
      <c r="V39" s="7">
        <f t="shared" si="17"/>
        <v>7.0995169328300703E-3</v>
      </c>
      <c r="W39" s="2"/>
      <c r="X39" s="6">
        <f t="shared" si="18"/>
        <v>4080.6366902307054</v>
      </c>
      <c r="Y39" s="2"/>
      <c r="Z39" s="7">
        <f t="shared" si="19"/>
        <v>4.4701781474572891E-2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16000</v>
      </c>
      <c r="U40" s="2"/>
      <c r="V40" s="7">
        <f t="shared" si="17"/>
        <v>1.2443589708093607E-3</v>
      </c>
      <c r="W40" s="2"/>
      <c r="X40" s="6">
        <f t="shared" si="18"/>
        <v>-16000</v>
      </c>
      <c r="Y40" s="2"/>
      <c r="Z40" s="7">
        <f t="shared" si="19"/>
        <v>-1</v>
      </c>
    </row>
    <row r="41" spans="1:26" s="24" customFormat="1" hidden="1" outlineLevel="2" x14ac:dyDescent="0.25">
      <c r="A41" s="25"/>
      <c r="B41" s="11" t="str">
        <f>CONCATENATE("          ", "6117", " - ", "RETIREMENT STAFF HOURLY")</f>
        <v xml:space="preserve">          6117 - RETIREMENT STAFF HOURLY</v>
      </c>
      <c r="C41" s="11"/>
      <c r="D41" s="6">
        <v>1040.95</v>
      </c>
      <c r="E41" s="2"/>
      <c r="F41" s="7">
        <f t="shared" si="12"/>
        <v>4.8987266214395699E-4</v>
      </c>
      <c r="G41" s="2"/>
      <c r="H41" s="6"/>
      <c r="I41" s="2"/>
      <c r="J41" s="7">
        <f t="shared" si="13"/>
        <v>0</v>
      </c>
      <c r="K41" s="2"/>
      <c r="L41" s="6">
        <f t="shared" si="14"/>
        <v>1040.95</v>
      </c>
      <c r="M41" s="2"/>
      <c r="N41" s="7">
        <f t="shared" si="15"/>
        <v>0</v>
      </c>
      <c r="O41" s="11"/>
      <c r="P41" s="6">
        <v>14331.24</v>
      </c>
      <c r="Q41" s="2"/>
      <c r="R41" s="7">
        <f t="shared" si="16"/>
        <v>1.1585585141569272E-3</v>
      </c>
      <c r="S41" s="2"/>
      <c r="T41" s="6"/>
      <c r="U41" s="2"/>
      <c r="V41" s="7">
        <f t="shared" si="17"/>
        <v>0</v>
      </c>
      <c r="W41" s="2"/>
      <c r="X41" s="6">
        <f t="shared" si="18"/>
        <v>14331.24</v>
      </c>
      <c r="Y41" s="2"/>
      <c r="Z41" s="7">
        <f t="shared" si="19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6">
        <v>14318.23</v>
      </c>
      <c r="E42" s="2"/>
      <c r="F42" s="7">
        <f t="shared" si="12"/>
        <v>6.7381809378831538E-3</v>
      </c>
      <c r="G42" s="2"/>
      <c r="H42" s="6">
        <v>8867.6831664615383</v>
      </c>
      <c r="I42" s="2"/>
      <c r="J42" s="7">
        <f t="shared" si="13"/>
        <v>4.2014728263597059E-3</v>
      </c>
      <c r="K42" s="2"/>
      <c r="L42" s="6">
        <f t="shared" si="14"/>
        <v>5450.5468335384612</v>
      </c>
      <c r="M42" s="2"/>
      <c r="N42" s="7">
        <f t="shared" si="15"/>
        <v>0.61465286154482524</v>
      </c>
      <c r="O42" s="11"/>
      <c r="P42" s="6">
        <v>127479.96</v>
      </c>
      <c r="Q42" s="2"/>
      <c r="R42" s="7">
        <f t="shared" si="16"/>
        <v>1.0305667412058168E-2</v>
      </c>
      <c r="S42" s="2"/>
      <c r="T42" s="6">
        <v>76936.734246538428</v>
      </c>
      <c r="U42" s="2"/>
      <c r="V42" s="7">
        <f t="shared" si="17"/>
        <v>5.9835572152784908E-3</v>
      </c>
      <c r="W42" s="2"/>
      <c r="X42" s="6">
        <f t="shared" si="18"/>
        <v>50543.225753461578</v>
      </c>
      <c r="Y42" s="2"/>
      <c r="Z42" s="7">
        <f t="shared" si="19"/>
        <v>0.65694529730751661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6">
        <v>10322.969999999999</v>
      </c>
      <c r="E43" s="2"/>
      <c r="F43" s="7">
        <f t="shared" si="12"/>
        <v>4.8580054710910259E-3</v>
      </c>
      <c r="G43" s="2"/>
      <c r="H43" s="6">
        <v>15985.446761538464</v>
      </c>
      <c r="I43" s="2"/>
      <c r="J43" s="7">
        <f t="shared" si="13"/>
        <v>7.5738407569452401E-3</v>
      </c>
      <c r="K43" s="2"/>
      <c r="L43" s="6">
        <f t="shared" si="14"/>
        <v>-5662.4767615384644</v>
      </c>
      <c r="M43" s="2"/>
      <c r="N43" s="7">
        <f t="shared" si="15"/>
        <v>-0.35422699446615274</v>
      </c>
      <c r="O43" s="11"/>
      <c r="P43" s="6">
        <v>114765.54999999999</v>
      </c>
      <c r="Q43" s="2"/>
      <c r="R43" s="7">
        <f t="shared" si="16"/>
        <v>9.2778158124769746E-3</v>
      </c>
      <c r="S43" s="2"/>
      <c r="T43" s="6">
        <v>115384.59170346153</v>
      </c>
      <c r="U43" s="2"/>
      <c r="V43" s="7">
        <f t="shared" si="17"/>
        <v>8.9737407362111051E-3</v>
      </c>
      <c r="W43" s="2"/>
      <c r="X43" s="6">
        <f t="shared" si="18"/>
        <v>-619.04170346153842</v>
      </c>
      <c r="Y43" s="2"/>
      <c r="Z43" s="7">
        <f t="shared" si="19"/>
        <v>-5.3650291977673757E-3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6">
        <v>8410.74</v>
      </c>
      <c r="E44" s="2"/>
      <c r="F44" s="7">
        <f t="shared" si="12"/>
        <v>3.9581071083151587E-3</v>
      </c>
      <c r="G44" s="2"/>
      <c r="H44" s="6">
        <v>3225</v>
      </c>
      <c r="I44" s="2"/>
      <c r="J44" s="7">
        <f t="shared" si="13"/>
        <v>1.5279921046634319E-3</v>
      </c>
      <c r="K44" s="2"/>
      <c r="L44" s="6">
        <f t="shared" si="14"/>
        <v>5185.74</v>
      </c>
      <c r="M44" s="2"/>
      <c r="N44" s="7">
        <f t="shared" si="15"/>
        <v>1.6079813953488371</v>
      </c>
      <c r="O44" s="11"/>
      <c r="P44" s="6">
        <v>54118.380000000005</v>
      </c>
      <c r="Q44" s="2"/>
      <c r="R44" s="7">
        <f t="shared" si="16"/>
        <v>4.3750094144944865E-3</v>
      </c>
      <c r="S44" s="2"/>
      <c r="T44" s="6">
        <v>25800</v>
      </c>
      <c r="U44" s="2"/>
      <c r="V44" s="7">
        <f t="shared" si="17"/>
        <v>2.0065288404300941E-3</v>
      </c>
      <c r="W44" s="2"/>
      <c r="X44" s="6">
        <f t="shared" si="18"/>
        <v>28318.380000000005</v>
      </c>
      <c r="Y44" s="2"/>
      <c r="Z44" s="7">
        <f t="shared" si="19"/>
        <v>1.097611627906977</v>
      </c>
    </row>
    <row r="45" spans="1:26" s="27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551880.83000000007</v>
      </c>
      <c r="E45" s="1"/>
      <c r="F45" s="5">
        <f t="shared" ref="F45:F55" si="20">IF(D$12=0,0,D45/D$12)</f>
        <v>0.25971596270552533</v>
      </c>
      <c r="G45" s="1"/>
      <c r="H45" s="1">
        <f>SUM(OSRRefH22_1x_0)</f>
        <v>515306.55395384616</v>
      </c>
      <c r="I45" s="1"/>
      <c r="J45" s="5">
        <f t="shared" ref="J45:J55" si="21">IF(H$12=0,0,H45/H$12)</f>
        <v>0.24415018478226286</v>
      </c>
      <c r="K45" s="1"/>
      <c r="L45" s="1">
        <f t="shared" ref="L45:L55" si="22">+D45-H45</f>
        <v>36574.276046153915</v>
      </c>
      <c r="M45" s="1"/>
      <c r="N45" s="5">
        <f t="shared" ref="N45:N55" si="23">IF(H45=0,0,L45/H45)</f>
        <v>7.0975763388854002E-2</v>
      </c>
      <c r="O45" s="13"/>
      <c r="P45" s="1">
        <f>SUM(OSRRefP22_1x_0)</f>
        <v>3814774.64</v>
      </c>
      <c r="Q45" s="1"/>
      <c r="R45" s="5">
        <f t="shared" ref="R45:R55" si="24">IF(P$12=0,0,P45/P$12)</f>
        <v>0.30839199111604626</v>
      </c>
      <c r="S45" s="1"/>
      <c r="T45" s="1">
        <f>SUM(OSRRefT22_1x_0)</f>
        <v>3725655.5973401535</v>
      </c>
      <c r="U45" s="1"/>
      <c r="V45" s="5">
        <f t="shared" ref="V45:V55" si="25">IF(T$12=0,0,T45/T$12)</f>
        <v>0.28975331029352047</v>
      </c>
      <c r="W45" s="1"/>
      <c r="X45" s="1">
        <f t="shared" ref="X45:X55" si="26">+P45-T45</f>
        <v>89119.0426598466</v>
      </c>
      <c r="Y45" s="1"/>
      <c r="Z45" s="5">
        <f t="shared" ref="Z45:Z55" si="27">IF(T45=0,0,X45/T45)</f>
        <v>2.3920365243494623E-2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6">
        <v>26595.510000000002</v>
      </c>
      <c r="E46" s="2"/>
      <c r="F46" s="7">
        <f t="shared" si="20"/>
        <v>1.251588768411185E-2</v>
      </c>
      <c r="G46" s="2"/>
      <c r="H46" s="6">
        <v>20213.021076923069</v>
      </c>
      <c r="I46" s="2"/>
      <c r="J46" s="7">
        <f t="shared" si="21"/>
        <v>9.5768485633903836E-3</v>
      </c>
      <c r="K46" s="2"/>
      <c r="L46" s="6">
        <f t="shared" si="22"/>
        <v>6382.4889230769331</v>
      </c>
      <c r="M46" s="2"/>
      <c r="N46" s="7">
        <f t="shared" si="23"/>
        <v>0.31576125601351762</v>
      </c>
      <c r="O46" s="11"/>
      <c r="P46" s="6">
        <v>205758.53</v>
      </c>
      <c r="Q46" s="2"/>
      <c r="R46" s="7">
        <f t="shared" si="24"/>
        <v>1.6633822111130195E-2</v>
      </c>
      <c r="S46" s="2"/>
      <c r="T46" s="6">
        <v>176863.93442307692</v>
      </c>
      <c r="U46" s="2"/>
      <c r="V46" s="7">
        <f t="shared" si="25"/>
        <v>1.375513896324964E-2</v>
      </c>
      <c r="W46" s="2"/>
      <c r="X46" s="6">
        <f t="shared" si="26"/>
        <v>28894.595576923079</v>
      </c>
      <c r="Y46" s="2"/>
      <c r="Z46" s="7">
        <f t="shared" si="27"/>
        <v>0.16337189190761867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6">
        <v>95782.89</v>
      </c>
      <c r="E47" s="2"/>
      <c r="F47" s="7">
        <f t="shared" si="20"/>
        <v>4.5075574534936165E-2</v>
      </c>
      <c r="G47" s="2"/>
      <c r="H47" s="6">
        <v>91046.740620923098</v>
      </c>
      <c r="I47" s="2"/>
      <c r="J47" s="7">
        <f t="shared" si="21"/>
        <v>4.3137581650886776E-2</v>
      </c>
      <c r="K47" s="2"/>
      <c r="L47" s="6">
        <f t="shared" si="22"/>
        <v>4736.1493790769018</v>
      </c>
      <c r="M47" s="2"/>
      <c r="N47" s="7">
        <f t="shared" si="23"/>
        <v>5.2018878949176853E-2</v>
      </c>
      <c r="O47" s="11"/>
      <c r="P47" s="6">
        <v>815041.89</v>
      </c>
      <c r="Q47" s="2"/>
      <c r="R47" s="7">
        <f t="shared" si="24"/>
        <v>6.5889184819600655E-2</v>
      </c>
      <c r="S47" s="2"/>
      <c r="T47" s="6">
        <v>796658.98043307674</v>
      </c>
      <c r="U47" s="2"/>
      <c r="V47" s="7">
        <f t="shared" si="25"/>
        <v>6.1958109311108622E-2</v>
      </c>
      <c r="W47" s="2"/>
      <c r="X47" s="6">
        <f t="shared" si="26"/>
        <v>18382.909566923277</v>
      </c>
      <c r="Y47" s="2"/>
      <c r="Z47" s="7">
        <f t="shared" si="27"/>
        <v>2.3075004510625149E-2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6">
        <v>92046</v>
      </c>
      <c r="E49" s="2"/>
      <c r="F49" s="7">
        <f t="shared" si="20"/>
        <v>4.3316988385323663E-2</v>
      </c>
      <c r="G49" s="2"/>
      <c r="H49" s="6">
        <v>123196.45163999998</v>
      </c>
      <c r="I49" s="2"/>
      <c r="J49" s="7">
        <f t="shared" si="21"/>
        <v>5.8369986179370628E-2</v>
      </c>
      <c r="K49" s="2"/>
      <c r="L49" s="6">
        <f t="shared" si="22"/>
        <v>-31150.451639999985</v>
      </c>
      <c r="M49" s="2"/>
      <c r="N49" s="7">
        <f t="shared" si="23"/>
        <v>-0.25285185754397099</v>
      </c>
      <c r="O49" s="11"/>
      <c r="P49" s="6">
        <v>649965.66</v>
      </c>
      <c r="Q49" s="2"/>
      <c r="R49" s="7">
        <f t="shared" si="24"/>
        <v>5.2544179659445134E-2</v>
      </c>
      <c r="S49" s="2"/>
      <c r="T49" s="6">
        <v>1025182.40857</v>
      </c>
      <c r="U49" s="2"/>
      <c r="V49" s="7">
        <f t="shared" si="25"/>
        <v>7.9730932926251663E-2</v>
      </c>
      <c r="W49" s="2"/>
      <c r="X49" s="6">
        <f t="shared" si="26"/>
        <v>-375216.74856999994</v>
      </c>
      <c r="Y49" s="2"/>
      <c r="Z49" s="7">
        <f t="shared" si="27"/>
        <v>-0.36599998735188982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>
        <v>105568.24</v>
      </c>
      <c r="E50" s="2"/>
      <c r="F50" s="7">
        <f t="shared" si="20"/>
        <v>4.9680575211731755E-2</v>
      </c>
      <c r="G50" s="2"/>
      <c r="H50" s="6">
        <v>60871.741415999997</v>
      </c>
      <c r="I50" s="2"/>
      <c r="J50" s="7">
        <f t="shared" si="21"/>
        <v>2.8840787683957217E-2</v>
      </c>
      <c r="K50" s="2"/>
      <c r="L50" s="6">
        <f t="shared" si="22"/>
        <v>44696.498584000008</v>
      </c>
      <c r="M50" s="2"/>
      <c r="N50" s="7">
        <f t="shared" si="23"/>
        <v>0.73427336797451359</v>
      </c>
      <c r="O50" s="11"/>
      <c r="P50" s="6">
        <v>703863.35</v>
      </c>
      <c r="Q50" s="2"/>
      <c r="R50" s="7">
        <f t="shared" si="24"/>
        <v>5.6901348169838557E-2</v>
      </c>
      <c r="S50" s="2"/>
      <c r="T50" s="6">
        <v>417746.19811400003</v>
      </c>
      <c r="U50" s="2"/>
      <c r="V50" s="7">
        <f t="shared" si="25"/>
        <v>3.2489139321541273E-2</v>
      </c>
      <c r="W50" s="2"/>
      <c r="X50" s="6">
        <f t="shared" si="26"/>
        <v>286117.15188599995</v>
      </c>
      <c r="Y50" s="2"/>
      <c r="Z50" s="7">
        <f t="shared" si="27"/>
        <v>0.68490665666793349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>
        <v>2656.42</v>
      </c>
      <c r="E51" s="2"/>
      <c r="F51" s="7">
        <f t="shared" si="20"/>
        <v>1.2501153150222875E-3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2656.42</v>
      </c>
      <c r="M51" s="2"/>
      <c r="N51" s="7">
        <f t="shared" si="23"/>
        <v>0</v>
      </c>
      <c r="O51" s="11"/>
      <c r="P51" s="6">
        <v>43237.919999999998</v>
      </c>
      <c r="Q51" s="2"/>
      <c r="R51" s="7">
        <f t="shared" si="24"/>
        <v>3.495417029540785E-3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43237.919999999998</v>
      </c>
      <c r="Y51" s="2"/>
      <c r="Z51" s="7">
        <f t="shared" si="27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>
        <v>198944.59</v>
      </c>
      <c r="E52" s="2"/>
      <c r="F52" s="7">
        <f t="shared" si="20"/>
        <v>9.362362834183971E-2</v>
      </c>
      <c r="G52" s="2"/>
      <c r="H52" s="6">
        <v>37890.449999999997</v>
      </c>
      <c r="I52" s="2"/>
      <c r="J52" s="7">
        <f t="shared" si="21"/>
        <v>1.795234370299055E-2</v>
      </c>
      <c r="K52" s="2"/>
      <c r="L52" s="6">
        <f t="shared" si="22"/>
        <v>161054.14000000001</v>
      </c>
      <c r="M52" s="2"/>
      <c r="N52" s="7">
        <f t="shared" si="23"/>
        <v>4.2505206457036016</v>
      </c>
      <c r="O52" s="11"/>
      <c r="P52" s="6">
        <v>1224371.69</v>
      </c>
      <c r="Q52" s="2"/>
      <c r="R52" s="7">
        <f t="shared" si="24"/>
        <v>9.8980007727328942E-2</v>
      </c>
      <c r="S52" s="2"/>
      <c r="T52" s="6">
        <v>364734.38</v>
      </c>
      <c r="U52" s="2"/>
      <c r="V52" s="7">
        <f t="shared" si="25"/>
        <v>2.8366281107224389E-2</v>
      </c>
      <c r="W52" s="2"/>
      <c r="X52" s="6">
        <f t="shared" si="26"/>
        <v>859637.30999999994</v>
      </c>
      <c r="Y52" s="2"/>
      <c r="Z52" s="7">
        <f t="shared" si="27"/>
        <v>2.3568858795269039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6">
        <v>30287.180000000004</v>
      </c>
      <c r="E53" s="2"/>
      <c r="F53" s="7">
        <f t="shared" si="20"/>
        <v>1.4253193232559887E-2</v>
      </c>
      <c r="G53" s="2"/>
      <c r="H53" s="6">
        <v>182088.14919999999</v>
      </c>
      <c r="I53" s="2"/>
      <c r="J53" s="7">
        <f t="shared" si="21"/>
        <v>8.6272637001667277E-2</v>
      </c>
      <c r="K53" s="2"/>
      <c r="L53" s="6">
        <f t="shared" si="22"/>
        <v>-151800.96919999999</v>
      </c>
      <c r="M53" s="2"/>
      <c r="N53" s="7">
        <f t="shared" si="23"/>
        <v>-0.83366748394628643</v>
      </c>
      <c r="O53" s="11"/>
      <c r="P53" s="6">
        <v>172535.6</v>
      </c>
      <c r="Q53" s="2"/>
      <c r="R53" s="7">
        <f t="shared" si="24"/>
        <v>1.3948031599161964E-2</v>
      </c>
      <c r="S53" s="2"/>
      <c r="T53" s="6">
        <v>944469.69579999999</v>
      </c>
      <c r="U53" s="2"/>
      <c r="V53" s="7">
        <f t="shared" si="25"/>
        <v>7.3453708664144871E-2</v>
      </c>
      <c r="W53" s="2"/>
      <c r="X53" s="6">
        <f t="shared" si="26"/>
        <v>-771934.09580000001</v>
      </c>
      <c r="Y53" s="2"/>
      <c r="Z53" s="7">
        <f t="shared" si="27"/>
        <v>-0.81732013132104142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7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2488.48</v>
      </c>
      <c r="E56" s="1"/>
      <c r="F56" s="5">
        <f t="shared" ref="F56:F60" si="28">IF(D$12=0,0,D56/D$12)</f>
        <v>1.1710824941562939E-3</v>
      </c>
      <c r="G56" s="1"/>
      <c r="H56" s="1">
        <f>SUM(OSRRefH22_2x_0)</f>
        <v>2040</v>
      </c>
      <c r="I56" s="1"/>
      <c r="J56" s="5">
        <f t="shared" ref="J56:J60" si="29">IF(H$12=0,0,H56/H$12)</f>
        <v>9.6654384294989179E-4</v>
      </c>
      <c r="K56" s="1"/>
      <c r="L56" s="1">
        <f t="shared" ref="L56:L60" si="30">+D56-H56</f>
        <v>448.48</v>
      </c>
      <c r="M56" s="1"/>
      <c r="N56" s="5">
        <f t="shared" ref="N56:N60" si="31">IF(H56=0,0,L56/H56)</f>
        <v>0.21984313725490198</v>
      </c>
      <c r="O56" s="13"/>
      <c r="P56" s="1">
        <f>SUM(OSRRefP22_2x_0)</f>
        <v>34517.79</v>
      </c>
      <c r="Q56" s="1"/>
      <c r="R56" s="5">
        <f t="shared" ref="R56:R60" si="32">IF(P$12=0,0,P56/P$12)</f>
        <v>2.7904688983214879E-3</v>
      </c>
      <c r="S56" s="1"/>
      <c r="T56" s="1">
        <f>SUM(OSRRefT22_2x_0)</f>
        <v>29970</v>
      </c>
      <c r="U56" s="1"/>
      <c r="V56" s="5">
        <f t="shared" ref="V56:V60" si="33">IF(T$12=0,0,T56/T$12)</f>
        <v>2.3308398971972838E-3</v>
      </c>
      <c r="W56" s="1"/>
      <c r="X56" s="1">
        <f t="shared" ref="X56:X60" si="34">+P56-T56</f>
        <v>4547.7900000000009</v>
      </c>
      <c r="Y56" s="1"/>
      <c r="Z56" s="5">
        <f t="shared" ref="Z56:Z60" si="35">IF(T56=0,0,X56/T56)</f>
        <v>0.15174474474474478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6">
        <v>2488.48</v>
      </c>
      <c r="E57" s="2"/>
      <c r="F57" s="7">
        <f t="shared" si="28"/>
        <v>1.1710824941562939E-3</v>
      </c>
      <c r="G57" s="2"/>
      <c r="H57" s="6">
        <v>2040</v>
      </c>
      <c r="I57" s="2"/>
      <c r="J57" s="7">
        <f t="shared" si="29"/>
        <v>9.6654384294989179E-4</v>
      </c>
      <c r="K57" s="2"/>
      <c r="L57" s="6">
        <f t="shared" si="30"/>
        <v>448.48</v>
      </c>
      <c r="M57" s="2"/>
      <c r="N57" s="7">
        <f t="shared" si="31"/>
        <v>0.21984313725490198</v>
      </c>
      <c r="O57" s="11"/>
      <c r="P57" s="6">
        <v>34517.79</v>
      </c>
      <c r="Q57" s="2"/>
      <c r="R57" s="7">
        <f t="shared" si="32"/>
        <v>2.7904688983214879E-3</v>
      </c>
      <c r="S57" s="2"/>
      <c r="T57" s="6">
        <v>29970</v>
      </c>
      <c r="U57" s="2"/>
      <c r="V57" s="7">
        <f t="shared" si="33"/>
        <v>2.3308398971972838E-3</v>
      </c>
      <c r="W57" s="2"/>
      <c r="X57" s="6">
        <f t="shared" si="34"/>
        <v>4547.7900000000009</v>
      </c>
      <c r="Y57" s="2"/>
      <c r="Z57" s="7">
        <f t="shared" si="35"/>
        <v>0.15174474474474478</v>
      </c>
    </row>
    <row r="58" spans="1:26" s="27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235.35</v>
      </c>
      <c r="E58" s="1"/>
      <c r="F58" s="5">
        <f t="shared" si="28"/>
        <v>1.1075606997029663E-4</v>
      </c>
      <c r="G58" s="1"/>
      <c r="H58" s="1">
        <f>SUM(OSRRefH22_3x_0)</f>
        <v>282</v>
      </c>
      <c r="I58" s="1"/>
      <c r="J58" s="5">
        <f t="shared" si="29"/>
        <v>1.3361047240777917E-4</v>
      </c>
      <c r="K58" s="1"/>
      <c r="L58" s="1">
        <f t="shared" si="30"/>
        <v>-46.650000000000006</v>
      </c>
      <c r="M58" s="1"/>
      <c r="N58" s="5">
        <f t="shared" si="31"/>
        <v>-0.16542553191489365</v>
      </c>
      <c r="O58" s="13"/>
      <c r="P58" s="1">
        <f>SUM(OSRRefP22_3x_0)</f>
        <v>-240.07</v>
      </c>
      <c r="Q58" s="1"/>
      <c r="R58" s="5">
        <f t="shared" si="32"/>
        <v>-1.940761179728017E-5</v>
      </c>
      <c r="S58" s="1"/>
      <c r="T58" s="1">
        <f>SUM(OSRRefT22_3x_0)</f>
        <v>1993</v>
      </c>
      <c r="U58" s="1"/>
      <c r="V58" s="5">
        <f t="shared" si="33"/>
        <v>1.5500046430144099E-4</v>
      </c>
      <c r="W58" s="1"/>
      <c r="X58" s="1">
        <f t="shared" si="34"/>
        <v>-2233.0700000000002</v>
      </c>
      <c r="Y58" s="1"/>
      <c r="Z58" s="5">
        <f t="shared" si="35"/>
        <v>-1.1204565980933268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6">
        <v>235.35</v>
      </c>
      <c r="E59" s="2"/>
      <c r="F59" s="7">
        <f t="shared" si="28"/>
        <v>1.1075606997029663E-4</v>
      </c>
      <c r="G59" s="2"/>
      <c r="H59" s="6">
        <v>232</v>
      </c>
      <c r="I59" s="2"/>
      <c r="J59" s="7">
        <f t="shared" si="29"/>
        <v>1.0992067233547789E-4</v>
      </c>
      <c r="K59" s="2"/>
      <c r="L59" s="6">
        <f t="shared" si="30"/>
        <v>3.3499999999999943</v>
      </c>
      <c r="M59" s="2"/>
      <c r="N59" s="7">
        <f t="shared" si="31"/>
        <v>1.4439655172413768E-2</v>
      </c>
      <c r="O59" s="11"/>
      <c r="P59" s="6">
        <v>-240.07</v>
      </c>
      <c r="Q59" s="2"/>
      <c r="R59" s="7">
        <f t="shared" si="32"/>
        <v>-1.940761179728017E-5</v>
      </c>
      <c r="S59" s="2"/>
      <c r="T59" s="6">
        <v>1643</v>
      </c>
      <c r="U59" s="2"/>
      <c r="V59" s="7">
        <f t="shared" si="33"/>
        <v>1.2778011181498622E-4</v>
      </c>
      <c r="W59" s="2"/>
      <c r="X59" s="6">
        <f t="shared" si="34"/>
        <v>-1883.07</v>
      </c>
      <c r="Y59" s="2"/>
      <c r="Z59" s="7">
        <f t="shared" si="35"/>
        <v>-1.14611685940353</v>
      </c>
    </row>
    <row r="60" spans="1:26" s="24" customFormat="1" hidden="1" outlineLevel="2" x14ac:dyDescent="0.25">
      <c r="A60" s="25"/>
      <c r="B60" s="11" t="str">
        <f>CONCATENATE("          ", "6342", " - ", "BAD DEBT")</f>
        <v xml:space="preserve">          6342 - BAD DEBT</v>
      </c>
      <c r="C60" s="11"/>
      <c r="D60" s="6"/>
      <c r="E60" s="2"/>
      <c r="F60" s="7">
        <f t="shared" si="28"/>
        <v>0</v>
      </c>
      <c r="G60" s="2"/>
      <c r="H60" s="6">
        <v>50</v>
      </c>
      <c r="I60" s="2"/>
      <c r="J60" s="7">
        <f t="shared" si="29"/>
        <v>2.368980007230127E-5</v>
      </c>
      <c r="K60" s="2"/>
      <c r="L60" s="6">
        <f t="shared" si="30"/>
        <v>-50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350</v>
      </c>
      <c r="U60" s="2"/>
      <c r="V60" s="7">
        <f t="shared" si="33"/>
        <v>2.7220352486454765E-5</v>
      </c>
      <c r="W60" s="2"/>
      <c r="X60" s="6">
        <f t="shared" si="34"/>
        <v>-350</v>
      </c>
      <c r="Y60" s="2"/>
      <c r="Z60" s="7">
        <f t="shared" si="35"/>
        <v>-1</v>
      </c>
    </row>
    <row r="61" spans="1:26" s="27" customFormat="1" outlineLevel="1" collapsed="1" x14ac:dyDescent="0.25">
      <c r="A61" s="26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18705.080000000002</v>
      </c>
      <c r="E61" s="1"/>
      <c r="F61" s="5">
        <f t="shared" ref="F61:F67" si="36">IF(D$12=0,0,D61/D$12)</f>
        <v>8.8026392576163008E-3</v>
      </c>
      <c r="G61" s="1"/>
      <c r="H61" s="1">
        <f>SUM(OSRRefH22_4x_0)</f>
        <v>12201</v>
      </c>
      <c r="I61" s="1"/>
      <c r="J61" s="5">
        <f t="shared" ref="J61:J67" si="37">IF(H$12=0,0,H61/H$12)</f>
        <v>5.7807850136429558E-3</v>
      </c>
      <c r="K61" s="1"/>
      <c r="L61" s="1">
        <f t="shared" ref="L61:L67" si="38">+D61-H61</f>
        <v>6504.0800000000017</v>
      </c>
      <c r="M61" s="1"/>
      <c r="N61" s="5">
        <f t="shared" ref="N61:N67" si="39">IF(H61=0,0,L61/H61)</f>
        <v>0.53307761658880437</v>
      </c>
      <c r="O61" s="13"/>
      <c r="P61" s="1">
        <f>SUM(OSRRefP22_4x_0)</f>
        <v>135807.37000000002</v>
      </c>
      <c r="Q61" s="1"/>
      <c r="R61" s="5">
        <f t="shared" ref="R61:R67" si="40">IF(P$12=0,0,P61/P$12)</f>
        <v>1.0978867481024675E-2</v>
      </c>
      <c r="S61" s="1"/>
      <c r="T61" s="1">
        <f>SUM(OSRRefT22_4x_0)</f>
        <v>83182</v>
      </c>
      <c r="U61" s="1"/>
      <c r="V61" s="5">
        <f t="shared" ref="V61:V67" si="41">IF(T$12=0,0,T61/T$12)</f>
        <v>6.469266744366515E-3</v>
      </c>
      <c r="W61" s="1"/>
      <c r="X61" s="1">
        <f t="shared" ref="X61:X67" si="42">+P61-T61</f>
        <v>52625.370000000024</v>
      </c>
      <c r="Y61" s="1"/>
      <c r="Z61" s="5">
        <f t="shared" ref="Z61:Z67" si="43">IF(T61=0,0,X61/T61)</f>
        <v>0.63265333846264848</v>
      </c>
    </row>
    <row r="62" spans="1:26" s="24" customFormat="1" hidden="1" outlineLevel="2" x14ac:dyDescent="0.25">
      <c r="A62" s="25"/>
      <c r="B62" s="11" t="str">
        <f>CONCATENATE("          ", "6381", " - ", "BANK/CREDIT CARD FEES")</f>
        <v xml:space="preserve">          6381 - BANK/CREDIT CARD FEES</v>
      </c>
      <c r="C62" s="11"/>
      <c r="D62" s="6">
        <v>18705.080000000002</v>
      </c>
      <c r="E62" s="2"/>
      <c r="F62" s="7">
        <f t="shared" si="36"/>
        <v>8.8026392576163008E-3</v>
      </c>
      <c r="G62" s="2"/>
      <c r="H62" s="6">
        <v>12201</v>
      </c>
      <c r="I62" s="2"/>
      <c r="J62" s="7">
        <f t="shared" si="37"/>
        <v>5.7807850136429558E-3</v>
      </c>
      <c r="K62" s="2"/>
      <c r="L62" s="6">
        <f t="shared" si="38"/>
        <v>6504.0800000000017</v>
      </c>
      <c r="M62" s="2"/>
      <c r="N62" s="7">
        <f t="shared" si="39"/>
        <v>0.53307761658880437</v>
      </c>
      <c r="O62" s="11"/>
      <c r="P62" s="6">
        <v>135807.37000000002</v>
      </c>
      <c r="Q62" s="2"/>
      <c r="R62" s="7">
        <f t="shared" si="40"/>
        <v>1.0978867481024675E-2</v>
      </c>
      <c r="S62" s="2"/>
      <c r="T62" s="6">
        <v>83182</v>
      </c>
      <c r="U62" s="2"/>
      <c r="V62" s="7">
        <f t="shared" si="41"/>
        <v>6.469266744366515E-3</v>
      </c>
      <c r="W62" s="2"/>
      <c r="X62" s="6">
        <f t="shared" si="42"/>
        <v>52625.370000000024</v>
      </c>
      <c r="Y62" s="2"/>
      <c r="Z62" s="7">
        <f t="shared" si="43"/>
        <v>0.63265333846264848</v>
      </c>
    </row>
    <row r="63" spans="1:26" s="27" customFormat="1" outlineLevel="1" collapsed="1" x14ac:dyDescent="0.25">
      <c r="A63" s="26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40983.520000000004</v>
      </c>
      <c r="E63" s="1"/>
      <c r="F63" s="5">
        <f t="shared" si="36"/>
        <v>1.9286907196724247E-2</v>
      </c>
      <c r="G63" s="1"/>
      <c r="H63" s="1">
        <f>SUM(OSRRefH22_5x_0)</f>
        <v>44988</v>
      </c>
      <c r="I63" s="1"/>
      <c r="J63" s="5">
        <f t="shared" si="37"/>
        <v>2.131513451305379E-2</v>
      </c>
      <c r="K63" s="1"/>
      <c r="L63" s="1">
        <f t="shared" si="38"/>
        <v>-4004.4799999999959</v>
      </c>
      <c r="M63" s="1"/>
      <c r="N63" s="5">
        <f t="shared" si="39"/>
        <v>-8.9012181026051296E-2</v>
      </c>
      <c r="O63" s="13"/>
      <c r="P63" s="1">
        <f>SUM(OSRRefP22_5x_0)</f>
        <v>320330.01</v>
      </c>
      <c r="Q63" s="1"/>
      <c r="R63" s="5">
        <f t="shared" si="40"/>
        <v>2.5895949019447976E-2</v>
      </c>
      <c r="S63" s="1"/>
      <c r="T63" s="1">
        <f>SUM(OSRRefT22_5x_0)</f>
        <v>341702</v>
      </c>
      <c r="U63" s="1"/>
      <c r="V63" s="5">
        <f t="shared" si="41"/>
        <v>2.6574996815218761E-2</v>
      </c>
      <c r="W63" s="1"/>
      <c r="X63" s="1">
        <f t="shared" si="42"/>
        <v>-21371.989999999991</v>
      </c>
      <c r="Y63" s="1"/>
      <c r="Z63" s="5">
        <f t="shared" si="43"/>
        <v>-6.254569771321207E-2</v>
      </c>
    </row>
    <row r="64" spans="1:26" s="24" customFormat="1" hidden="1" outlineLevel="2" x14ac:dyDescent="0.25">
      <c r="A64" s="25"/>
      <c r="B64" s="11" t="str">
        <f>CONCATENATE("          ", "6321", " - ", "BUILDING DEPRECIATION")</f>
        <v xml:space="preserve">          6321 - BUILDING DEPRECIATION</v>
      </c>
      <c r="C64" s="11"/>
      <c r="D64" s="6">
        <v>24042.959999999999</v>
      </c>
      <c r="E64" s="2"/>
      <c r="F64" s="7">
        <f t="shared" si="36"/>
        <v>1.1314653749959817E-2</v>
      </c>
      <c r="G64" s="2"/>
      <c r="H64" s="6">
        <v>23037</v>
      </c>
      <c r="I64" s="2"/>
      <c r="J64" s="7">
        <f t="shared" si="37"/>
        <v>1.0914838485312087E-2</v>
      </c>
      <c r="K64" s="2"/>
      <c r="L64" s="6">
        <f t="shared" si="38"/>
        <v>1005.9599999999991</v>
      </c>
      <c r="M64" s="2"/>
      <c r="N64" s="7">
        <f t="shared" si="39"/>
        <v>4.3667144159395717E-2</v>
      </c>
      <c r="O64" s="11"/>
      <c r="P64" s="6">
        <v>192343.67999999999</v>
      </c>
      <c r="Q64" s="2"/>
      <c r="R64" s="7">
        <f t="shared" si="40"/>
        <v>1.5549345912026835E-2</v>
      </c>
      <c r="S64" s="2"/>
      <c r="T64" s="6">
        <v>184542</v>
      </c>
      <c r="U64" s="2"/>
      <c r="V64" s="7">
        <f t="shared" si="41"/>
        <v>1.4352280824443814E-2</v>
      </c>
      <c r="W64" s="2"/>
      <c r="X64" s="6">
        <f t="shared" si="42"/>
        <v>7801.679999999993</v>
      </c>
      <c r="Y64" s="2"/>
      <c r="Z64" s="7">
        <f t="shared" si="43"/>
        <v>4.2275904672107123E-2</v>
      </c>
    </row>
    <row r="65" spans="1:26" s="24" customFormat="1" hidden="1" outlineLevel="2" x14ac:dyDescent="0.25">
      <c r="A65" s="25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16516.310000000001</v>
      </c>
      <c r="E65" s="2"/>
      <c r="F65" s="7">
        <f t="shared" si="36"/>
        <v>7.7726007478695989E-3</v>
      </c>
      <c r="G65" s="2"/>
      <c r="H65" s="6">
        <v>15301</v>
      </c>
      <c r="I65" s="2"/>
      <c r="J65" s="7">
        <f t="shared" si="37"/>
        <v>7.2495526181256343E-3</v>
      </c>
      <c r="K65" s="2"/>
      <c r="L65" s="6">
        <f t="shared" si="38"/>
        <v>1215.3100000000013</v>
      </c>
      <c r="M65" s="2"/>
      <c r="N65" s="7">
        <f t="shared" si="39"/>
        <v>7.9426834847395683E-2</v>
      </c>
      <c r="O65" s="11"/>
      <c r="P65" s="6">
        <v>124592.33000000002</v>
      </c>
      <c r="Q65" s="2"/>
      <c r="R65" s="7">
        <f t="shared" si="40"/>
        <v>1.0072227156906838E-2</v>
      </c>
      <c r="S65" s="2"/>
      <c r="T65" s="6">
        <v>122408</v>
      </c>
      <c r="U65" s="2"/>
      <c r="V65" s="7">
        <f t="shared" si="41"/>
        <v>9.5199683061770127E-3</v>
      </c>
      <c r="W65" s="2"/>
      <c r="X65" s="6">
        <f t="shared" si="42"/>
        <v>2184.3300000000163</v>
      </c>
      <c r="Y65" s="2"/>
      <c r="Z65" s="7">
        <f t="shared" si="43"/>
        <v>1.7844667015227897E-2</v>
      </c>
    </row>
    <row r="66" spans="1:26" s="24" customFormat="1" hidden="1" outlineLevel="2" x14ac:dyDescent="0.25">
      <c r="A66" s="25"/>
      <c r="B66" s="11" t="str">
        <f>CONCATENATE("          ", "6324", " - ", "FURNITURE + FIXT DEPRECIATION")</f>
        <v xml:space="preserve">          6324 - FURNITURE + FIXT DEPRECIATION</v>
      </c>
      <c r="C66" s="11"/>
      <c r="D66" s="6"/>
      <c r="E66" s="2"/>
      <c r="F66" s="7">
        <f t="shared" si="36"/>
        <v>0</v>
      </c>
      <c r="G66" s="2"/>
      <c r="H66" s="6">
        <v>4476</v>
      </c>
      <c r="I66" s="2"/>
      <c r="J66" s="7">
        <f t="shared" si="37"/>
        <v>2.1207109024724098E-3</v>
      </c>
      <c r="K66" s="2"/>
      <c r="L66" s="6">
        <f t="shared" si="38"/>
        <v>-4476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22610</v>
      </c>
      <c r="U66" s="2"/>
      <c r="V66" s="7">
        <f t="shared" si="41"/>
        <v>1.7584347706249778E-3</v>
      </c>
      <c r="W66" s="2"/>
      <c r="X66" s="6">
        <f t="shared" si="42"/>
        <v>-22610</v>
      </c>
      <c r="Y66" s="2"/>
      <c r="Z66" s="7">
        <f t="shared" si="43"/>
        <v>-1</v>
      </c>
    </row>
    <row r="67" spans="1:26" s="24" customFormat="1" hidden="1" outlineLevel="2" x14ac:dyDescent="0.25">
      <c r="A67" s="25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424.25</v>
      </c>
      <c r="E67" s="2"/>
      <c r="F67" s="7">
        <f t="shared" si="36"/>
        <v>1.9965269889483044E-4</v>
      </c>
      <c r="G67" s="2"/>
      <c r="H67" s="6">
        <v>2174</v>
      </c>
      <c r="I67" s="2"/>
      <c r="J67" s="7">
        <f t="shared" si="37"/>
        <v>1.0300325071436593E-3</v>
      </c>
      <c r="K67" s="2"/>
      <c r="L67" s="6">
        <f t="shared" si="38"/>
        <v>-1749.75</v>
      </c>
      <c r="M67" s="2"/>
      <c r="N67" s="7">
        <f t="shared" si="39"/>
        <v>-0.80485280588776453</v>
      </c>
      <c r="O67" s="11"/>
      <c r="P67" s="6">
        <v>3394</v>
      </c>
      <c r="Q67" s="2"/>
      <c r="R67" s="7">
        <f t="shared" si="40"/>
        <v>2.7437595051430376E-4</v>
      </c>
      <c r="S67" s="2"/>
      <c r="T67" s="6">
        <v>12142</v>
      </c>
      <c r="U67" s="2"/>
      <c r="V67" s="7">
        <f t="shared" si="41"/>
        <v>9.4431291397295352E-4</v>
      </c>
      <c r="W67" s="2"/>
      <c r="X67" s="6">
        <f t="shared" si="42"/>
        <v>-8748</v>
      </c>
      <c r="Y67" s="2"/>
      <c r="Z67" s="7">
        <f t="shared" si="43"/>
        <v>-0.72047438642727724</v>
      </c>
    </row>
    <row r="68" spans="1:26" s="27" customFormat="1" outlineLevel="1" collapsed="1" x14ac:dyDescent="0.25">
      <c r="A68" s="26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SUM(OSRRefD22_6x_0)</f>
        <v>0</v>
      </c>
      <c r="E68" s="1"/>
      <c r="F68" s="5">
        <f t="shared" ref="F68:F72" si="44">IF(D$12=0,0,D68/D$12)</f>
        <v>0</v>
      </c>
      <c r="G68" s="1"/>
      <c r="H68" s="1">
        <f>SUM(OSRRefH22_6x_0)</f>
        <v>0</v>
      </c>
      <c r="I68" s="1"/>
      <c r="J68" s="5">
        <f t="shared" ref="J68:J72" si="45">IF(H$12=0,0,H68/H$12)</f>
        <v>0</v>
      </c>
      <c r="K68" s="1"/>
      <c r="L68" s="1">
        <f t="shared" ref="L68:L72" si="46">+D68-H68</f>
        <v>0</v>
      </c>
      <c r="M68" s="1"/>
      <c r="N68" s="5">
        <f t="shared" ref="N68:N72" si="47">IF(H68=0,0,L68/H68)</f>
        <v>0</v>
      </c>
      <c r="O68" s="13"/>
      <c r="P68" s="1">
        <f>SUM(OSRRefP22_6x_0)</f>
        <v>0.09</v>
      </c>
      <c r="Q68" s="1"/>
      <c r="R68" s="5">
        <f t="shared" ref="R68:R72" si="48">IF(P$12=0,0,P68/P$12)</f>
        <v>7.2757323353822445E-9</v>
      </c>
      <c r="S68" s="1"/>
      <c r="T68" s="1">
        <f>SUM(OSRRefT22_6x_0)</f>
        <v>0</v>
      </c>
      <c r="U68" s="1"/>
      <c r="V68" s="5">
        <f t="shared" ref="V68:V72" si="49">IF(T$12=0,0,T68/T$12)</f>
        <v>0</v>
      </c>
      <c r="W68" s="1"/>
      <c r="X68" s="1">
        <f t="shared" ref="X68:X72" si="50">+P68-T68</f>
        <v>0.09</v>
      </c>
      <c r="Y68" s="1"/>
      <c r="Z68" s="5">
        <f t="shared" ref="Z68:Z72" si="51">IF(T68=0,0,X68/T68)</f>
        <v>0</v>
      </c>
    </row>
    <row r="69" spans="1:26" s="24" customFormat="1" hidden="1" outlineLevel="2" x14ac:dyDescent="0.25">
      <c r="A69" s="25"/>
      <c r="B69" s="11" t="str">
        <f>CONCATENATE("          ", "6382", " - ", "DISCOUNTS/MARK DOWNS")</f>
        <v xml:space="preserve">          6382 - DISCOUNTS/MARK DOWNS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0.09</v>
      </c>
      <c r="Q69" s="2"/>
      <c r="R69" s="7">
        <f t="shared" si="48"/>
        <v>7.2757323353822445E-9</v>
      </c>
      <c r="S69" s="2"/>
      <c r="T69" s="6"/>
      <c r="U69" s="2"/>
      <c r="V69" s="7">
        <f t="shared" si="49"/>
        <v>0</v>
      </c>
      <c r="W69" s="2"/>
      <c r="X69" s="6">
        <f t="shared" si="50"/>
        <v>0.09</v>
      </c>
      <c r="Y69" s="2"/>
      <c r="Z69" s="7">
        <f t="shared" si="51"/>
        <v>0</v>
      </c>
    </row>
    <row r="70" spans="1:26" s="27" customFormat="1" outlineLevel="1" collapsed="1" x14ac:dyDescent="0.25">
      <c r="A70" s="26"/>
      <c r="B70" s="13" t="str">
        <f>CONCATENATE("     ","Donations                                         ")</f>
        <v xml:space="preserve">     Donations                                         </v>
      </c>
      <c r="C70" s="13"/>
      <c r="D70" s="1">
        <f>SUM(OSRRefD22_7x_0)</f>
        <v>18987.060000000001</v>
      </c>
      <c r="E70" s="1"/>
      <c r="F70" s="5">
        <f t="shared" si="44"/>
        <v>8.9353394769076718E-3</v>
      </c>
      <c r="G70" s="1"/>
      <c r="H70" s="1">
        <f>SUM(OSRRefH22_7x_0)</f>
        <v>15030</v>
      </c>
      <c r="I70" s="1"/>
      <c r="J70" s="5">
        <f t="shared" si="45"/>
        <v>7.1211539017337613E-3</v>
      </c>
      <c r="K70" s="1"/>
      <c r="L70" s="1">
        <f t="shared" si="46"/>
        <v>3957.0600000000013</v>
      </c>
      <c r="M70" s="1"/>
      <c r="N70" s="5">
        <f t="shared" si="47"/>
        <v>0.26327744510978052</v>
      </c>
      <c r="O70" s="13"/>
      <c r="P70" s="1">
        <f>SUM(OSRRefP22_7x_0)</f>
        <v>106142.95</v>
      </c>
      <c r="Q70" s="1"/>
      <c r="R70" s="5">
        <f t="shared" si="48"/>
        <v>8.5807521498651208E-3</v>
      </c>
      <c r="S70" s="1"/>
      <c r="T70" s="1">
        <f>SUM(OSRRefT22_7x_0)</f>
        <v>98634</v>
      </c>
      <c r="U70" s="1"/>
      <c r="V70" s="5">
        <f t="shared" si="49"/>
        <v>7.6710064204256545E-3</v>
      </c>
      <c r="W70" s="1"/>
      <c r="X70" s="1">
        <f t="shared" si="50"/>
        <v>7508.9499999999971</v>
      </c>
      <c r="Y70" s="1"/>
      <c r="Z70" s="5">
        <f t="shared" si="51"/>
        <v>7.6129427986292728E-2</v>
      </c>
    </row>
    <row r="71" spans="1:26" s="24" customFormat="1" hidden="1" outlineLevel="2" x14ac:dyDescent="0.25">
      <c r="A71" s="25"/>
      <c r="B71" s="11" t="str">
        <f>CONCATENATE("          ", "6396", " - ", "COUPONS-CHARTROOM")</f>
        <v xml:space="preserve">          6396 - COUPONS-CHARTROOM</v>
      </c>
      <c r="C71" s="11"/>
      <c r="D71" s="6"/>
      <c r="E71" s="2"/>
      <c r="F71" s="7">
        <f t="shared" si="44"/>
        <v>0</v>
      </c>
      <c r="G71" s="2"/>
      <c r="H71" s="6">
        <v>100</v>
      </c>
      <c r="I71" s="2"/>
      <c r="J71" s="7">
        <f t="shared" si="45"/>
        <v>4.737960014460254E-5</v>
      </c>
      <c r="K71" s="2"/>
      <c r="L71" s="6">
        <f t="shared" si="46"/>
        <v>-100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800</v>
      </c>
      <c r="U71" s="2"/>
      <c r="V71" s="7">
        <f t="shared" si="49"/>
        <v>6.2217948540468031E-5</v>
      </c>
      <c r="W71" s="2"/>
      <c r="X71" s="6">
        <f t="shared" si="50"/>
        <v>-800</v>
      </c>
      <c r="Y71" s="2"/>
      <c r="Z71" s="7">
        <f t="shared" si="51"/>
        <v>-1</v>
      </c>
    </row>
    <row r="72" spans="1:26" s="24" customFormat="1" hidden="1" outlineLevel="2" x14ac:dyDescent="0.25">
      <c r="A72" s="25"/>
      <c r="B72" s="11" t="str">
        <f>CONCATENATE("          ", "6399", " - ", "DONATION-ON CAMPUS")</f>
        <v xml:space="preserve">          6399 - DONATION-ON CAMPUS</v>
      </c>
      <c r="C72" s="11"/>
      <c r="D72" s="6">
        <v>18987.060000000001</v>
      </c>
      <c r="E72" s="2"/>
      <c r="F72" s="7">
        <f t="shared" si="44"/>
        <v>8.9353394769076718E-3</v>
      </c>
      <c r="G72" s="2"/>
      <c r="H72" s="6">
        <v>14930</v>
      </c>
      <c r="I72" s="2"/>
      <c r="J72" s="7">
        <f t="shared" si="45"/>
        <v>7.0737743015891596E-3</v>
      </c>
      <c r="K72" s="2"/>
      <c r="L72" s="6">
        <f t="shared" si="46"/>
        <v>4057.0600000000013</v>
      </c>
      <c r="M72" s="2"/>
      <c r="N72" s="7">
        <f t="shared" si="47"/>
        <v>0.27173878097789694</v>
      </c>
      <c r="O72" s="11"/>
      <c r="P72" s="6">
        <v>106142.95</v>
      </c>
      <c r="Q72" s="2"/>
      <c r="R72" s="7">
        <f t="shared" si="48"/>
        <v>8.5807521498651208E-3</v>
      </c>
      <c r="S72" s="2"/>
      <c r="T72" s="6">
        <v>97834</v>
      </c>
      <c r="U72" s="2"/>
      <c r="V72" s="7">
        <f t="shared" si="49"/>
        <v>7.6087884718851863E-3</v>
      </c>
      <c r="W72" s="2"/>
      <c r="X72" s="6">
        <f t="shared" si="50"/>
        <v>8308.9499999999971</v>
      </c>
      <c r="Y72" s="2"/>
      <c r="Z72" s="7">
        <f t="shared" si="51"/>
        <v>8.4929063515751135E-2</v>
      </c>
    </row>
    <row r="73" spans="1:26" s="27" customFormat="1" outlineLevel="1" collapsed="1" x14ac:dyDescent="0.25">
      <c r="A73" s="26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SUM(OSRRefD22_8x_0)</f>
        <v>113.93</v>
      </c>
      <c r="E73" s="1"/>
      <c r="F73" s="5">
        <f t="shared" ref="F73:F81" si="52">IF(D$12=0,0,D73/D$12)</f>
        <v>5.3615632257131491E-5</v>
      </c>
      <c r="G73" s="1"/>
      <c r="H73" s="1">
        <f>SUM(OSRRefH22_8x_0)</f>
        <v>830</v>
      </c>
      <c r="I73" s="1"/>
      <c r="J73" s="5">
        <f t="shared" ref="J73:J81" si="53">IF(H$12=0,0,H73/H$12)</f>
        <v>3.9325068120020106E-4</v>
      </c>
      <c r="K73" s="1"/>
      <c r="L73" s="1">
        <f t="shared" ref="L73:L81" si="54">+D73-H73</f>
        <v>-716.06999999999994</v>
      </c>
      <c r="M73" s="1"/>
      <c r="N73" s="5">
        <f t="shared" ref="N73:N81" si="55">IF(H73=0,0,L73/H73)</f>
        <v>-0.86273493975903603</v>
      </c>
      <c r="O73" s="13"/>
      <c r="P73" s="1">
        <f>SUM(OSRRefP22_8x_0)</f>
        <v>3285.01</v>
      </c>
      <c r="Q73" s="1"/>
      <c r="R73" s="5">
        <f t="shared" ref="R73:R81" si="56">IF(P$12=0,0,P73/P$12)</f>
        <v>2.6556503865615585E-4</v>
      </c>
      <c r="S73" s="1"/>
      <c r="T73" s="1">
        <f>SUM(OSRRefT22_8x_0)</f>
        <v>9490</v>
      </c>
      <c r="U73" s="1"/>
      <c r="V73" s="5">
        <f t="shared" ref="V73:V81" si="57">IF(T$12=0,0,T73/T$12)</f>
        <v>7.3806041456130197E-4</v>
      </c>
      <c r="W73" s="1"/>
      <c r="X73" s="1">
        <f t="shared" ref="X73:X81" si="58">+P73-T73</f>
        <v>-6204.99</v>
      </c>
      <c r="Y73" s="1"/>
      <c r="Z73" s="5">
        <f t="shared" ref="Z73:Z81" si="59">IF(T73=0,0,X73/T73)</f>
        <v>-0.653845100105374</v>
      </c>
    </row>
    <row r="74" spans="1:26" s="24" customFormat="1" hidden="1" outlineLevel="2" x14ac:dyDescent="0.25">
      <c r="A74" s="25"/>
      <c r="B74" s="11" t="str">
        <f>CONCATENATE("          ", "6277", " - ", "EMPLOYEE APPRECIATION")</f>
        <v xml:space="preserve">          6277 - EMPLOYEE APPRECIATION</v>
      </c>
      <c r="C74" s="11"/>
      <c r="D74" s="6">
        <v>113.93</v>
      </c>
      <c r="E74" s="2"/>
      <c r="F74" s="7">
        <f t="shared" si="52"/>
        <v>5.3615632257131491E-5</v>
      </c>
      <c r="G74" s="2"/>
      <c r="H74" s="6">
        <v>830</v>
      </c>
      <c r="I74" s="2"/>
      <c r="J74" s="7">
        <f t="shared" si="53"/>
        <v>3.9325068120020106E-4</v>
      </c>
      <c r="K74" s="2"/>
      <c r="L74" s="6">
        <f t="shared" si="54"/>
        <v>-716.06999999999994</v>
      </c>
      <c r="M74" s="2"/>
      <c r="N74" s="7">
        <f t="shared" si="55"/>
        <v>-0.86273493975903603</v>
      </c>
      <c r="O74" s="11"/>
      <c r="P74" s="6">
        <v>3285.01</v>
      </c>
      <c r="Q74" s="2"/>
      <c r="R74" s="7">
        <f t="shared" si="56"/>
        <v>2.6556503865615585E-4</v>
      </c>
      <c r="S74" s="2"/>
      <c r="T74" s="6">
        <v>9490</v>
      </c>
      <c r="U74" s="2"/>
      <c r="V74" s="7">
        <f t="shared" si="57"/>
        <v>7.3806041456130197E-4</v>
      </c>
      <c r="W74" s="2"/>
      <c r="X74" s="6">
        <f t="shared" si="58"/>
        <v>-6204.99</v>
      </c>
      <c r="Y74" s="2"/>
      <c r="Z74" s="7">
        <f t="shared" si="59"/>
        <v>-0.653845100105374</v>
      </c>
    </row>
    <row r="75" spans="1:26" s="27" customFormat="1" outlineLevel="1" collapsed="1" x14ac:dyDescent="0.25">
      <c r="A75" s="26"/>
      <c r="B75" s="13" t="str">
        <f>CONCATENATE("     ","Equipment Rental                                  ")</f>
        <v xml:space="preserve">     Equipment Rental                                  </v>
      </c>
      <c r="C75" s="13"/>
      <c r="D75" s="1">
        <f>SUM(OSRRefD22_9x_0)</f>
        <v>2527.4299999999998</v>
      </c>
      <c r="E75" s="1"/>
      <c r="F75" s="5">
        <f t="shared" si="52"/>
        <v>1.189412423730728E-3</v>
      </c>
      <c r="G75" s="1"/>
      <c r="H75" s="1">
        <f>SUM(OSRRefH22_9x_0)</f>
        <v>2180</v>
      </c>
      <c r="I75" s="1"/>
      <c r="J75" s="5">
        <f t="shared" si="53"/>
        <v>1.0328752831523353E-3</v>
      </c>
      <c r="K75" s="1"/>
      <c r="L75" s="1">
        <f t="shared" si="54"/>
        <v>347.42999999999984</v>
      </c>
      <c r="M75" s="1"/>
      <c r="N75" s="5">
        <f t="shared" si="55"/>
        <v>0.15937155963302746</v>
      </c>
      <c r="O75" s="13"/>
      <c r="P75" s="1">
        <f>SUM(OSRRefP22_9x_0)</f>
        <v>25984.62</v>
      </c>
      <c r="Q75" s="1"/>
      <c r="R75" s="5">
        <f t="shared" si="56"/>
        <v>2.1006348884068907E-3</v>
      </c>
      <c r="S75" s="1"/>
      <c r="T75" s="1">
        <f>SUM(OSRRefT22_9x_0)</f>
        <v>17511</v>
      </c>
      <c r="U75" s="1"/>
      <c r="V75" s="5">
        <f t="shared" si="57"/>
        <v>1.3618731211151695E-3</v>
      </c>
      <c r="W75" s="1"/>
      <c r="X75" s="1">
        <f t="shared" si="58"/>
        <v>8473.619999999999</v>
      </c>
      <c r="Y75" s="1"/>
      <c r="Z75" s="5">
        <f t="shared" si="59"/>
        <v>0.48390268973787898</v>
      </c>
    </row>
    <row r="76" spans="1:26" s="24" customFormat="1" hidden="1" outlineLevel="2" x14ac:dyDescent="0.25">
      <c r="A76" s="25"/>
      <c r="B76" s="11" t="str">
        <f>CONCATENATE("          ", "6351", " - ", "EQUIPMENT RENTAL")</f>
        <v xml:space="preserve">          6351 - EQUIPMENT RENTAL</v>
      </c>
      <c r="C76" s="11"/>
      <c r="D76" s="6">
        <v>2527.4299999999998</v>
      </c>
      <c r="E76" s="2"/>
      <c r="F76" s="7">
        <f t="shared" si="52"/>
        <v>1.189412423730728E-3</v>
      </c>
      <c r="G76" s="2"/>
      <c r="H76" s="6">
        <v>2180</v>
      </c>
      <c r="I76" s="2"/>
      <c r="J76" s="7">
        <f t="shared" si="53"/>
        <v>1.0328752831523353E-3</v>
      </c>
      <c r="K76" s="2"/>
      <c r="L76" s="6">
        <f t="shared" si="54"/>
        <v>347.42999999999984</v>
      </c>
      <c r="M76" s="2"/>
      <c r="N76" s="7">
        <f t="shared" si="55"/>
        <v>0.15937155963302746</v>
      </c>
      <c r="O76" s="11"/>
      <c r="P76" s="6">
        <v>25984.62</v>
      </c>
      <c r="Q76" s="2"/>
      <c r="R76" s="7">
        <f t="shared" si="56"/>
        <v>2.1006348884068907E-3</v>
      </c>
      <c r="S76" s="2"/>
      <c r="T76" s="6">
        <v>17511</v>
      </c>
      <c r="U76" s="2"/>
      <c r="V76" s="7">
        <f t="shared" si="57"/>
        <v>1.3618731211151695E-3</v>
      </c>
      <c r="W76" s="2"/>
      <c r="X76" s="6">
        <f t="shared" si="58"/>
        <v>8473.619999999999</v>
      </c>
      <c r="Y76" s="2"/>
      <c r="Z76" s="7">
        <f t="shared" si="59"/>
        <v>0.48390268973787898</v>
      </c>
    </row>
    <row r="77" spans="1:26" s="27" customFormat="1" outlineLevel="1" collapsed="1" x14ac:dyDescent="0.25">
      <c r="A77" s="26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SUM(OSRRefD22_10x_0)</f>
        <v>0</v>
      </c>
      <c r="E77" s="1"/>
      <c r="F77" s="5">
        <f t="shared" si="52"/>
        <v>0</v>
      </c>
      <c r="G77" s="1"/>
      <c r="H77" s="1">
        <f>SUM(OSRRefH22_10x_0)</f>
        <v>1</v>
      </c>
      <c r="I77" s="1"/>
      <c r="J77" s="5">
        <f t="shared" si="53"/>
        <v>4.7379600144602539E-7</v>
      </c>
      <c r="K77" s="1"/>
      <c r="L77" s="1">
        <f t="shared" si="54"/>
        <v>-1</v>
      </c>
      <c r="M77" s="1"/>
      <c r="N77" s="5">
        <f t="shared" si="55"/>
        <v>-1</v>
      </c>
      <c r="O77" s="13"/>
      <c r="P77" s="1">
        <f>SUM(OSRRefP22_10x_0)</f>
        <v>0</v>
      </c>
      <c r="Q77" s="1"/>
      <c r="R77" s="5">
        <f t="shared" si="56"/>
        <v>0</v>
      </c>
      <c r="S77" s="1"/>
      <c r="T77" s="1">
        <f>SUM(OSRRefT22_10x_0)</f>
        <v>8</v>
      </c>
      <c r="U77" s="1"/>
      <c r="V77" s="5">
        <f t="shared" si="57"/>
        <v>6.2217948540468033E-7</v>
      </c>
      <c r="W77" s="1"/>
      <c r="X77" s="1">
        <f t="shared" si="58"/>
        <v>-8</v>
      </c>
      <c r="Y77" s="1"/>
      <c r="Z77" s="5">
        <f t="shared" si="59"/>
        <v>-1</v>
      </c>
    </row>
    <row r="78" spans="1:26" s="24" customFormat="1" hidden="1" outlineLevel="2" x14ac:dyDescent="0.25">
      <c r="A78" s="25"/>
      <c r="B78" s="11" t="str">
        <f>CONCATENATE("          ", "6307", " - ", "POSTAGE")</f>
        <v xml:space="preserve">          6307 - POSTAGE</v>
      </c>
      <c r="C78" s="11"/>
      <c r="D78" s="6"/>
      <c r="E78" s="2"/>
      <c r="F78" s="7">
        <f t="shared" si="52"/>
        <v>0</v>
      </c>
      <c r="G78" s="2"/>
      <c r="H78" s="6">
        <v>1</v>
      </c>
      <c r="I78" s="2"/>
      <c r="J78" s="7">
        <f t="shared" si="53"/>
        <v>4.7379600144602539E-7</v>
      </c>
      <c r="K78" s="2"/>
      <c r="L78" s="6">
        <f t="shared" si="54"/>
        <v>-1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8</v>
      </c>
      <c r="U78" s="2"/>
      <c r="V78" s="7">
        <f t="shared" si="57"/>
        <v>6.2217948540468033E-7</v>
      </c>
      <c r="W78" s="2"/>
      <c r="X78" s="6">
        <f t="shared" si="58"/>
        <v>-8</v>
      </c>
      <c r="Y78" s="2"/>
      <c r="Z78" s="7">
        <f t="shared" si="59"/>
        <v>-1</v>
      </c>
    </row>
    <row r="79" spans="1:26" s="27" customFormat="1" outlineLevel="1" collapsed="1" x14ac:dyDescent="0.25">
      <c r="A79" s="26"/>
      <c r="B79" s="13" t="str">
        <f>CONCATENATE("     ","General                                           ")</f>
        <v xml:space="preserve">     General                                           </v>
      </c>
      <c r="C79" s="13"/>
      <c r="D79" s="1">
        <f>SUM(OSRRefD22_11x_0)</f>
        <v>7415.59</v>
      </c>
      <c r="E79" s="1"/>
      <c r="F79" s="5">
        <f t="shared" si="52"/>
        <v>3.4897879962227834E-3</v>
      </c>
      <c r="G79" s="1"/>
      <c r="H79" s="1">
        <f>SUM(OSRRefH22_11x_0)</f>
        <v>5221</v>
      </c>
      <c r="I79" s="1"/>
      <c r="J79" s="5">
        <f t="shared" si="53"/>
        <v>2.4736889235496985E-3</v>
      </c>
      <c r="K79" s="1"/>
      <c r="L79" s="1">
        <f t="shared" si="54"/>
        <v>2194.59</v>
      </c>
      <c r="M79" s="1"/>
      <c r="N79" s="5">
        <f t="shared" si="55"/>
        <v>0.42033901551426933</v>
      </c>
      <c r="O79" s="13"/>
      <c r="P79" s="1">
        <f>SUM(OSRRefP22_11x_0)</f>
        <v>90773.709999999992</v>
      </c>
      <c r="Q79" s="1"/>
      <c r="R79" s="5">
        <f t="shared" si="56"/>
        <v>7.3382801894401172E-3</v>
      </c>
      <c r="S79" s="1"/>
      <c r="T79" s="1">
        <f>SUM(OSRRefT22_11x_0)</f>
        <v>48244</v>
      </c>
      <c r="U79" s="1"/>
      <c r="V79" s="5">
        <f t="shared" si="57"/>
        <v>3.7520533867329247E-3</v>
      </c>
      <c r="W79" s="1"/>
      <c r="X79" s="1">
        <f t="shared" si="58"/>
        <v>42529.709999999992</v>
      </c>
      <c r="Y79" s="1"/>
      <c r="Z79" s="5">
        <f t="shared" si="59"/>
        <v>0.881554390183235</v>
      </c>
    </row>
    <row r="80" spans="1:26" s="24" customFormat="1" hidden="1" outlineLevel="2" x14ac:dyDescent="0.25">
      <c r="A80" s="25"/>
      <c r="B80" s="11" t="str">
        <f>CONCATENATE("          ", "6269", " - ", "ENTERTAINMENT")</f>
        <v xml:space="preserve">          6269 - ENTERTAINMENT</v>
      </c>
      <c r="C80" s="11"/>
      <c r="D80" s="6">
        <v>2700</v>
      </c>
      <c r="E80" s="2"/>
      <c r="F80" s="7">
        <f t="shared" si="52"/>
        <v>1.2706241296783552E-3</v>
      </c>
      <c r="G80" s="2"/>
      <c r="H80" s="6">
        <v>900</v>
      </c>
      <c r="I80" s="2"/>
      <c r="J80" s="7">
        <f t="shared" si="53"/>
        <v>4.2641640130142286E-4</v>
      </c>
      <c r="K80" s="2"/>
      <c r="L80" s="6">
        <f t="shared" si="54"/>
        <v>1800</v>
      </c>
      <c r="M80" s="2"/>
      <c r="N80" s="7">
        <f t="shared" si="55"/>
        <v>2</v>
      </c>
      <c r="O80" s="11"/>
      <c r="P80" s="6">
        <v>10050</v>
      </c>
      <c r="Q80" s="2"/>
      <c r="R80" s="7">
        <f t="shared" si="56"/>
        <v>8.1245677745101733E-4</v>
      </c>
      <c r="S80" s="2"/>
      <c r="T80" s="6">
        <v>5600</v>
      </c>
      <c r="U80" s="2"/>
      <c r="V80" s="7">
        <f t="shared" si="57"/>
        <v>4.3552563978327625E-4</v>
      </c>
      <c r="W80" s="2"/>
      <c r="X80" s="6">
        <f t="shared" si="58"/>
        <v>4450</v>
      </c>
      <c r="Y80" s="2"/>
      <c r="Z80" s="7">
        <f t="shared" si="59"/>
        <v>0.7946428571428571</v>
      </c>
    </row>
    <row r="81" spans="1:26" s="24" customFormat="1" hidden="1" outlineLevel="2" x14ac:dyDescent="0.25">
      <c r="A81" s="25"/>
      <c r="B81" s="11" t="str">
        <f>CONCATENATE("          ", "6279", " - ", "GENERAL EXPENSE")</f>
        <v xml:space="preserve">          6279 - GENERAL EXPENSE</v>
      </c>
      <c r="C81" s="11"/>
      <c r="D81" s="6">
        <v>4715.59</v>
      </c>
      <c r="E81" s="2"/>
      <c r="F81" s="7">
        <f t="shared" si="52"/>
        <v>2.2191638665444279E-3</v>
      </c>
      <c r="G81" s="2"/>
      <c r="H81" s="6">
        <v>4321</v>
      </c>
      <c r="I81" s="2"/>
      <c r="J81" s="7">
        <f t="shared" si="53"/>
        <v>2.0472725222482756E-3</v>
      </c>
      <c r="K81" s="2"/>
      <c r="L81" s="6">
        <f t="shared" si="54"/>
        <v>394.59000000000015</v>
      </c>
      <c r="M81" s="2"/>
      <c r="N81" s="7">
        <f t="shared" si="55"/>
        <v>9.1319139088174073E-2</v>
      </c>
      <c r="O81" s="11"/>
      <c r="P81" s="6">
        <v>80723.709999999992</v>
      </c>
      <c r="Q81" s="2"/>
      <c r="R81" s="7">
        <f t="shared" si="56"/>
        <v>6.5258234119891E-3</v>
      </c>
      <c r="S81" s="2"/>
      <c r="T81" s="6">
        <v>42644</v>
      </c>
      <c r="U81" s="2"/>
      <c r="V81" s="7">
        <f t="shared" si="57"/>
        <v>3.3165277469496485E-3</v>
      </c>
      <c r="W81" s="2"/>
      <c r="X81" s="6">
        <f t="shared" si="58"/>
        <v>38079.709999999992</v>
      </c>
      <c r="Y81" s="2"/>
      <c r="Z81" s="7">
        <f t="shared" si="59"/>
        <v>0.89296759215833388</v>
      </c>
    </row>
    <row r="82" spans="1:26" s="27" customFormat="1" outlineLevel="1" collapsed="1" x14ac:dyDescent="0.25">
      <c r="A82" s="26"/>
      <c r="B82" s="13" t="str">
        <f>CONCATENATE("     ","Insurance                                         ")</f>
        <v xml:space="preserve">     Insurance                                         </v>
      </c>
      <c r="C82" s="13"/>
      <c r="D82" s="1">
        <f>SUM(OSRRefD22_12x_0)</f>
        <v>10007.030000000001</v>
      </c>
      <c r="E82" s="1"/>
      <c r="F82" s="5">
        <f t="shared" ref="F82:F96" si="60">IF(D$12=0,0,D82/D$12)</f>
        <v>4.7093236238574783E-3</v>
      </c>
      <c r="G82" s="1"/>
      <c r="H82" s="1">
        <f>SUM(OSRRefH22_12x_0)</f>
        <v>4009</v>
      </c>
      <c r="I82" s="1"/>
      <c r="J82" s="5">
        <f t="shared" ref="J82:J96" si="61">IF(H$12=0,0,H82/H$12)</f>
        <v>1.8994481697971158E-3</v>
      </c>
      <c r="K82" s="1"/>
      <c r="L82" s="1">
        <f t="shared" ref="L82:L96" si="62">+D82-H82</f>
        <v>5998.0300000000007</v>
      </c>
      <c r="M82" s="1"/>
      <c r="N82" s="5">
        <f t="shared" ref="N82:N96" si="63">IF(H82=0,0,L82/H82)</f>
        <v>1.4961411823397357</v>
      </c>
      <c r="O82" s="13"/>
      <c r="P82" s="1">
        <f>SUM(OSRRefP22_12x_0)</f>
        <v>39729.24</v>
      </c>
      <c r="Q82" s="1"/>
      <c r="R82" s="5">
        <f t="shared" ref="R82:R96" si="64">IF(P$12=0,0,P82/P$12)</f>
        <v>3.2117701792017963E-3</v>
      </c>
      <c r="S82" s="1"/>
      <c r="T82" s="1">
        <f>SUM(OSRRefT22_12x_0)</f>
        <v>32072</v>
      </c>
      <c r="U82" s="1"/>
      <c r="V82" s="5">
        <f t="shared" ref="V82:V96" si="65">IF(T$12=0,0,T82/T$12)</f>
        <v>2.4943175569873636E-3</v>
      </c>
      <c r="W82" s="1"/>
      <c r="X82" s="1">
        <f t="shared" ref="X82:X96" si="66">+P82-T82</f>
        <v>7657.239999999998</v>
      </c>
      <c r="Y82" s="1"/>
      <c r="Z82" s="5">
        <f t="shared" ref="Z82:Z96" si="67">IF(T82=0,0,X82/T82)</f>
        <v>0.23875155899226733</v>
      </c>
    </row>
    <row r="83" spans="1:26" s="24" customFormat="1" hidden="1" outlineLevel="2" x14ac:dyDescent="0.25">
      <c r="A83" s="25"/>
      <c r="B83" s="11" t="str">
        <f>CONCATENATE("          ", "6314", " - ", "LIABILITY INSURANCE")</f>
        <v xml:space="preserve">          6314 - LIABILITY INSURANCE</v>
      </c>
      <c r="C83" s="11"/>
      <c r="D83" s="6">
        <v>10007.030000000001</v>
      </c>
      <c r="E83" s="2"/>
      <c r="F83" s="7">
        <f t="shared" si="60"/>
        <v>4.7093236238574783E-3</v>
      </c>
      <c r="G83" s="2"/>
      <c r="H83" s="6">
        <v>4009</v>
      </c>
      <c r="I83" s="2"/>
      <c r="J83" s="7">
        <f t="shared" si="61"/>
        <v>1.8994481697971158E-3</v>
      </c>
      <c r="K83" s="2"/>
      <c r="L83" s="6">
        <f t="shared" si="62"/>
        <v>5998.0300000000007</v>
      </c>
      <c r="M83" s="2"/>
      <c r="N83" s="7">
        <f t="shared" si="63"/>
        <v>1.4961411823397357</v>
      </c>
      <c r="O83" s="11"/>
      <c r="P83" s="6">
        <v>39729.24</v>
      </c>
      <c r="Q83" s="2"/>
      <c r="R83" s="7">
        <f t="shared" si="64"/>
        <v>3.2117701792017963E-3</v>
      </c>
      <c r="S83" s="2"/>
      <c r="T83" s="6">
        <v>32072</v>
      </c>
      <c r="U83" s="2"/>
      <c r="V83" s="7">
        <f t="shared" si="65"/>
        <v>2.4943175569873636E-3</v>
      </c>
      <c r="W83" s="2"/>
      <c r="X83" s="6">
        <f t="shared" si="66"/>
        <v>7657.239999999998</v>
      </c>
      <c r="Y83" s="2"/>
      <c r="Z83" s="7">
        <f t="shared" si="67"/>
        <v>0.23875155899226733</v>
      </c>
    </row>
    <row r="84" spans="1:26" s="27" customFormat="1" outlineLevel="1" collapsed="1" x14ac:dyDescent="0.25">
      <c r="A84" s="26"/>
      <c r="B84" s="13" t="str">
        <f>CONCATENATE("     ","Interest                                          ")</f>
        <v xml:space="preserve">     Interest                                          </v>
      </c>
      <c r="C84" s="13"/>
      <c r="D84" s="1">
        <f>SUM(OSRRefD22_13x_0)</f>
        <v>7754</v>
      </c>
      <c r="E84" s="1"/>
      <c r="F84" s="5">
        <f t="shared" si="60"/>
        <v>3.6490442598244321E-3</v>
      </c>
      <c r="G84" s="1"/>
      <c r="H84" s="1">
        <f>SUM(OSRRefH22_13x_0)</f>
        <v>7754</v>
      </c>
      <c r="I84" s="1"/>
      <c r="J84" s="5">
        <f t="shared" si="61"/>
        <v>3.6738141952124808E-3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SUM(OSRRefP22_13x_0)</f>
        <v>61639.049999999996</v>
      </c>
      <c r="Q84" s="1"/>
      <c r="R84" s="5">
        <f t="shared" si="64"/>
        <v>4.9829914356360324E-3</v>
      </c>
      <c r="S84" s="1"/>
      <c r="T84" s="1">
        <f>SUM(OSRRefT22_13x_0)</f>
        <v>62032</v>
      </c>
      <c r="U84" s="1"/>
      <c r="V84" s="5">
        <f t="shared" si="65"/>
        <v>4.824379729827891E-3</v>
      </c>
      <c r="W84" s="1"/>
      <c r="X84" s="1">
        <f t="shared" si="66"/>
        <v>-392.95000000000437</v>
      </c>
      <c r="Y84" s="1"/>
      <c r="Z84" s="5">
        <f t="shared" si="67"/>
        <v>-6.3346337374259147E-3</v>
      </c>
    </row>
    <row r="85" spans="1:26" s="24" customFormat="1" hidden="1" outlineLevel="2" x14ac:dyDescent="0.25">
      <c r="A85" s="25"/>
      <c r="B85" s="11" t="str">
        <f>CONCATENATE("          ", "6401", " - ", "INTEREST EXPENSE")</f>
        <v xml:space="preserve">          6401 - INTEREST EXPENSE</v>
      </c>
      <c r="C85" s="11"/>
      <c r="D85" s="6">
        <v>7754</v>
      </c>
      <c r="E85" s="2"/>
      <c r="F85" s="7">
        <f t="shared" si="60"/>
        <v>3.6490442598244321E-3</v>
      </c>
      <c r="G85" s="2"/>
      <c r="H85" s="6">
        <v>7754</v>
      </c>
      <c r="I85" s="2"/>
      <c r="J85" s="7">
        <f t="shared" si="61"/>
        <v>3.6738141952124808E-3</v>
      </c>
      <c r="K85" s="2"/>
      <c r="L85" s="6">
        <f t="shared" si="62"/>
        <v>0</v>
      </c>
      <c r="M85" s="2"/>
      <c r="N85" s="7">
        <f t="shared" si="63"/>
        <v>0</v>
      </c>
      <c r="O85" s="11"/>
      <c r="P85" s="6">
        <v>61639.049999999996</v>
      </c>
      <c r="Q85" s="2"/>
      <c r="R85" s="7">
        <f t="shared" si="64"/>
        <v>4.9829914356360324E-3</v>
      </c>
      <c r="S85" s="2"/>
      <c r="T85" s="6">
        <v>62032</v>
      </c>
      <c r="U85" s="2"/>
      <c r="V85" s="7">
        <f t="shared" si="65"/>
        <v>4.824379729827891E-3</v>
      </c>
      <c r="W85" s="2"/>
      <c r="X85" s="6">
        <f t="shared" si="66"/>
        <v>-392.95000000000437</v>
      </c>
      <c r="Y85" s="2"/>
      <c r="Z85" s="7">
        <f t="shared" si="67"/>
        <v>-6.3346337374259147E-3</v>
      </c>
    </row>
    <row r="86" spans="1:26" s="27" customFormat="1" outlineLevel="1" collapsed="1" x14ac:dyDescent="0.25">
      <c r="A86" s="26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SUM(OSRRefD22_14x_0)</f>
        <v>0</v>
      </c>
      <c r="E86" s="1"/>
      <c r="F86" s="5">
        <f t="shared" si="60"/>
        <v>0</v>
      </c>
      <c r="G86" s="1"/>
      <c r="H86" s="1">
        <f>SUM(OSRRefH22_14x_0)</f>
        <v>0</v>
      </c>
      <c r="I86" s="1"/>
      <c r="J86" s="5">
        <f t="shared" si="61"/>
        <v>0</v>
      </c>
      <c r="K86" s="1"/>
      <c r="L86" s="1">
        <f t="shared" si="62"/>
        <v>0</v>
      </c>
      <c r="M86" s="1"/>
      <c r="N86" s="5">
        <f t="shared" si="63"/>
        <v>0</v>
      </c>
      <c r="O86" s="13"/>
      <c r="P86" s="1">
        <f>SUM(OSRRefP22_14x_0)</f>
        <v>125</v>
      </c>
      <c r="Q86" s="1"/>
      <c r="R86" s="5">
        <f t="shared" si="64"/>
        <v>1.0105183799142007E-5</v>
      </c>
      <c r="S86" s="1"/>
      <c r="T86" s="1">
        <f>SUM(OSRRefT22_14x_0)</f>
        <v>0</v>
      </c>
      <c r="U86" s="1"/>
      <c r="V86" s="5">
        <f t="shared" si="65"/>
        <v>0</v>
      </c>
      <c r="W86" s="1"/>
      <c r="X86" s="1">
        <f t="shared" si="66"/>
        <v>125</v>
      </c>
      <c r="Y86" s="1"/>
      <c r="Z86" s="5">
        <f t="shared" si="67"/>
        <v>0</v>
      </c>
    </row>
    <row r="87" spans="1:26" s="24" customFormat="1" hidden="1" outlineLevel="2" x14ac:dyDescent="0.25">
      <c r="A87" s="25"/>
      <c r="B87" s="11" t="str">
        <f>CONCATENATE("          ", "6336", " - ", "PROFESSIONAL SERVICES")</f>
        <v xml:space="preserve">          6336 - PROFESSIONAL SERVICES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125</v>
      </c>
      <c r="Q87" s="2"/>
      <c r="R87" s="7">
        <f t="shared" si="64"/>
        <v>1.0105183799142007E-5</v>
      </c>
      <c r="S87" s="2"/>
      <c r="T87" s="6"/>
      <c r="U87" s="2"/>
      <c r="V87" s="7">
        <f t="shared" si="65"/>
        <v>0</v>
      </c>
      <c r="W87" s="2"/>
      <c r="X87" s="6">
        <f t="shared" si="66"/>
        <v>125</v>
      </c>
      <c r="Y87" s="2"/>
      <c r="Z87" s="7">
        <f t="shared" si="67"/>
        <v>0</v>
      </c>
    </row>
    <row r="88" spans="1:26" s="27" customFormat="1" outlineLevel="1" collapsed="1" x14ac:dyDescent="0.25">
      <c r="A88" s="26"/>
      <c r="B88" s="13" t="str">
        <f>CONCATENATE("     ","R/H Commissions                                   ")</f>
        <v xml:space="preserve">     R/H Commissions                                   </v>
      </c>
      <c r="C88" s="13"/>
      <c r="D88" s="1">
        <f>SUM(OSRRefD22_15x_0)</f>
        <v>102261.27</v>
      </c>
      <c r="E88" s="1"/>
      <c r="F88" s="5">
        <f t="shared" si="60"/>
        <v>4.812431007168641E-2</v>
      </c>
      <c r="G88" s="1"/>
      <c r="H88" s="1">
        <f>SUM(OSRRefH22_15x_0)</f>
        <v>103672</v>
      </c>
      <c r="I88" s="1"/>
      <c r="J88" s="5">
        <f t="shared" si="61"/>
        <v>4.9119379061912348E-2</v>
      </c>
      <c r="K88" s="1"/>
      <c r="L88" s="1">
        <f t="shared" si="62"/>
        <v>-1410.7299999999959</v>
      </c>
      <c r="M88" s="1"/>
      <c r="N88" s="5">
        <f t="shared" si="63"/>
        <v>-1.3607627903387568E-2</v>
      </c>
      <c r="O88" s="13"/>
      <c r="P88" s="1">
        <f>SUM(OSRRefP22_15x_0)</f>
        <v>626051.28</v>
      </c>
      <c r="Q88" s="1"/>
      <c r="R88" s="5">
        <f t="shared" si="64"/>
        <v>5.0610906016704933E-2</v>
      </c>
      <c r="S88" s="1"/>
      <c r="T88" s="1">
        <f>SUM(OSRRefT22_15x_0)</f>
        <v>635636</v>
      </c>
      <c r="U88" s="1"/>
      <c r="V88" s="5">
        <f t="shared" si="65"/>
        <v>4.9434959923086171E-2</v>
      </c>
      <c r="W88" s="1"/>
      <c r="X88" s="1">
        <f t="shared" si="66"/>
        <v>-9584.7199999999721</v>
      </c>
      <c r="Y88" s="1"/>
      <c r="Z88" s="5">
        <f t="shared" si="67"/>
        <v>-1.5078944553171898E-2</v>
      </c>
    </row>
    <row r="89" spans="1:26" s="24" customFormat="1" hidden="1" outlineLevel="2" x14ac:dyDescent="0.25">
      <c r="A89" s="25"/>
      <c r="B89" s="11" t="str">
        <f>CONCATENATE("          ", "6387", " - ", "COMMISSION DUE HOUSING")</f>
        <v xml:space="preserve">          6387 - COMMISSION DUE HOUSING</v>
      </c>
      <c r="C89" s="11"/>
      <c r="D89" s="6">
        <v>102261.27</v>
      </c>
      <c r="E89" s="2"/>
      <c r="F89" s="7">
        <f t="shared" si="60"/>
        <v>4.812431007168641E-2</v>
      </c>
      <c r="G89" s="2"/>
      <c r="H89" s="6">
        <v>103672</v>
      </c>
      <c r="I89" s="2"/>
      <c r="J89" s="7">
        <f t="shared" si="61"/>
        <v>4.9119379061912348E-2</v>
      </c>
      <c r="K89" s="2"/>
      <c r="L89" s="6">
        <f t="shared" si="62"/>
        <v>-1410.7299999999959</v>
      </c>
      <c r="M89" s="2"/>
      <c r="N89" s="7">
        <f t="shared" si="63"/>
        <v>-1.3607627903387568E-2</v>
      </c>
      <c r="O89" s="11"/>
      <c r="P89" s="6">
        <v>626051.28</v>
      </c>
      <c r="Q89" s="2"/>
      <c r="R89" s="7">
        <f t="shared" si="64"/>
        <v>5.0610906016704933E-2</v>
      </c>
      <c r="S89" s="2"/>
      <c r="T89" s="6">
        <v>635636</v>
      </c>
      <c r="U89" s="2"/>
      <c r="V89" s="7">
        <f t="shared" si="65"/>
        <v>4.9434959923086171E-2</v>
      </c>
      <c r="W89" s="2"/>
      <c r="X89" s="6">
        <f t="shared" si="66"/>
        <v>-9584.7199999999721</v>
      </c>
      <c r="Y89" s="2"/>
      <c r="Z89" s="7">
        <f t="shared" si="67"/>
        <v>-1.5078944553171898E-2</v>
      </c>
    </row>
    <row r="90" spans="1:26" s="27" customFormat="1" outlineLevel="1" collapsed="1" x14ac:dyDescent="0.25">
      <c r="A90" s="26"/>
      <c r="B90" s="13" t="str">
        <f>CONCATENATE("     ","Rent                                              ")</f>
        <v xml:space="preserve">     Rent                                              </v>
      </c>
      <c r="C90" s="13"/>
      <c r="D90" s="1">
        <f>SUM(OSRRefD22_16x_0)</f>
        <v>1850</v>
      </c>
      <c r="E90" s="1"/>
      <c r="F90" s="5">
        <f t="shared" si="60"/>
        <v>8.7061282959442863E-4</v>
      </c>
      <c r="G90" s="1"/>
      <c r="H90" s="1">
        <f>SUM(OSRRefH22_16x_0)</f>
        <v>1850</v>
      </c>
      <c r="I90" s="1"/>
      <c r="J90" s="5">
        <f t="shared" si="61"/>
        <v>8.7652260267514701E-4</v>
      </c>
      <c r="K90" s="1"/>
      <c r="L90" s="1">
        <f t="shared" si="62"/>
        <v>0</v>
      </c>
      <c r="M90" s="1"/>
      <c r="N90" s="5">
        <f t="shared" si="63"/>
        <v>0</v>
      </c>
      <c r="O90" s="13"/>
      <c r="P90" s="1">
        <f>SUM(OSRRefP22_16x_0)</f>
        <v>14800</v>
      </c>
      <c r="Q90" s="1"/>
      <c r="R90" s="5">
        <f t="shared" si="64"/>
        <v>1.1964537618184136E-3</v>
      </c>
      <c r="S90" s="1"/>
      <c r="T90" s="1">
        <f>SUM(OSRRefT22_16x_0)</f>
        <v>14800</v>
      </c>
      <c r="U90" s="1"/>
      <c r="V90" s="5">
        <f t="shared" si="65"/>
        <v>1.1510320479986586E-3</v>
      </c>
      <c r="W90" s="1"/>
      <c r="X90" s="1">
        <f t="shared" si="66"/>
        <v>0</v>
      </c>
      <c r="Y90" s="1"/>
      <c r="Z90" s="5">
        <f t="shared" si="67"/>
        <v>0</v>
      </c>
    </row>
    <row r="91" spans="1:26" s="24" customFormat="1" hidden="1" outlineLevel="2" x14ac:dyDescent="0.25">
      <c r="A91" s="25"/>
      <c r="B91" s="11" t="str">
        <f>CONCATENATE("          ", "6273", " - ", "RENT")</f>
        <v xml:space="preserve">          6273 - RENT</v>
      </c>
      <c r="C91" s="11"/>
      <c r="D91" s="6">
        <v>1850</v>
      </c>
      <c r="E91" s="2"/>
      <c r="F91" s="7">
        <f t="shared" si="60"/>
        <v>8.7061282959442863E-4</v>
      </c>
      <c r="G91" s="2"/>
      <c r="H91" s="6">
        <v>1850</v>
      </c>
      <c r="I91" s="2"/>
      <c r="J91" s="7">
        <f t="shared" si="61"/>
        <v>8.7652260267514701E-4</v>
      </c>
      <c r="K91" s="2"/>
      <c r="L91" s="6">
        <f t="shared" si="62"/>
        <v>0</v>
      </c>
      <c r="M91" s="2"/>
      <c r="N91" s="7">
        <f t="shared" si="63"/>
        <v>0</v>
      </c>
      <c r="O91" s="11"/>
      <c r="P91" s="6">
        <v>14800</v>
      </c>
      <c r="Q91" s="2"/>
      <c r="R91" s="7">
        <f t="shared" si="64"/>
        <v>1.1964537618184136E-3</v>
      </c>
      <c r="S91" s="2"/>
      <c r="T91" s="6">
        <v>14800</v>
      </c>
      <c r="U91" s="2"/>
      <c r="V91" s="7">
        <f t="shared" si="65"/>
        <v>1.1510320479986586E-3</v>
      </c>
      <c r="W91" s="2"/>
      <c r="X91" s="6">
        <f t="shared" si="66"/>
        <v>0</v>
      </c>
      <c r="Y91" s="2"/>
      <c r="Z91" s="7">
        <f t="shared" si="67"/>
        <v>0</v>
      </c>
    </row>
    <row r="92" spans="1:26" s="27" customFormat="1" outlineLevel="1" collapsed="1" x14ac:dyDescent="0.25">
      <c r="A92" s="26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SUM(OSRRefD22_17x_0)</f>
        <v>54029.520000000004</v>
      </c>
      <c r="E92" s="1"/>
      <c r="F92" s="5">
        <f t="shared" si="60"/>
        <v>2.5426374750718257E-2</v>
      </c>
      <c r="G92" s="1"/>
      <c r="H92" s="1">
        <f>SUM(OSRRefH22_17x_0)</f>
        <v>42962</v>
      </c>
      <c r="I92" s="1"/>
      <c r="J92" s="5">
        <f t="shared" si="61"/>
        <v>2.0355223814124142E-2</v>
      </c>
      <c r="K92" s="1"/>
      <c r="L92" s="1">
        <f t="shared" si="62"/>
        <v>11067.520000000004</v>
      </c>
      <c r="M92" s="1"/>
      <c r="N92" s="5">
        <f t="shared" si="63"/>
        <v>0.25761184302406787</v>
      </c>
      <c r="O92" s="13"/>
      <c r="P92" s="1">
        <f>SUM(OSRRefP22_17x_0)</f>
        <v>254768.76</v>
      </c>
      <c r="Q92" s="1"/>
      <c r="R92" s="5">
        <f t="shared" si="64"/>
        <v>2.0595881168635987E-2</v>
      </c>
      <c r="S92" s="1"/>
      <c r="T92" s="1">
        <f>SUM(OSRRefT22_17x_0)</f>
        <v>212882</v>
      </c>
      <c r="U92" s="1"/>
      <c r="V92" s="5">
        <f t="shared" si="65"/>
        <v>1.6556351651489894E-2</v>
      </c>
      <c r="W92" s="1"/>
      <c r="X92" s="1">
        <f t="shared" si="66"/>
        <v>41886.760000000009</v>
      </c>
      <c r="Y92" s="1"/>
      <c r="Z92" s="5">
        <f t="shared" si="67"/>
        <v>0.19676045884574558</v>
      </c>
    </row>
    <row r="93" spans="1:26" s="24" customFormat="1" hidden="1" outlineLevel="2" x14ac:dyDescent="0.25">
      <c r="A93" s="25"/>
      <c r="B93" s="11" t="str">
        <f>CONCATENATE("          ", "6371", " - ", "COMPUTER SOFTWARE MAINTENANCE")</f>
        <v xml:space="preserve">          6371 - COMPUTER SOFTWARE MAINTENANCE</v>
      </c>
      <c r="C93" s="11"/>
      <c r="D93" s="6">
        <v>40245</v>
      </c>
      <c r="E93" s="2"/>
      <c r="F93" s="7">
        <f t="shared" si="60"/>
        <v>1.8939358555150151E-2</v>
      </c>
      <c r="G93" s="2"/>
      <c r="H93" s="6">
        <v>11047</v>
      </c>
      <c r="I93" s="2"/>
      <c r="J93" s="7">
        <f t="shared" si="61"/>
        <v>5.2340244279742423E-3</v>
      </c>
      <c r="K93" s="2"/>
      <c r="L93" s="6">
        <f t="shared" si="62"/>
        <v>29198</v>
      </c>
      <c r="M93" s="2"/>
      <c r="N93" s="7">
        <f t="shared" si="63"/>
        <v>2.6430705168824113</v>
      </c>
      <c r="O93" s="11"/>
      <c r="P93" s="6">
        <v>73995.62</v>
      </c>
      <c r="Q93" s="2"/>
      <c r="R93" s="7">
        <f t="shared" si="64"/>
        <v>5.9819147234517452E-3</v>
      </c>
      <c r="S93" s="2"/>
      <c r="T93" s="6">
        <v>23326</v>
      </c>
      <c r="U93" s="2"/>
      <c r="V93" s="7">
        <f t="shared" si="65"/>
        <v>1.8141198345686966E-3</v>
      </c>
      <c r="W93" s="2"/>
      <c r="X93" s="6">
        <f t="shared" si="66"/>
        <v>50669.619999999995</v>
      </c>
      <c r="Y93" s="2"/>
      <c r="Z93" s="7">
        <f t="shared" si="67"/>
        <v>2.1722378461802281</v>
      </c>
    </row>
    <row r="94" spans="1:26" s="24" customFormat="1" hidden="1" outlineLevel="2" x14ac:dyDescent="0.25">
      <c r="A94" s="25"/>
      <c r="B94" s="11" t="str">
        <f>CONCATENATE("          ", "6372", " - ", "COMPUTER HARDWARE MAINTENANCE")</f>
        <v xml:space="preserve">          6372 - COMPUTER HARDWARE MAINTENANCE</v>
      </c>
      <c r="C94" s="11"/>
      <c r="D94" s="6"/>
      <c r="E94" s="2"/>
      <c r="F94" s="7">
        <f t="shared" si="60"/>
        <v>0</v>
      </c>
      <c r="G94" s="2"/>
      <c r="H94" s="6"/>
      <c r="I94" s="2"/>
      <c r="J94" s="7">
        <f t="shared" si="61"/>
        <v>0</v>
      </c>
      <c r="K94" s="2"/>
      <c r="L94" s="6">
        <f t="shared" si="62"/>
        <v>0</v>
      </c>
      <c r="M94" s="2"/>
      <c r="N94" s="7">
        <f t="shared" si="63"/>
        <v>0</v>
      </c>
      <c r="O94" s="11"/>
      <c r="P94" s="6">
        <v>-0.01</v>
      </c>
      <c r="Q94" s="2"/>
      <c r="R94" s="7">
        <f t="shared" si="64"/>
        <v>-8.0841470393136058E-10</v>
      </c>
      <c r="S94" s="2"/>
      <c r="T94" s="6">
        <v>340</v>
      </c>
      <c r="U94" s="2"/>
      <c r="V94" s="7">
        <f t="shared" si="65"/>
        <v>2.6442628129698915E-5</v>
      </c>
      <c r="W94" s="2"/>
      <c r="X94" s="6">
        <f t="shared" si="66"/>
        <v>-340.01</v>
      </c>
      <c r="Y94" s="2"/>
      <c r="Z94" s="7">
        <f t="shared" si="67"/>
        <v>-1.0000294117647059</v>
      </c>
    </row>
    <row r="95" spans="1:26" s="24" customFormat="1" hidden="1" outlineLevel="2" x14ac:dyDescent="0.25">
      <c r="A95" s="25"/>
      <c r="B95" s="11" t="str">
        <f>CONCATENATE("          ", "6373", " - ", "MAINTENANCE CONTRACTS")</f>
        <v xml:space="preserve">          6373 - MAINTENANCE CONTRACTS</v>
      </c>
      <c r="C95" s="11"/>
      <c r="D95" s="6">
        <v>6850.08</v>
      </c>
      <c r="E95" s="2"/>
      <c r="F95" s="7">
        <f t="shared" si="60"/>
        <v>3.2236581252692992E-3</v>
      </c>
      <c r="G95" s="2"/>
      <c r="H95" s="6">
        <v>4155</v>
      </c>
      <c r="I95" s="2"/>
      <c r="J95" s="7">
        <f t="shared" si="61"/>
        <v>1.9686223860082355E-3</v>
      </c>
      <c r="K95" s="2"/>
      <c r="L95" s="6">
        <f t="shared" si="62"/>
        <v>2695.08</v>
      </c>
      <c r="M95" s="2"/>
      <c r="N95" s="7">
        <f t="shared" si="63"/>
        <v>0.64863537906137181</v>
      </c>
      <c r="O95" s="11"/>
      <c r="P95" s="6">
        <v>72452.51999999999</v>
      </c>
      <c r="Q95" s="2"/>
      <c r="R95" s="7">
        <f t="shared" si="64"/>
        <v>5.8571682504880967E-3</v>
      </c>
      <c r="S95" s="2"/>
      <c r="T95" s="6">
        <v>24011</v>
      </c>
      <c r="U95" s="2"/>
      <c r="V95" s="7">
        <f t="shared" si="65"/>
        <v>1.8673939530064723E-3</v>
      </c>
      <c r="W95" s="2"/>
      <c r="X95" s="6">
        <f t="shared" si="66"/>
        <v>48441.51999999999</v>
      </c>
      <c r="Y95" s="2"/>
      <c r="Z95" s="7">
        <f t="shared" si="67"/>
        <v>2.0174719920036646</v>
      </c>
    </row>
    <row r="96" spans="1:26" s="24" customFormat="1" hidden="1" outlineLevel="2" x14ac:dyDescent="0.25">
      <c r="A96" s="25"/>
      <c r="B96" s="11" t="str">
        <f>CONCATENATE("          ", "6375", " - ", "OUTSIDE REPAIRS &amp; MAINTENANCE")</f>
        <v xml:space="preserve">          6375 - OUTSIDE REPAIRS &amp; MAINTENANCE</v>
      </c>
      <c r="C96" s="11"/>
      <c r="D96" s="6">
        <v>6934.44</v>
      </c>
      <c r="E96" s="2"/>
      <c r="F96" s="7">
        <f t="shared" si="60"/>
        <v>3.263358070298805E-3</v>
      </c>
      <c r="G96" s="2"/>
      <c r="H96" s="6">
        <v>27760</v>
      </c>
      <c r="I96" s="2"/>
      <c r="J96" s="7">
        <f t="shared" si="61"/>
        <v>1.3152577000141665E-2</v>
      </c>
      <c r="K96" s="2"/>
      <c r="L96" s="6">
        <f t="shared" si="62"/>
        <v>-20825.560000000001</v>
      </c>
      <c r="M96" s="2"/>
      <c r="N96" s="7">
        <f t="shared" si="63"/>
        <v>-0.75020028818443807</v>
      </c>
      <c r="O96" s="11"/>
      <c r="P96" s="6">
        <v>108320.63</v>
      </c>
      <c r="Q96" s="2"/>
      <c r="R96" s="7">
        <f t="shared" si="64"/>
        <v>8.7567990031108458E-3</v>
      </c>
      <c r="S96" s="2"/>
      <c r="T96" s="6">
        <v>165205</v>
      </c>
      <c r="U96" s="2"/>
      <c r="V96" s="7">
        <f t="shared" si="65"/>
        <v>1.2848395235785027E-2</v>
      </c>
      <c r="W96" s="2"/>
      <c r="X96" s="6">
        <f t="shared" si="66"/>
        <v>-56884.369999999995</v>
      </c>
      <c r="Y96" s="2"/>
      <c r="Z96" s="7">
        <f t="shared" si="67"/>
        <v>-0.3443259586574256</v>
      </c>
    </row>
    <row r="97" spans="1:26" s="27" customFormat="1" outlineLevel="1" collapsed="1" x14ac:dyDescent="0.25">
      <c r="A97" s="26"/>
      <c r="B97" s="13" t="str">
        <f>CONCATENATE("     ","Royalty &amp; Commissions                             ")</f>
        <v xml:space="preserve">     Royalty &amp; Commissions                             </v>
      </c>
      <c r="C97" s="13"/>
      <c r="D97" s="1">
        <f>SUM(OSRRefD22_18x_0)</f>
        <v>57281.539999999994</v>
      </c>
      <c r="E97" s="1"/>
      <c r="F97" s="5">
        <f t="shared" ref="F97:F101" si="68">IF(D$12=0,0,D97/D$12)</f>
        <v>2.6956780336716994E-2</v>
      </c>
      <c r="G97" s="1"/>
      <c r="H97" s="1">
        <f>SUM(OSRRefH22_18x_0)</f>
        <v>63200</v>
      </c>
      <c r="I97" s="1"/>
      <c r="J97" s="5">
        <f t="shared" ref="J97:J101" si="69">IF(H$12=0,0,H97/H$12)</f>
        <v>2.9943907291388804E-2</v>
      </c>
      <c r="K97" s="1"/>
      <c r="L97" s="1">
        <f t="shared" ref="L97:L101" si="70">+D97-H97</f>
        <v>-5918.4600000000064</v>
      </c>
      <c r="M97" s="1"/>
      <c r="N97" s="5">
        <f t="shared" ref="N97:N101" si="71">IF(H97=0,0,L97/H97)</f>
        <v>-9.3646518987341873E-2</v>
      </c>
      <c r="O97" s="13"/>
      <c r="P97" s="1">
        <f>SUM(OSRRefP22_18x_0)</f>
        <v>216803.65</v>
      </c>
      <c r="Q97" s="1"/>
      <c r="R97" s="5">
        <f t="shared" ref="R97:R101" si="72">IF(P$12=0,0,P97/P$12)</f>
        <v>1.7526725852598832E-2</v>
      </c>
      <c r="S97" s="1"/>
      <c r="T97" s="1">
        <f>SUM(OSRRefT22_18x_0)</f>
        <v>215101</v>
      </c>
      <c r="U97" s="1"/>
      <c r="V97" s="5">
        <f t="shared" ref="V97:V101" si="73">IF(T$12=0,0,T97/T$12)</f>
        <v>1.6728928686254016E-2</v>
      </c>
      <c r="W97" s="1"/>
      <c r="X97" s="1">
        <f t="shared" ref="X97:X101" si="74">+P97-T97</f>
        <v>1702.6499999999942</v>
      </c>
      <c r="Y97" s="1"/>
      <c r="Z97" s="5">
        <f t="shared" ref="Z97:Z101" si="75">IF(T97=0,0,X97/T97)</f>
        <v>7.9155838420090757E-3</v>
      </c>
    </row>
    <row r="98" spans="1:26" s="24" customFormat="1" hidden="1" outlineLevel="2" x14ac:dyDescent="0.25">
      <c r="A98" s="25"/>
      <c r="B98" s="11" t="str">
        <f>CONCATENATE("          ", "6252", " - ", "ROYALTY DUE CSTV")</f>
        <v xml:space="preserve">          6252 - ROYALTY DUE CSTV</v>
      </c>
      <c r="C98" s="11"/>
      <c r="D98" s="6"/>
      <c r="E98" s="2"/>
      <c r="F98" s="7">
        <f t="shared" si="68"/>
        <v>0</v>
      </c>
      <c r="G98" s="2"/>
      <c r="H98" s="6">
        <v>5400</v>
      </c>
      <c r="I98" s="2"/>
      <c r="J98" s="7">
        <f t="shared" si="69"/>
        <v>2.5584984078085371E-3</v>
      </c>
      <c r="K98" s="2"/>
      <c r="L98" s="6">
        <f t="shared" si="70"/>
        <v>-5400</v>
      </c>
      <c r="M98" s="2"/>
      <c r="N98" s="7">
        <f t="shared" si="71"/>
        <v>-1</v>
      </c>
      <c r="O98" s="11"/>
      <c r="P98" s="6"/>
      <c r="Q98" s="2"/>
      <c r="R98" s="7">
        <f t="shared" si="72"/>
        <v>0</v>
      </c>
      <c r="S98" s="2"/>
      <c r="T98" s="6">
        <v>5400</v>
      </c>
      <c r="U98" s="2"/>
      <c r="V98" s="7">
        <f t="shared" si="73"/>
        <v>4.1997115264815919E-4</v>
      </c>
      <c r="W98" s="2"/>
      <c r="X98" s="6">
        <f t="shared" si="74"/>
        <v>-5400</v>
      </c>
      <c r="Y98" s="2"/>
      <c r="Z98" s="7">
        <f t="shared" si="75"/>
        <v>-1</v>
      </c>
    </row>
    <row r="99" spans="1:26" s="24" customFormat="1" hidden="1" outlineLevel="2" x14ac:dyDescent="0.25">
      <c r="A99" s="25"/>
      <c r="B99" s="11" t="str">
        <f>CONCATENATE("          ", "6253", " - ", "ROYALTY DUE ATHLETICS-LRG")</f>
        <v xml:space="preserve">          6253 - ROYALTY DUE ATHLETICS-LRG</v>
      </c>
      <c r="C99" s="11"/>
      <c r="D99" s="6"/>
      <c r="E99" s="2"/>
      <c r="F99" s="7">
        <f t="shared" si="68"/>
        <v>0</v>
      </c>
      <c r="G99" s="2"/>
      <c r="H99" s="6">
        <v>40000</v>
      </c>
      <c r="I99" s="2"/>
      <c r="J99" s="7">
        <f t="shared" si="69"/>
        <v>1.8951840057841014E-2</v>
      </c>
      <c r="K99" s="2"/>
      <c r="L99" s="6">
        <f t="shared" si="70"/>
        <v>-40000</v>
      </c>
      <c r="M99" s="2"/>
      <c r="N99" s="7">
        <f t="shared" si="71"/>
        <v>-1</v>
      </c>
      <c r="O99" s="11"/>
      <c r="P99" s="6"/>
      <c r="Q99" s="2"/>
      <c r="R99" s="7">
        <f t="shared" si="72"/>
        <v>0</v>
      </c>
      <c r="S99" s="2"/>
      <c r="T99" s="6">
        <v>91000</v>
      </c>
      <c r="U99" s="2"/>
      <c r="V99" s="7">
        <f t="shared" si="73"/>
        <v>7.0772916464782384E-3</v>
      </c>
      <c r="W99" s="2"/>
      <c r="X99" s="6">
        <f t="shared" si="74"/>
        <v>-91000</v>
      </c>
      <c r="Y99" s="2"/>
      <c r="Z99" s="7">
        <f t="shared" si="75"/>
        <v>-1</v>
      </c>
    </row>
    <row r="100" spans="1:26" s="24" customFormat="1" hidden="1" outlineLevel="2" x14ac:dyDescent="0.25">
      <c r="A100" s="25"/>
      <c r="B100" s="11" t="str">
        <f>CONCATENATE("          ", "6254", " - ", "ROYALTY &amp; COMMISSIONS")</f>
        <v xml:space="preserve">          6254 - ROYALTY &amp; COMMISSIONS</v>
      </c>
      <c r="C100" s="11"/>
      <c r="D100" s="6">
        <v>40423.06</v>
      </c>
      <c r="E100" s="2"/>
      <c r="F100" s="7">
        <f t="shared" si="68"/>
        <v>1.9023153863494791E-2</v>
      </c>
      <c r="G100" s="2"/>
      <c r="H100" s="6">
        <v>1000</v>
      </c>
      <c r="I100" s="2"/>
      <c r="J100" s="7">
        <f t="shared" si="69"/>
        <v>4.7379600144602539E-4</v>
      </c>
      <c r="K100" s="2"/>
      <c r="L100" s="6">
        <f t="shared" si="70"/>
        <v>39423.06</v>
      </c>
      <c r="M100" s="2"/>
      <c r="N100" s="7">
        <f t="shared" si="71"/>
        <v>39.42306</v>
      </c>
      <c r="O100" s="11"/>
      <c r="P100" s="6">
        <v>119091.48999999999</v>
      </c>
      <c r="Q100" s="2"/>
      <c r="R100" s="7">
        <f t="shared" si="72"/>
        <v>9.6275311629094567E-3</v>
      </c>
      <c r="S100" s="2"/>
      <c r="T100" s="6">
        <v>6117</v>
      </c>
      <c r="U100" s="2"/>
      <c r="V100" s="7">
        <f t="shared" si="73"/>
        <v>4.757339890275537E-4</v>
      </c>
      <c r="W100" s="2"/>
      <c r="X100" s="6">
        <f t="shared" si="74"/>
        <v>112974.48999999999</v>
      </c>
      <c r="Y100" s="2"/>
      <c r="Z100" s="7">
        <f t="shared" si="75"/>
        <v>18.468937387608303</v>
      </c>
    </row>
    <row r="101" spans="1:26" s="24" customFormat="1" hidden="1" outlineLevel="2" x14ac:dyDescent="0.25">
      <c r="A101" s="25"/>
      <c r="B101" s="11" t="str">
        <f>CONCATENATE("          ", "6259", " - ", "ROYALTY &amp; COMMISSIONS")</f>
        <v xml:space="preserve">          6259 - ROYALTY &amp; COMMISSIONS</v>
      </c>
      <c r="C101" s="11"/>
      <c r="D101" s="6">
        <v>16858.48</v>
      </c>
      <c r="E101" s="2"/>
      <c r="F101" s="7">
        <f t="shared" si="68"/>
        <v>7.9336264732222071E-3</v>
      </c>
      <c r="G101" s="2"/>
      <c r="H101" s="6">
        <v>16800</v>
      </c>
      <c r="I101" s="2"/>
      <c r="J101" s="7">
        <f t="shared" si="69"/>
        <v>7.9597728242932261E-3</v>
      </c>
      <c r="K101" s="2"/>
      <c r="L101" s="6">
        <f t="shared" si="70"/>
        <v>58.479999999999563</v>
      </c>
      <c r="M101" s="2"/>
      <c r="N101" s="7">
        <f t="shared" si="71"/>
        <v>3.480952380952355E-3</v>
      </c>
      <c r="O101" s="11"/>
      <c r="P101" s="6">
        <v>97712.16</v>
      </c>
      <c r="Q101" s="2"/>
      <c r="R101" s="7">
        <f t="shared" si="72"/>
        <v>7.8991946896893733E-3</v>
      </c>
      <c r="S101" s="2"/>
      <c r="T101" s="6">
        <v>112584</v>
      </c>
      <c r="U101" s="2"/>
      <c r="V101" s="7">
        <f t="shared" si="73"/>
        <v>8.7559318981000663E-3</v>
      </c>
      <c r="W101" s="2"/>
      <c r="X101" s="6">
        <f t="shared" si="74"/>
        <v>-14871.839999999997</v>
      </c>
      <c r="Y101" s="2"/>
      <c r="Z101" s="7">
        <f t="shared" si="75"/>
        <v>-0.13209550202515452</v>
      </c>
    </row>
    <row r="102" spans="1:26" s="27" customFormat="1" outlineLevel="1" collapsed="1" x14ac:dyDescent="0.25">
      <c r="A102" s="26"/>
      <c r="B102" s="13" t="str">
        <f>CONCATENATE("     ","Services                                          ")</f>
        <v xml:space="preserve">     Services                                          </v>
      </c>
      <c r="C102" s="13"/>
      <c r="D102" s="1">
        <f>SUM(OSRRefD22_19x_0)</f>
        <v>44174.340000000004</v>
      </c>
      <c r="E102" s="1"/>
      <c r="F102" s="5">
        <f t="shared" ref="F102:F107" si="76">IF(D$12=0,0,D102/D$12)</f>
        <v>2.0788511969116949E-2</v>
      </c>
      <c r="G102" s="1"/>
      <c r="H102" s="1">
        <f>SUM(OSRRefH22_19x_0)</f>
        <v>42831</v>
      </c>
      <c r="I102" s="1"/>
      <c r="J102" s="5">
        <f t="shared" ref="J102:J107" si="77">IF(H$12=0,0,H102/H$12)</f>
        <v>2.0293156537934714E-2</v>
      </c>
      <c r="K102" s="1"/>
      <c r="L102" s="1">
        <f t="shared" ref="L102:L107" si="78">+D102-H102</f>
        <v>1343.3400000000038</v>
      </c>
      <c r="M102" s="1"/>
      <c r="N102" s="5">
        <f t="shared" ref="N102:N107" si="79">IF(H102=0,0,L102/H102)</f>
        <v>3.1363731876444721E-2</v>
      </c>
      <c r="O102" s="13"/>
      <c r="P102" s="1">
        <f>SUM(OSRRefP22_19x_0)</f>
        <v>330127.06</v>
      </c>
      <c r="Q102" s="1"/>
      <c r="R102" s="5">
        <f t="shared" ref="R102:R107" si="80">IF(P$12=0,0,P102/P$12)</f>
        <v>2.6687956946963048E-2</v>
      </c>
      <c r="S102" s="1"/>
      <c r="T102" s="1">
        <f>SUM(OSRRefT22_19x_0)</f>
        <v>332069</v>
      </c>
      <c r="U102" s="1"/>
      <c r="V102" s="5">
        <f t="shared" ref="V102:V107" si="81">IF(T$12=0,0,T102/T$12)</f>
        <v>2.5825814942355849E-2</v>
      </c>
      <c r="W102" s="1"/>
      <c r="X102" s="1">
        <f t="shared" ref="X102:X107" si="82">+P102-T102</f>
        <v>-1941.9400000000023</v>
      </c>
      <c r="Y102" s="1"/>
      <c r="Z102" s="5">
        <f t="shared" ref="Z102:Z107" si="83">IF(T102=0,0,X102/T102)</f>
        <v>-5.8480014695741012E-3</v>
      </c>
    </row>
    <row r="103" spans="1:26" s="24" customFormat="1" hidden="1" outlineLevel="2" x14ac:dyDescent="0.25">
      <c r="A103" s="25"/>
      <c r="B103" s="11" t="str">
        <f>CONCATENATE("          ", "6282", " - ", "JANITORIAL/EXTERMINATOR EXPENS")</f>
        <v xml:space="preserve">          6282 - JANITORIAL/EXTERMINATOR EXPENS</v>
      </c>
      <c r="C103" s="11"/>
      <c r="D103" s="6">
        <v>4622.71</v>
      </c>
      <c r="E103" s="2"/>
      <c r="F103" s="7">
        <f t="shared" si="76"/>
        <v>2.1754543964834926E-3</v>
      </c>
      <c r="G103" s="2"/>
      <c r="H103" s="6">
        <v>2985</v>
      </c>
      <c r="I103" s="2"/>
      <c r="J103" s="7">
        <f t="shared" si="77"/>
        <v>1.4142810643163859E-3</v>
      </c>
      <c r="K103" s="2"/>
      <c r="L103" s="6">
        <f t="shared" si="78"/>
        <v>1637.71</v>
      </c>
      <c r="M103" s="2"/>
      <c r="N103" s="7">
        <f t="shared" si="79"/>
        <v>0.54864656616415408</v>
      </c>
      <c r="O103" s="11"/>
      <c r="P103" s="6">
        <v>25342.83</v>
      </c>
      <c r="Q103" s="2"/>
      <c r="R103" s="7">
        <f t="shared" si="80"/>
        <v>2.0487516411232805E-3</v>
      </c>
      <c r="S103" s="2"/>
      <c r="T103" s="6">
        <v>23665</v>
      </c>
      <c r="U103" s="2"/>
      <c r="V103" s="7">
        <f t="shared" si="81"/>
        <v>1.8404846902627199E-3</v>
      </c>
      <c r="W103" s="2"/>
      <c r="X103" s="6">
        <f t="shared" si="82"/>
        <v>1677.8300000000017</v>
      </c>
      <c r="Y103" s="2"/>
      <c r="Z103" s="7">
        <f t="shared" si="83"/>
        <v>7.0899218254806745E-2</v>
      </c>
    </row>
    <row r="104" spans="1:26" s="24" customFormat="1" hidden="1" outlineLevel="2" x14ac:dyDescent="0.25">
      <c r="A104" s="25"/>
      <c r="B104" s="11" t="str">
        <f>CONCATENATE("          ", "6283", " - ", "PLANT SERVICE")</f>
        <v xml:space="preserve">          6283 - PLANT SERVICE</v>
      </c>
      <c r="C104" s="11"/>
      <c r="D104" s="6">
        <v>199.78</v>
      </c>
      <c r="E104" s="2"/>
      <c r="F104" s="7">
        <f t="shared" si="76"/>
        <v>9.4016773565608084E-5</v>
      </c>
      <c r="G104" s="2"/>
      <c r="H104" s="6">
        <v>185</v>
      </c>
      <c r="I104" s="2"/>
      <c r="J104" s="7">
        <f t="shared" si="77"/>
        <v>8.7652260267514701E-5</v>
      </c>
      <c r="K104" s="2"/>
      <c r="L104" s="6">
        <f t="shared" si="78"/>
        <v>14.780000000000001</v>
      </c>
      <c r="M104" s="2"/>
      <c r="N104" s="7">
        <f t="shared" si="79"/>
        <v>7.98918918918919E-2</v>
      </c>
      <c r="O104" s="11"/>
      <c r="P104" s="6">
        <v>998.9</v>
      </c>
      <c r="Q104" s="2"/>
      <c r="R104" s="7">
        <f t="shared" si="80"/>
        <v>8.0752544775703595E-5</v>
      </c>
      <c r="S104" s="2"/>
      <c r="T104" s="6">
        <v>1445</v>
      </c>
      <c r="U104" s="2"/>
      <c r="V104" s="7">
        <f t="shared" si="81"/>
        <v>1.1238116955122039E-4</v>
      </c>
      <c r="W104" s="2"/>
      <c r="X104" s="6">
        <f t="shared" si="82"/>
        <v>-446.1</v>
      </c>
      <c r="Y104" s="2"/>
      <c r="Z104" s="7">
        <f t="shared" si="83"/>
        <v>-0.30871972318339103</v>
      </c>
    </row>
    <row r="105" spans="1:26" s="24" customFormat="1" hidden="1" outlineLevel="2" x14ac:dyDescent="0.25">
      <c r="A105" s="25"/>
      <c r="B105" s="11" t="str">
        <f>CONCATENATE("          ", "6284", " - ", "TRASH REMOVAL EXPENSE")</f>
        <v xml:space="preserve">          6284 - TRASH REMOVAL EXPENSE</v>
      </c>
      <c r="C105" s="11"/>
      <c r="D105" s="6">
        <v>5130</v>
      </c>
      <c r="E105" s="2"/>
      <c r="F105" s="7">
        <f t="shared" si="76"/>
        <v>2.4141858463888749E-3</v>
      </c>
      <c r="G105" s="2"/>
      <c r="H105" s="6">
        <v>4065</v>
      </c>
      <c r="I105" s="2"/>
      <c r="J105" s="7">
        <f t="shared" si="77"/>
        <v>1.9259807458780933E-3</v>
      </c>
      <c r="K105" s="2"/>
      <c r="L105" s="6">
        <f t="shared" si="78"/>
        <v>1065</v>
      </c>
      <c r="M105" s="2"/>
      <c r="N105" s="7">
        <f t="shared" si="79"/>
        <v>0.26199261992619927</v>
      </c>
      <c r="O105" s="11"/>
      <c r="P105" s="6">
        <v>33153</v>
      </c>
      <c r="Q105" s="2"/>
      <c r="R105" s="7">
        <f t="shared" si="80"/>
        <v>2.6801372679436395E-3</v>
      </c>
      <c r="S105" s="2"/>
      <c r="T105" s="6">
        <v>32470</v>
      </c>
      <c r="U105" s="2"/>
      <c r="V105" s="7">
        <f t="shared" si="81"/>
        <v>2.5252709863862462E-3</v>
      </c>
      <c r="W105" s="2"/>
      <c r="X105" s="6">
        <f t="shared" si="82"/>
        <v>683</v>
      </c>
      <c r="Y105" s="2"/>
      <c r="Z105" s="7">
        <f t="shared" si="83"/>
        <v>2.1034801355097013E-2</v>
      </c>
    </row>
    <row r="106" spans="1:26" s="24" customFormat="1" hidden="1" outlineLevel="2" x14ac:dyDescent="0.25">
      <c r="A106" s="25"/>
      <c r="B106" s="11" t="str">
        <f>CONCATENATE("          ", "6285", " - ", "JANITORIAL SERVICES")</f>
        <v xml:space="preserve">          6285 - JANITORIAL SERVICES</v>
      </c>
      <c r="C106" s="11"/>
      <c r="D106" s="6">
        <v>26386.02</v>
      </c>
      <c r="E106" s="2"/>
      <c r="F106" s="7">
        <f t="shared" si="76"/>
        <v>1.2417301369694695E-2</v>
      </c>
      <c r="G106" s="2"/>
      <c r="H106" s="6">
        <v>25389</v>
      </c>
      <c r="I106" s="2"/>
      <c r="J106" s="7">
        <f t="shared" si="77"/>
        <v>1.2029206680713139E-2</v>
      </c>
      <c r="K106" s="2"/>
      <c r="L106" s="6">
        <f t="shared" si="78"/>
        <v>997.02000000000044</v>
      </c>
      <c r="M106" s="2"/>
      <c r="N106" s="7">
        <f t="shared" si="79"/>
        <v>3.9269762495568968E-2</v>
      </c>
      <c r="O106" s="11"/>
      <c r="P106" s="6">
        <v>208535.82</v>
      </c>
      <c r="Q106" s="2"/>
      <c r="R106" s="7">
        <f t="shared" si="80"/>
        <v>1.685834231843835E-2</v>
      </c>
      <c r="S106" s="2"/>
      <c r="T106" s="6">
        <v>204470</v>
      </c>
      <c r="U106" s="2"/>
      <c r="V106" s="7">
        <f t="shared" si="81"/>
        <v>1.5902129922586872E-2</v>
      </c>
      <c r="W106" s="2"/>
      <c r="X106" s="6">
        <f t="shared" si="82"/>
        <v>4065.820000000007</v>
      </c>
      <c r="Y106" s="2"/>
      <c r="Z106" s="7">
        <f t="shared" si="83"/>
        <v>1.9884677458795946E-2</v>
      </c>
    </row>
    <row r="107" spans="1:26" s="24" customFormat="1" hidden="1" outlineLevel="2" x14ac:dyDescent="0.25">
      <c r="A107" s="25"/>
      <c r="B107" s="11" t="str">
        <f>CONCATENATE("          ", "6286", " - ", "LAUNDRY EXPENSE")</f>
        <v xml:space="preserve">          6286 - LAUNDRY EXPENSE</v>
      </c>
      <c r="C107" s="11"/>
      <c r="D107" s="6">
        <v>7835.83</v>
      </c>
      <c r="E107" s="2"/>
      <c r="F107" s="7">
        <f t="shared" si="76"/>
        <v>3.6875535829842764E-3</v>
      </c>
      <c r="G107" s="2"/>
      <c r="H107" s="6">
        <v>10207</v>
      </c>
      <c r="I107" s="2"/>
      <c r="J107" s="7">
        <f t="shared" si="77"/>
        <v>4.8360357867595809E-3</v>
      </c>
      <c r="K107" s="2"/>
      <c r="L107" s="6">
        <f t="shared" si="78"/>
        <v>-2371.17</v>
      </c>
      <c r="M107" s="2"/>
      <c r="N107" s="7">
        <f t="shared" si="79"/>
        <v>-0.23230821984912317</v>
      </c>
      <c r="O107" s="11"/>
      <c r="P107" s="6">
        <v>62096.509999999995</v>
      </c>
      <c r="Q107" s="2"/>
      <c r="R107" s="7">
        <f t="shared" si="80"/>
        <v>5.0199731746820766E-3</v>
      </c>
      <c r="S107" s="2"/>
      <c r="T107" s="6">
        <v>70019</v>
      </c>
      <c r="U107" s="2"/>
      <c r="V107" s="7">
        <f t="shared" si="81"/>
        <v>5.4455481735687893E-3</v>
      </c>
      <c r="W107" s="2"/>
      <c r="X107" s="6">
        <f t="shared" si="82"/>
        <v>-7922.4900000000052</v>
      </c>
      <c r="Y107" s="2"/>
      <c r="Z107" s="7">
        <f t="shared" si="83"/>
        <v>-0.11314771704822985</v>
      </c>
    </row>
    <row r="108" spans="1:26" s="27" customFormat="1" outlineLevel="1" collapsed="1" x14ac:dyDescent="0.25">
      <c r="A108" s="26"/>
      <c r="B108" s="13" t="str">
        <f>CONCATENATE("     ","Subscriptions &amp; Dues                              ")</f>
        <v xml:space="preserve">     Subscriptions &amp; Dues                              </v>
      </c>
      <c r="C108" s="13"/>
      <c r="D108" s="1">
        <f>SUM(OSRRefD22_20x_0)</f>
        <v>273.73</v>
      </c>
      <c r="E108" s="1"/>
      <c r="F108" s="5">
        <f t="shared" ref="F108:F110" si="84">IF(D$12=0,0,D108/D$12)</f>
        <v>1.288177566729097E-4</v>
      </c>
      <c r="G108" s="1"/>
      <c r="H108" s="1">
        <f>SUM(OSRRefH22_20x_0)</f>
        <v>694</v>
      </c>
      <c r="I108" s="1"/>
      <c r="J108" s="5">
        <f t="shared" ref="J108:J110" si="85">IF(H$12=0,0,H108/H$12)</f>
        <v>3.2881442500354161E-4</v>
      </c>
      <c r="K108" s="1"/>
      <c r="L108" s="1">
        <f t="shared" ref="L108:L110" si="86">+D108-H108</f>
        <v>-420.27</v>
      </c>
      <c r="M108" s="1"/>
      <c r="N108" s="5">
        <f t="shared" ref="N108:N110" si="87">IF(H108=0,0,L108/H108)</f>
        <v>-0.60557636887608068</v>
      </c>
      <c r="O108" s="13"/>
      <c r="P108" s="1">
        <f>SUM(OSRRefP22_20x_0)</f>
        <v>7134.3099999999995</v>
      </c>
      <c r="Q108" s="1"/>
      <c r="R108" s="5">
        <f t="shared" ref="R108:R110" si="88">IF(P$12=0,0,P108/P$12)</f>
        <v>5.7674811064045445E-4</v>
      </c>
      <c r="S108" s="1"/>
      <c r="T108" s="1">
        <f>SUM(OSRRefT22_20x_0)</f>
        <v>3277</v>
      </c>
      <c r="U108" s="1"/>
      <c r="V108" s="5">
        <f t="shared" ref="V108:V110" si="89">IF(T$12=0,0,T108/T$12)</f>
        <v>2.5486027170889218E-4</v>
      </c>
      <c r="W108" s="1"/>
      <c r="X108" s="1">
        <f t="shared" ref="X108:X110" si="90">+P108-T108</f>
        <v>3857.3099999999995</v>
      </c>
      <c r="Y108" s="1"/>
      <c r="Z108" s="5">
        <f t="shared" ref="Z108:Z110" si="91">IF(T108=0,0,X108/T108)</f>
        <v>1.1770857491608178</v>
      </c>
    </row>
    <row r="109" spans="1:26" s="24" customFormat="1" hidden="1" outlineLevel="2" x14ac:dyDescent="0.25">
      <c r="A109" s="25"/>
      <c r="B109" s="11" t="str">
        <f>CONCATENATE("          ", "6258", " - ", "MEMBERSHIP DUES")</f>
        <v xml:space="preserve">          6258 - MEMBERSHIP DUES</v>
      </c>
      <c r="C109" s="11"/>
      <c r="D109" s="6">
        <v>-131.19999999999999</v>
      </c>
      <c r="E109" s="2"/>
      <c r="F109" s="7">
        <f t="shared" si="84"/>
        <v>-6.1742920671777849E-5</v>
      </c>
      <c r="G109" s="2"/>
      <c r="H109" s="6">
        <v>300</v>
      </c>
      <c r="I109" s="2"/>
      <c r="J109" s="7">
        <f t="shared" si="85"/>
        <v>1.4213880043380763E-4</v>
      </c>
      <c r="K109" s="2"/>
      <c r="L109" s="6">
        <f t="shared" si="86"/>
        <v>-431.2</v>
      </c>
      <c r="M109" s="2"/>
      <c r="N109" s="7">
        <f t="shared" si="87"/>
        <v>-1.4373333333333334</v>
      </c>
      <c r="O109" s="11"/>
      <c r="P109" s="6">
        <v>3730</v>
      </c>
      <c r="Q109" s="2"/>
      <c r="R109" s="7">
        <f t="shared" si="88"/>
        <v>3.0153868456639745E-4</v>
      </c>
      <c r="S109" s="2"/>
      <c r="T109" s="6">
        <v>300</v>
      </c>
      <c r="U109" s="2"/>
      <c r="V109" s="7">
        <f t="shared" si="89"/>
        <v>2.3331730702675512E-5</v>
      </c>
      <c r="W109" s="2"/>
      <c r="X109" s="6">
        <f t="shared" si="90"/>
        <v>3430</v>
      </c>
      <c r="Y109" s="2"/>
      <c r="Z109" s="7">
        <f t="shared" si="91"/>
        <v>11.433333333333334</v>
      </c>
    </row>
    <row r="110" spans="1:26" s="24" customFormat="1" hidden="1" outlineLevel="2" x14ac:dyDescent="0.25">
      <c r="A110" s="25"/>
      <c r="B110" s="11" t="str">
        <f>CONCATENATE("          ", "6275", " - ", "SUBSCRIPTIONS")</f>
        <v xml:space="preserve">          6275 - SUBSCRIPTIONS</v>
      </c>
      <c r="C110" s="11"/>
      <c r="D110" s="6">
        <v>404.93</v>
      </c>
      <c r="E110" s="2"/>
      <c r="F110" s="7">
        <f t="shared" si="84"/>
        <v>1.9056067734468755E-4</v>
      </c>
      <c r="G110" s="2"/>
      <c r="H110" s="6">
        <v>394</v>
      </c>
      <c r="I110" s="2"/>
      <c r="J110" s="7">
        <f t="shared" si="85"/>
        <v>1.8667562456973401E-4</v>
      </c>
      <c r="K110" s="2"/>
      <c r="L110" s="6">
        <f t="shared" si="86"/>
        <v>10.930000000000007</v>
      </c>
      <c r="M110" s="2"/>
      <c r="N110" s="7">
        <f t="shared" si="87"/>
        <v>2.7741116751269054E-2</v>
      </c>
      <c r="O110" s="11"/>
      <c r="P110" s="6">
        <v>3404.31</v>
      </c>
      <c r="Q110" s="2"/>
      <c r="R110" s="7">
        <f t="shared" si="88"/>
        <v>2.75209426074057E-4</v>
      </c>
      <c r="S110" s="2"/>
      <c r="T110" s="6">
        <v>2977</v>
      </c>
      <c r="U110" s="2"/>
      <c r="V110" s="7">
        <f t="shared" si="89"/>
        <v>2.3152854100621666E-4</v>
      </c>
      <c r="W110" s="2"/>
      <c r="X110" s="6">
        <f t="shared" si="90"/>
        <v>427.30999999999995</v>
      </c>
      <c r="Y110" s="2"/>
      <c r="Z110" s="7">
        <f t="shared" si="91"/>
        <v>0.14353711790393012</v>
      </c>
    </row>
    <row r="111" spans="1:26" s="27" customFormat="1" outlineLevel="1" collapsed="1" x14ac:dyDescent="0.25">
      <c r="A111" s="26"/>
      <c r="B111" s="13" t="str">
        <f>CONCATENATE("     ","Supplies                                          ")</f>
        <v xml:space="preserve">     Supplies                                          </v>
      </c>
      <c r="C111" s="13"/>
      <c r="D111" s="1">
        <f>SUM(OSRRefD22_21x_0)</f>
        <v>41879.740000000005</v>
      </c>
      <c r="E111" s="1"/>
      <c r="F111" s="5">
        <f t="shared" ref="F111:F121" si="92">IF(D$12=0,0,D111/D$12)</f>
        <v>1.9708669699502152E-2</v>
      </c>
      <c r="G111" s="1"/>
      <c r="H111" s="1">
        <f>SUM(OSRRefH22_21x_0)</f>
        <v>37809.300000000003</v>
      </c>
      <c r="I111" s="1"/>
      <c r="J111" s="5">
        <f t="shared" ref="J111:J121" si="93">IF(H$12=0,0,H111/H$12)</f>
        <v>1.7913895157473211E-2</v>
      </c>
      <c r="K111" s="1"/>
      <c r="L111" s="1">
        <f t="shared" ref="L111:L121" si="94">+D111-H111</f>
        <v>4070.4400000000023</v>
      </c>
      <c r="M111" s="1"/>
      <c r="N111" s="5">
        <f t="shared" ref="N111:N121" si="95">IF(H111=0,0,L111/H111)</f>
        <v>0.10765711081665098</v>
      </c>
      <c r="O111" s="13"/>
      <c r="P111" s="1">
        <f>SUM(OSRRefP22_21x_0)</f>
        <v>323320.15999999992</v>
      </c>
      <c r="Q111" s="1"/>
      <c r="R111" s="5">
        <f t="shared" ref="R111:R121" si="96">IF(P$12=0,0,P111/P$12)</f>
        <v>2.6137677142144003E-2</v>
      </c>
      <c r="S111" s="1"/>
      <c r="T111" s="1">
        <f>SUM(OSRRefT22_21x_0)</f>
        <v>317246.8</v>
      </c>
      <c r="U111" s="1"/>
      <c r="V111" s="5">
        <f t="shared" ref="V111:V121" si="97">IF(T$12=0,0,T111/T$12)</f>
        <v>2.467305634628519E-2</v>
      </c>
      <c r="W111" s="1"/>
      <c r="X111" s="1">
        <f t="shared" ref="X111:X121" si="98">+P111-T111</f>
        <v>6073.3599999999278</v>
      </c>
      <c r="Y111" s="1"/>
      <c r="Z111" s="5">
        <f t="shared" ref="Z111:Z121" si="99">IF(T111=0,0,X111/T111)</f>
        <v>1.9143959844511994E-2</v>
      </c>
    </row>
    <row r="112" spans="1:26" s="24" customFormat="1" hidden="1" outlineLevel="2" x14ac:dyDescent="0.25">
      <c r="A112" s="25"/>
      <c r="B112" s="11" t="str">
        <f>CONCATENATE("          ", "6234", " - ", "EXPENDABLE SUPPLIES &amp; EQUIPMEN")</f>
        <v xml:space="preserve">          6234 - EXPENDABLE SUPPLIES &amp; EQUIPMEN</v>
      </c>
      <c r="C112" s="11"/>
      <c r="D112" s="6">
        <v>378.95</v>
      </c>
      <c r="E112" s="2"/>
      <c r="F112" s="7">
        <f t="shared" si="92"/>
        <v>1.7833444960800471E-4</v>
      </c>
      <c r="G112" s="2"/>
      <c r="H112" s="6">
        <v>500</v>
      </c>
      <c r="I112" s="2"/>
      <c r="J112" s="7">
        <f t="shared" si="93"/>
        <v>2.3689800072301269E-4</v>
      </c>
      <c r="K112" s="2"/>
      <c r="L112" s="6">
        <f t="shared" si="94"/>
        <v>-121.05000000000001</v>
      </c>
      <c r="M112" s="2"/>
      <c r="N112" s="7">
        <f t="shared" si="95"/>
        <v>-0.24210000000000001</v>
      </c>
      <c r="O112" s="11"/>
      <c r="P112" s="6">
        <v>13690.46</v>
      </c>
      <c r="Q112" s="2"/>
      <c r="R112" s="7">
        <f t="shared" si="96"/>
        <v>1.1067569167584133E-3</v>
      </c>
      <c r="S112" s="2"/>
      <c r="T112" s="6">
        <v>5450</v>
      </c>
      <c r="U112" s="2"/>
      <c r="V112" s="7">
        <f t="shared" si="97"/>
        <v>4.2385977443193845E-4</v>
      </c>
      <c r="W112" s="2"/>
      <c r="X112" s="6">
        <f t="shared" si="98"/>
        <v>8240.4599999999991</v>
      </c>
      <c r="Y112" s="2"/>
      <c r="Z112" s="7">
        <f t="shared" si="99"/>
        <v>1.5120110091743117</v>
      </c>
    </row>
    <row r="113" spans="1:26" s="24" customFormat="1" hidden="1" outlineLevel="2" x14ac:dyDescent="0.25">
      <c r="A113" s="25"/>
      <c r="B113" s="11" t="str">
        <f>CONCATENATE("          ", "6237", " - ", "JANITORIAL SUPPLIES")</f>
        <v xml:space="preserve">          6237 - JANITORIAL SUPPLIES</v>
      </c>
      <c r="C113" s="11"/>
      <c r="D113" s="6">
        <v>15599.52</v>
      </c>
      <c r="E113" s="2"/>
      <c r="F113" s="7">
        <f t="shared" si="92"/>
        <v>7.3411579716296657E-3</v>
      </c>
      <c r="G113" s="2"/>
      <c r="H113" s="6">
        <v>13466</v>
      </c>
      <c r="I113" s="2"/>
      <c r="J113" s="7">
        <f t="shared" si="93"/>
        <v>6.3801369554721777E-3</v>
      </c>
      <c r="K113" s="2"/>
      <c r="L113" s="6">
        <f t="shared" si="94"/>
        <v>2133.5200000000004</v>
      </c>
      <c r="M113" s="2"/>
      <c r="N113" s="7">
        <f t="shared" si="95"/>
        <v>0.1584375464131888</v>
      </c>
      <c r="O113" s="11"/>
      <c r="P113" s="6">
        <v>107925.82</v>
      </c>
      <c r="Q113" s="2"/>
      <c r="R113" s="7">
        <f t="shared" si="96"/>
        <v>8.7248819821849309E-3</v>
      </c>
      <c r="S113" s="2"/>
      <c r="T113" s="6">
        <v>112103</v>
      </c>
      <c r="U113" s="2"/>
      <c r="V113" s="7">
        <f t="shared" si="97"/>
        <v>8.7185233565401088E-3</v>
      </c>
      <c r="W113" s="2"/>
      <c r="X113" s="6">
        <f t="shared" si="98"/>
        <v>-4177.179999999993</v>
      </c>
      <c r="Y113" s="2"/>
      <c r="Z113" s="7">
        <f t="shared" si="99"/>
        <v>-3.7261982284149335E-2</v>
      </c>
    </row>
    <row r="114" spans="1:26" s="24" customFormat="1" hidden="1" outlineLevel="2" x14ac:dyDescent="0.25">
      <c r="A114" s="25"/>
      <c r="B114" s="11" t="str">
        <f>CONCATENATE("          ", "6239", " - ", "KITCHEN SUPPLIES")</f>
        <v xml:space="preserve">          6239 - KITCHEN SUPPLIES</v>
      </c>
      <c r="C114" s="11"/>
      <c r="D114" s="6">
        <v>9419.32</v>
      </c>
      <c r="E114" s="2"/>
      <c r="F114" s="7">
        <f t="shared" si="92"/>
        <v>4.4327463989488614E-3</v>
      </c>
      <c r="G114" s="2"/>
      <c r="H114" s="6">
        <v>8310</v>
      </c>
      <c r="I114" s="2"/>
      <c r="J114" s="7">
        <f t="shared" si="93"/>
        <v>3.9372447720164711E-3</v>
      </c>
      <c r="K114" s="2"/>
      <c r="L114" s="6">
        <f t="shared" si="94"/>
        <v>1109.3199999999997</v>
      </c>
      <c r="M114" s="2"/>
      <c r="N114" s="7">
        <f t="shared" si="95"/>
        <v>0.13349217809867625</v>
      </c>
      <c r="O114" s="11"/>
      <c r="P114" s="6">
        <v>70198.87</v>
      </c>
      <c r="Q114" s="2"/>
      <c r="R114" s="7">
        <f t="shared" si="96"/>
        <v>5.6749798707366062E-3</v>
      </c>
      <c r="S114" s="2"/>
      <c r="T114" s="6">
        <v>60824.71</v>
      </c>
      <c r="U114" s="2"/>
      <c r="V114" s="7">
        <f t="shared" si="97"/>
        <v>4.7304858459611141E-3</v>
      </c>
      <c r="W114" s="2"/>
      <c r="X114" s="6">
        <f t="shared" si="98"/>
        <v>9374.1599999999962</v>
      </c>
      <c r="Y114" s="2"/>
      <c r="Z114" s="7">
        <f t="shared" si="99"/>
        <v>0.15411762752341929</v>
      </c>
    </row>
    <row r="115" spans="1:26" s="24" customFormat="1" hidden="1" outlineLevel="2" x14ac:dyDescent="0.25">
      <c r="A115" s="25"/>
      <c r="B115" s="11" t="str">
        <f>CONCATENATE("          ", "6241", " - ", "OFFICE EXPENSE")</f>
        <v xml:space="preserve">          6241 - OFFICE EXPENSE</v>
      </c>
      <c r="C115" s="11"/>
      <c r="D115" s="6">
        <v>1233.98</v>
      </c>
      <c r="E115" s="2"/>
      <c r="F115" s="7">
        <f t="shared" si="92"/>
        <v>5.8071287538536917E-4</v>
      </c>
      <c r="G115" s="2"/>
      <c r="H115" s="6">
        <v>2699</v>
      </c>
      <c r="I115" s="2"/>
      <c r="J115" s="7">
        <f t="shared" si="93"/>
        <v>1.2787754079028226E-3</v>
      </c>
      <c r="K115" s="2"/>
      <c r="L115" s="6">
        <f t="shared" si="94"/>
        <v>-1465.02</v>
      </c>
      <c r="M115" s="2"/>
      <c r="N115" s="7">
        <f t="shared" si="95"/>
        <v>-0.54280103742126717</v>
      </c>
      <c r="O115" s="11"/>
      <c r="P115" s="6">
        <v>42888.87</v>
      </c>
      <c r="Q115" s="2"/>
      <c r="R115" s="7">
        <f t="shared" si="96"/>
        <v>3.4671993143000615E-3</v>
      </c>
      <c r="S115" s="2"/>
      <c r="T115" s="6">
        <v>18219.25</v>
      </c>
      <c r="U115" s="2"/>
      <c r="V115" s="7">
        <f t="shared" si="97"/>
        <v>1.4169554486824028E-3</v>
      </c>
      <c r="W115" s="2"/>
      <c r="X115" s="6">
        <f t="shared" si="98"/>
        <v>24669.620000000003</v>
      </c>
      <c r="Y115" s="2"/>
      <c r="Z115" s="7">
        <f t="shared" si="99"/>
        <v>1.3540414671295471</v>
      </c>
    </row>
    <row r="116" spans="1:26" s="24" customFormat="1" hidden="1" outlineLevel="2" x14ac:dyDescent="0.25">
      <c r="A116" s="25"/>
      <c r="B116" s="11" t="str">
        <f>CONCATENATE("          ", "6243", " - ", "PAPER SUPPLIES")</f>
        <v xml:space="preserve">          6243 - PAPER SUPPLIES</v>
      </c>
      <c r="C116" s="11"/>
      <c r="D116" s="6">
        <v>11619.5</v>
      </c>
      <c r="E116" s="2"/>
      <c r="F116" s="7">
        <f t="shared" si="92"/>
        <v>5.4681544721472772E-3</v>
      </c>
      <c r="G116" s="2"/>
      <c r="H116" s="6">
        <v>11464</v>
      </c>
      <c r="I116" s="2"/>
      <c r="J116" s="7">
        <f t="shared" si="93"/>
        <v>5.4315973605772354E-3</v>
      </c>
      <c r="K116" s="2"/>
      <c r="L116" s="6">
        <f t="shared" si="94"/>
        <v>155.5</v>
      </c>
      <c r="M116" s="2"/>
      <c r="N116" s="7">
        <f t="shared" si="95"/>
        <v>1.3564200976971389E-2</v>
      </c>
      <c r="O116" s="11"/>
      <c r="P116" s="6">
        <v>77474.200000000012</v>
      </c>
      <c r="Q116" s="2"/>
      <c r="R116" s="7">
        <f t="shared" si="96"/>
        <v>6.2631282455319019E-3</v>
      </c>
      <c r="S116" s="2"/>
      <c r="T116" s="6">
        <v>84102.52</v>
      </c>
      <c r="U116" s="2"/>
      <c r="V116" s="7">
        <f t="shared" si="97"/>
        <v>6.5408578268546045E-3</v>
      </c>
      <c r="W116" s="2"/>
      <c r="X116" s="6">
        <f t="shared" si="98"/>
        <v>-6628.3199999999924</v>
      </c>
      <c r="Y116" s="2"/>
      <c r="Z116" s="7">
        <f t="shared" si="99"/>
        <v>-7.8812382791859176E-2</v>
      </c>
    </row>
    <row r="117" spans="1:26" s="24" customFormat="1" hidden="1" outlineLevel="2" x14ac:dyDescent="0.25">
      <c r="A117" s="25"/>
      <c r="B117" s="11" t="str">
        <f>CONCATENATE("          ", "6244", " - ", "SAFETY SUPPLY EXPENSE")</f>
        <v xml:space="preserve">          6244 - SAFETY SUPPLY EXPENSE</v>
      </c>
      <c r="C117" s="11"/>
      <c r="D117" s="6"/>
      <c r="E117" s="2"/>
      <c r="F117" s="7">
        <f t="shared" si="92"/>
        <v>0</v>
      </c>
      <c r="G117" s="2"/>
      <c r="H117" s="6">
        <v>235</v>
      </c>
      <c r="I117" s="2"/>
      <c r="J117" s="7">
        <f t="shared" si="93"/>
        <v>1.1134206033981597E-4</v>
      </c>
      <c r="K117" s="2"/>
      <c r="L117" s="6">
        <f t="shared" si="94"/>
        <v>-235</v>
      </c>
      <c r="M117" s="2"/>
      <c r="N117" s="7">
        <f t="shared" si="95"/>
        <v>-1</v>
      </c>
      <c r="O117" s="11"/>
      <c r="P117" s="6"/>
      <c r="Q117" s="2"/>
      <c r="R117" s="7">
        <f t="shared" si="96"/>
        <v>0</v>
      </c>
      <c r="S117" s="2"/>
      <c r="T117" s="6">
        <v>1880</v>
      </c>
      <c r="U117" s="2"/>
      <c r="V117" s="7">
        <f t="shared" si="97"/>
        <v>1.4621217907009987E-4</v>
      </c>
      <c r="W117" s="2"/>
      <c r="X117" s="6">
        <f t="shared" si="98"/>
        <v>-1880</v>
      </c>
      <c r="Y117" s="2"/>
      <c r="Z117" s="7">
        <f t="shared" si="99"/>
        <v>-1</v>
      </c>
    </row>
    <row r="118" spans="1:26" s="24" customFormat="1" hidden="1" outlineLevel="2" x14ac:dyDescent="0.25">
      <c r="A118" s="25"/>
      <c r="B118" s="11" t="str">
        <f>CONCATENATE("          ", "6245", " - ", "PRINTING")</f>
        <v xml:space="preserve">          6245 - PRINTING</v>
      </c>
      <c r="C118" s="11"/>
      <c r="D118" s="6"/>
      <c r="E118" s="2"/>
      <c r="F118" s="7">
        <f t="shared" si="92"/>
        <v>0</v>
      </c>
      <c r="G118" s="2"/>
      <c r="H118" s="6">
        <v>210</v>
      </c>
      <c r="I118" s="2"/>
      <c r="J118" s="7">
        <f t="shared" si="93"/>
        <v>9.9497160303665334E-5</v>
      </c>
      <c r="K118" s="2"/>
      <c r="L118" s="6">
        <f t="shared" si="94"/>
        <v>-210</v>
      </c>
      <c r="M118" s="2"/>
      <c r="N118" s="7">
        <f t="shared" si="95"/>
        <v>-1</v>
      </c>
      <c r="O118" s="11"/>
      <c r="P118" s="6">
        <v>1882.72</v>
      </c>
      <c r="Q118" s="2"/>
      <c r="R118" s="7">
        <f t="shared" si="96"/>
        <v>1.5220185313856511E-4</v>
      </c>
      <c r="S118" s="2"/>
      <c r="T118" s="6">
        <v>3270</v>
      </c>
      <c r="U118" s="2"/>
      <c r="V118" s="7">
        <f t="shared" si="97"/>
        <v>2.5431586465916308E-4</v>
      </c>
      <c r="W118" s="2"/>
      <c r="X118" s="6">
        <f t="shared" si="98"/>
        <v>-1387.28</v>
      </c>
      <c r="Y118" s="2"/>
      <c r="Z118" s="7">
        <f t="shared" si="99"/>
        <v>-0.42424464831804282</v>
      </c>
    </row>
    <row r="119" spans="1:26" s="24" customFormat="1" hidden="1" outlineLevel="2" x14ac:dyDescent="0.25">
      <c r="A119" s="25"/>
      <c r="B119" s="11" t="str">
        <f>CONCATENATE("          ", "6246", " - ", "REPLACEMENTS")</f>
        <v xml:space="preserve">          6246 - REPLACEMENTS</v>
      </c>
      <c r="C119" s="11"/>
      <c r="D119" s="6">
        <v>25.87</v>
      </c>
      <c r="E119" s="2"/>
      <c r="F119" s="7">
        <f t="shared" si="92"/>
        <v>1.2174461568436686E-5</v>
      </c>
      <c r="G119" s="2"/>
      <c r="H119" s="6"/>
      <c r="I119" s="2"/>
      <c r="J119" s="7">
        <f t="shared" si="93"/>
        <v>0</v>
      </c>
      <c r="K119" s="2"/>
      <c r="L119" s="6">
        <f t="shared" si="94"/>
        <v>25.87</v>
      </c>
      <c r="M119" s="2"/>
      <c r="N119" s="7">
        <f t="shared" si="95"/>
        <v>0</v>
      </c>
      <c r="O119" s="11"/>
      <c r="P119" s="6">
        <v>25.87</v>
      </c>
      <c r="Q119" s="2"/>
      <c r="R119" s="7">
        <f t="shared" si="96"/>
        <v>2.0913688390704297E-6</v>
      </c>
      <c r="S119" s="2"/>
      <c r="T119" s="6">
        <v>2400</v>
      </c>
      <c r="U119" s="2"/>
      <c r="V119" s="7">
        <f t="shared" si="97"/>
        <v>1.8665384562140409E-4</v>
      </c>
      <c r="W119" s="2"/>
      <c r="X119" s="6">
        <f t="shared" si="98"/>
        <v>-2374.13</v>
      </c>
      <c r="Y119" s="2"/>
      <c r="Z119" s="7">
        <f t="shared" si="99"/>
        <v>-0.98922083333333333</v>
      </c>
    </row>
    <row r="120" spans="1:26" s="24" customFormat="1" hidden="1" outlineLevel="2" x14ac:dyDescent="0.25">
      <c r="A120" s="25"/>
      <c r="B120" s="11" t="str">
        <f>CONCATENATE("          ", "6247", " - ", "STORE SUPPLIES")</f>
        <v xml:space="preserve">          6247 - STORE SUPPLIES</v>
      </c>
      <c r="C120" s="11"/>
      <c r="D120" s="6">
        <v>3144.53</v>
      </c>
      <c r="E120" s="2"/>
      <c r="F120" s="7">
        <f t="shared" si="92"/>
        <v>1.4798206275916587E-3</v>
      </c>
      <c r="G120" s="2"/>
      <c r="H120" s="6">
        <v>300.3</v>
      </c>
      <c r="I120" s="2"/>
      <c r="J120" s="7">
        <f t="shared" si="93"/>
        <v>1.4228093923424143E-4</v>
      </c>
      <c r="K120" s="2"/>
      <c r="L120" s="6">
        <f t="shared" si="94"/>
        <v>2844.23</v>
      </c>
      <c r="M120" s="2"/>
      <c r="N120" s="7">
        <f t="shared" si="95"/>
        <v>9.4712953712953709</v>
      </c>
      <c r="O120" s="11"/>
      <c r="P120" s="6">
        <v>6588.92</v>
      </c>
      <c r="Q120" s="2"/>
      <c r="R120" s="7">
        <f t="shared" si="96"/>
        <v>5.3265798110274198E-4</v>
      </c>
      <c r="S120" s="2"/>
      <c r="T120" s="6">
        <v>4197.32</v>
      </c>
      <c r="U120" s="2"/>
      <c r="V120" s="7">
        <f t="shared" si="97"/>
        <v>3.2643579970984655E-4</v>
      </c>
      <c r="W120" s="2"/>
      <c r="X120" s="6">
        <f t="shared" si="98"/>
        <v>2391.6000000000004</v>
      </c>
      <c r="Y120" s="2"/>
      <c r="Z120" s="7">
        <f t="shared" si="99"/>
        <v>0.56979215308816111</v>
      </c>
    </row>
    <row r="121" spans="1:26" s="24" customFormat="1" hidden="1" outlineLevel="2" x14ac:dyDescent="0.25">
      <c r="A121" s="25"/>
      <c r="B121" s="11" t="str">
        <f>CONCATENATE("          ", "6248", " - ", "UNIFORMS")</f>
        <v xml:space="preserve">          6248 - UNIFORMS</v>
      </c>
      <c r="C121" s="11"/>
      <c r="D121" s="6">
        <v>458.07</v>
      </c>
      <c r="E121" s="2"/>
      <c r="F121" s="7">
        <f t="shared" si="92"/>
        <v>2.1556844262287563E-4</v>
      </c>
      <c r="G121" s="2"/>
      <c r="H121" s="6">
        <v>625</v>
      </c>
      <c r="I121" s="2"/>
      <c r="J121" s="7">
        <f t="shared" si="93"/>
        <v>2.9612250090376585E-4</v>
      </c>
      <c r="K121" s="2"/>
      <c r="L121" s="6">
        <f t="shared" si="94"/>
        <v>-166.93</v>
      </c>
      <c r="M121" s="2"/>
      <c r="N121" s="7">
        <f t="shared" si="95"/>
        <v>-0.26708799999999999</v>
      </c>
      <c r="O121" s="11"/>
      <c r="P121" s="6">
        <v>2644.43</v>
      </c>
      <c r="Q121" s="2"/>
      <c r="R121" s="7">
        <f t="shared" si="96"/>
        <v>2.1377960955172077E-4</v>
      </c>
      <c r="S121" s="2"/>
      <c r="T121" s="6">
        <v>24800</v>
      </c>
      <c r="U121" s="2"/>
      <c r="V121" s="7">
        <f t="shared" si="97"/>
        <v>1.928756404754509E-3</v>
      </c>
      <c r="W121" s="2"/>
      <c r="X121" s="6">
        <f t="shared" si="98"/>
        <v>-22155.57</v>
      </c>
      <c r="Y121" s="2"/>
      <c r="Z121" s="7">
        <f t="shared" si="99"/>
        <v>-0.89336975806451613</v>
      </c>
    </row>
    <row r="122" spans="1:26" s="27" customFormat="1" outlineLevel="1" collapsed="1" x14ac:dyDescent="0.25">
      <c r="A122" s="26"/>
      <c r="B122" s="13" t="str">
        <f>CONCATENATE("     ","Telephone/Data Lines                              ")</f>
        <v xml:space="preserve">     Telephone/Data Lines                              </v>
      </c>
      <c r="C122" s="13"/>
      <c r="D122" s="1">
        <f>SUM(OSRRefD22_22x_0)</f>
        <v>2298.4</v>
      </c>
      <c r="E122" s="1"/>
      <c r="F122" s="5">
        <f t="shared" ref="F122:F124" si="100">IF(D$12=0,0,D122/D$12)</f>
        <v>1.0816305554269378E-3</v>
      </c>
      <c r="G122" s="1"/>
      <c r="H122" s="1">
        <f>SUM(OSRRefH22_22x_0)</f>
        <v>2804</v>
      </c>
      <c r="I122" s="1"/>
      <c r="J122" s="5">
        <f t="shared" ref="J122:J124" si="101">IF(H$12=0,0,H122/H$12)</f>
        <v>1.3285239880546553E-3</v>
      </c>
      <c r="K122" s="1"/>
      <c r="L122" s="1">
        <f t="shared" ref="L122:L124" si="102">+D122-H122</f>
        <v>-505.59999999999991</v>
      </c>
      <c r="M122" s="1"/>
      <c r="N122" s="5">
        <f t="shared" ref="N122:N124" si="103">IF(H122=0,0,L122/H122)</f>
        <v>-0.18031383737517828</v>
      </c>
      <c r="O122" s="13"/>
      <c r="P122" s="1">
        <f>SUM(OSRRefP22_22x_0)</f>
        <v>20092.73</v>
      </c>
      <c r="Q122" s="1"/>
      <c r="R122" s="5">
        <f t="shared" ref="R122:R124" si="104">IF(P$12=0,0,P122/P$12)</f>
        <v>1.6243258374122765E-3</v>
      </c>
      <c r="S122" s="1"/>
      <c r="T122" s="1">
        <f>SUM(OSRRefT22_22x_0)</f>
        <v>21563</v>
      </c>
      <c r="U122" s="1"/>
      <c r="V122" s="5">
        <f t="shared" ref="V122:V124" si="105">IF(T$12=0,0,T122/T$12)</f>
        <v>1.6770070304726401E-3</v>
      </c>
      <c r="W122" s="1"/>
      <c r="X122" s="1">
        <f t="shared" ref="X122:X124" si="106">+P122-T122</f>
        <v>-1470.2700000000004</v>
      </c>
      <c r="Y122" s="1"/>
      <c r="Z122" s="5">
        <f t="shared" ref="Z122:Z124" si="107">IF(T122=0,0,X122/T122)</f>
        <v>-6.8184853684552266E-2</v>
      </c>
    </row>
    <row r="123" spans="1:26" s="24" customFormat="1" hidden="1" outlineLevel="2" x14ac:dyDescent="0.25">
      <c r="A123" s="25"/>
      <c r="B123" s="11" t="str">
        <f>CONCATENATE("          ", "6303", " - ", "DATA PHONE LINES")</f>
        <v xml:space="preserve">          6303 - DATA PHONE LINES</v>
      </c>
      <c r="C123" s="11"/>
      <c r="D123" s="6"/>
      <c r="E123" s="2"/>
      <c r="F123" s="7">
        <f t="shared" si="100"/>
        <v>0</v>
      </c>
      <c r="G123" s="2"/>
      <c r="H123" s="6">
        <v>696</v>
      </c>
      <c r="I123" s="2"/>
      <c r="J123" s="7">
        <f t="shared" si="101"/>
        <v>3.2976201700643369E-4</v>
      </c>
      <c r="K123" s="2"/>
      <c r="L123" s="6">
        <f t="shared" si="102"/>
        <v>-696</v>
      </c>
      <c r="M123" s="2"/>
      <c r="N123" s="7">
        <f t="shared" si="103"/>
        <v>-1</v>
      </c>
      <c r="O123" s="11"/>
      <c r="P123" s="6"/>
      <c r="Q123" s="2"/>
      <c r="R123" s="7">
        <f t="shared" si="104"/>
        <v>0</v>
      </c>
      <c r="S123" s="2"/>
      <c r="T123" s="6">
        <v>4774</v>
      </c>
      <c r="U123" s="2"/>
      <c r="V123" s="7">
        <f t="shared" si="105"/>
        <v>3.71285607915243E-4</v>
      </c>
      <c r="W123" s="2"/>
      <c r="X123" s="6">
        <f t="shared" si="106"/>
        <v>-4774</v>
      </c>
      <c r="Y123" s="2"/>
      <c r="Z123" s="7">
        <f t="shared" si="107"/>
        <v>-1</v>
      </c>
    </row>
    <row r="124" spans="1:26" s="24" customFormat="1" hidden="1" outlineLevel="2" x14ac:dyDescent="0.25">
      <c r="A124" s="25"/>
      <c r="B124" s="11" t="str">
        <f>CONCATENATE("          ", "6309", " - ", "TELEPHONE")</f>
        <v xml:space="preserve">          6309 - TELEPHONE</v>
      </c>
      <c r="C124" s="11"/>
      <c r="D124" s="6">
        <v>2298.4</v>
      </c>
      <c r="E124" s="2"/>
      <c r="F124" s="7">
        <f t="shared" si="100"/>
        <v>1.0816305554269378E-3</v>
      </c>
      <c r="G124" s="2"/>
      <c r="H124" s="6">
        <v>2108</v>
      </c>
      <c r="I124" s="2"/>
      <c r="J124" s="7">
        <f t="shared" si="101"/>
        <v>9.9876197104822157E-4</v>
      </c>
      <c r="K124" s="2"/>
      <c r="L124" s="6">
        <f t="shared" si="102"/>
        <v>190.40000000000009</v>
      </c>
      <c r="M124" s="2"/>
      <c r="N124" s="7">
        <f t="shared" si="103"/>
        <v>9.0322580645161327E-2</v>
      </c>
      <c r="O124" s="11"/>
      <c r="P124" s="6">
        <v>20092.73</v>
      </c>
      <c r="Q124" s="2"/>
      <c r="R124" s="7">
        <f t="shared" si="104"/>
        <v>1.6243258374122765E-3</v>
      </c>
      <c r="S124" s="2"/>
      <c r="T124" s="6">
        <v>16789</v>
      </c>
      <c r="U124" s="2"/>
      <c r="V124" s="7">
        <f t="shared" si="105"/>
        <v>1.3057214225573972E-3</v>
      </c>
      <c r="W124" s="2"/>
      <c r="X124" s="6">
        <f t="shared" si="106"/>
        <v>3303.7299999999996</v>
      </c>
      <c r="Y124" s="2"/>
      <c r="Z124" s="7">
        <f t="shared" si="107"/>
        <v>0.19677943891833935</v>
      </c>
    </row>
    <row r="125" spans="1:26" s="27" customFormat="1" outlineLevel="1" collapsed="1" x14ac:dyDescent="0.25">
      <c r="A125" s="26"/>
      <c r="B125" s="13" t="str">
        <f>CONCATENATE("     ","Training                                          ")</f>
        <v xml:space="preserve">     Training                                          </v>
      </c>
      <c r="C125" s="13"/>
      <c r="D125" s="1">
        <f>SUM(OSRRefD22_23x_0)</f>
        <v>455.05</v>
      </c>
      <c r="E125" s="1"/>
      <c r="F125" s="5">
        <f t="shared" ref="F125:F130" si="108">IF(D$12=0,0,D125/D$12)</f>
        <v>2.1414722600375391E-4</v>
      </c>
      <c r="G125" s="1"/>
      <c r="H125" s="1">
        <f>SUM(OSRRefH22_23x_0)</f>
        <v>2000</v>
      </c>
      <c r="I125" s="1"/>
      <c r="J125" s="5">
        <f t="shared" ref="J125:J130" si="109">IF(H$12=0,0,H125/H$12)</f>
        <v>9.4759200289205078E-4</v>
      </c>
      <c r="K125" s="1"/>
      <c r="L125" s="1">
        <f t="shared" ref="L125:L130" si="110">+D125-H125</f>
        <v>-1544.95</v>
      </c>
      <c r="M125" s="1"/>
      <c r="N125" s="5">
        <f t="shared" ref="N125:N130" si="111">IF(H125=0,0,L125/H125)</f>
        <v>-0.77247500000000002</v>
      </c>
      <c r="O125" s="13"/>
      <c r="P125" s="1">
        <f>SUM(OSRRefP22_23x_0)</f>
        <v>8301.24</v>
      </c>
      <c r="Q125" s="1"/>
      <c r="R125" s="5">
        <f t="shared" ref="R125:R130" si="112">IF(P$12=0,0,P125/P$12)</f>
        <v>6.7108444768631669E-4</v>
      </c>
      <c r="S125" s="1"/>
      <c r="T125" s="1">
        <f>SUM(OSRRefT22_23x_0)</f>
        <v>21817</v>
      </c>
      <c r="U125" s="1"/>
      <c r="V125" s="5">
        <f t="shared" ref="V125:V130" si="113">IF(T$12=0,0,T125/T$12)</f>
        <v>1.6967612291342389E-3</v>
      </c>
      <c r="W125" s="1"/>
      <c r="X125" s="1">
        <f t="shared" ref="X125:X130" si="114">+P125-T125</f>
        <v>-13515.76</v>
      </c>
      <c r="Y125" s="1"/>
      <c r="Z125" s="5">
        <f t="shared" ref="Z125:Z130" si="115">IF(T125=0,0,X125/T125)</f>
        <v>-0.61950588990236977</v>
      </c>
    </row>
    <row r="126" spans="1:26" s="24" customFormat="1" hidden="1" outlineLevel="2" x14ac:dyDescent="0.25">
      <c r="A126" s="25"/>
      <c r="B126" s="11" t="str">
        <f>CONCATENATE("          ", "6376", " - ", "TRAINING")</f>
        <v xml:space="preserve">          6376 - TRAINING</v>
      </c>
      <c r="C126" s="11"/>
      <c r="D126" s="6">
        <v>455.05</v>
      </c>
      <c r="E126" s="2"/>
      <c r="F126" s="7">
        <f t="shared" si="108"/>
        <v>2.1414722600375391E-4</v>
      </c>
      <c r="G126" s="2"/>
      <c r="H126" s="6">
        <v>2000</v>
      </c>
      <c r="I126" s="2"/>
      <c r="J126" s="7">
        <f t="shared" si="109"/>
        <v>9.4759200289205078E-4</v>
      </c>
      <c r="K126" s="2"/>
      <c r="L126" s="6">
        <f t="shared" si="110"/>
        <v>-1544.95</v>
      </c>
      <c r="M126" s="2"/>
      <c r="N126" s="7">
        <f t="shared" si="111"/>
        <v>-0.77247500000000002</v>
      </c>
      <c r="O126" s="11"/>
      <c r="P126" s="6">
        <v>8301.24</v>
      </c>
      <c r="Q126" s="2"/>
      <c r="R126" s="7">
        <f t="shared" si="112"/>
        <v>6.7108444768631669E-4</v>
      </c>
      <c r="S126" s="2"/>
      <c r="T126" s="6">
        <v>21817</v>
      </c>
      <c r="U126" s="2"/>
      <c r="V126" s="7">
        <f t="shared" si="113"/>
        <v>1.6967612291342389E-3</v>
      </c>
      <c r="W126" s="2"/>
      <c r="X126" s="6">
        <f t="shared" si="114"/>
        <v>-13515.76</v>
      </c>
      <c r="Y126" s="2"/>
      <c r="Z126" s="7">
        <f t="shared" si="115"/>
        <v>-0.61950588990236977</v>
      </c>
    </row>
    <row r="127" spans="1:26" s="27" customFormat="1" outlineLevel="1" collapsed="1" x14ac:dyDescent="0.25">
      <c r="A127" s="26"/>
      <c r="B127" s="13" t="str">
        <f>CONCATENATE("     ","Travel                                            ")</f>
        <v xml:space="preserve">     Travel                                            </v>
      </c>
      <c r="C127" s="13"/>
      <c r="D127" s="1">
        <f>SUM(OSRRefD22_24x_0)</f>
        <v>145.49</v>
      </c>
      <c r="E127" s="1"/>
      <c r="F127" s="5">
        <f t="shared" si="108"/>
        <v>6.8467816528482937E-5</v>
      </c>
      <c r="G127" s="1"/>
      <c r="H127" s="1">
        <f>SUM(OSRRefH22_24x_0)</f>
        <v>3110</v>
      </c>
      <c r="I127" s="1"/>
      <c r="J127" s="5">
        <f t="shared" si="109"/>
        <v>1.4735055644971391E-3</v>
      </c>
      <c r="K127" s="1"/>
      <c r="L127" s="1">
        <f t="shared" si="110"/>
        <v>-2964.51</v>
      </c>
      <c r="M127" s="1"/>
      <c r="N127" s="5">
        <f t="shared" si="111"/>
        <v>-0.95321864951768498</v>
      </c>
      <c r="O127" s="13"/>
      <c r="P127" s="1">
        <f>SUM(OSRRefP22_24x_0)</f>
        <v>5109.1000000000004</v>
      </c>
      <c r="Q127" s="1"/>
      <c r="R127" s="5">
        <f t="shared" si="112"/>
        <v>4.1302715638557143E-4</v>
      </c>
      <c r="S127" s="1"/>
      <c r="T127" s="1">
        <f>SUM(OSRRefT22_24x_0)</f>
        <v>14680</v>
      </c>
      <c r="U127" s="1"/>
      <c r="V127" s="5">
        <f t="shared" si="113"/>
        <v>1.1416993557175883E-3</v>
      </c>
      <c r="W127" s="1"/>
      <c r="X127" s="1">
        <f t="shared" si="114"/>
        <v>-9570.9</v>
      </c>
      <c r="Y127" s="1"/>
      <c r="Z127" s="5">
        <f t="shared" si="115"/>
        <v>-0.65196866485013627</v>
      </c>
    </row>
    <row r="128" spans="1:26" s="24" customFormat="1" hidden="1" outlineLevel="2" x14ac:dyDescent="0.25">
      <c r="A128" s="25"/>
      <c r="B128" s="11" t="str">
        <f>CONCATENATE("          ", "6292", " - ", "TRAVEL/CONFERENCE")</f>
        <v xml:space="preserve">          6292 - TRAVEL/CONFERENCE</v>
      </c>
      <c r="C128" s="11"/>
      <c r="D128" s="6">
        <v>88.83</v>
      </c>
      <c r="E128" s="2"/>
      <c r="F128" s="7">
        <f t="shared" si="108"/>
        <v>4.180353386641789E-5</v>
      </c>
      <c r="G128" s="2"/>
      <c r="H128" s="6">
        <v>3000</v>
      </c>
      <c r="I128" s="2"/>
      <c r="J128" s="7">
        <f t="shared" si="109"/>
        <v>1.4213880043380761E-3</v>
      </c>
      <c r="K128" s="2"/>
      <c r="L128" s="6">
        <f t="shared" si="110"/>
        <v>-2911.17</v>
      </c>
      <c r="M128" s="2"/>
      <c r="N128" s="7">
        <f t="shared" si="111"/>
        <v>-0.97038999999999997</v>
      </c>
      <c r="O128" s="11"/>
      <c r="P128" s="6">
        <v>4130.13</v>
      </c>
      <c r="Q128" s="2"/>
      <c r="R128" s="7">
        <f t="shared" si="112"/>
        <v>3.3388578211480301E-4</v>
      </c>
      <c r="S128" s="2"/>
      <c r="T128" s="6">
        <v>13800</v>
      </c>
      <c r="U128" s="2"/>
      <c r="V128" s="7">
        <f t="shared" si="113"/>
        <v>1.0732596123230736E-3</v>
      </c>
      <c r="W128" s="2"/>
      <c r="X128" s="6">
        <f t="shared" si="114"/>
        <v>-9669.869999999999</v>
      </c>
      <c r="Y128" s="2"/>
      <c r="Z128" s="7">
        <f t="shared" si="115"/>
        <v>-0.70071521739130427</v>
      </c>
    </row>
    <row r="129" spans="1:26" s="24" customFormat="1" hidden="1" outlineLevel="2" x14ac:dyDescent="0.25">
      <c r="A129" s="25"/>
      <c r="B129" s="11" t="str">
        <f>CONCATENATE("          ", "6294", " - ", "TRAVEL OPERATIONAL")</f>
        <v xml:space="preserve">          6294 - TRAVEL OPERATIONAL</v>
      </c>
      <c r="C129" s="11"/>
      <c r="D129" s="6"/>
      <c r="E129" s="2"/>
      <c r="F129" s="7">
        <f t="shared" si="108"/>
        <v>0</v>
      </c>
      <c r="G129" s="2"/>
      <c r="H129" s="6"/>
      <c r="I129" s="2"/>
      <c r="J129" s="7">
        <f t="shared" si="109"/>
        <v>0</v>
      </c>
      <c r="K129" s="2"/>
      <c r="L129" s="6">
        <f t="shared" si="110"/>
        <v>0</v>
      </c>
      <c r="M129" s="2"/>
      <c r="N129" s="7">
        <f t="shared" si="111"/>
        <v>0</v>
      </c>
      <c r="O129" s="11"/>
      <c r="P129" s="6">
        <v>45.49</v>
      </c>
      <c r="Q129" s="2"/>
      <c r="R129" s="7">
        <f t="shared" si="112"/>
        <v>3.6774784881837594E-6</v>
      </c>
      <c r="S129" s="2"/>
      <c r="T129" s="6"/>
      <c r="U129" s="2"/>
      <c r="V129" s="7">
        <f t="shared" si="113"/>
        <v>0</v>
      </c>
      <c r="W129" s="2"/>
      <c r="X129" s="6">
        <f t="shared" si="114"/>
        <v>45.49</v>
      </c>
      <c r="Y129" s="2"/>
      <c r="Z129" s="7">
        <f t="shared" si="115"/>
        <v>0</v>
      </c>
    </row>
    <row r="130" spans="1:26" s="24" customFormat="1" hidden="1" outlineLevel="2" x14ac:dyDescent="0.25">
      <c r="A130" s="25"/>
      <c r="B130" s="11" t="str">
        <f>CONCATENATE("          ", "6298", " - ", "VEHICLE MILEAGE")</f>
        <v xml:space="preserve">          6298 - VEHICLE MILEAGE</v>
      </c>
      <c r="C130" s="11"/>
      <c r="D130" s="6">
        <v>56.66</v>
      </c>
      <c r="E130" s="2"/>
      <c r="F130" s="7">
        <f t="shared" si="108"/>
        <v>2.666428266206504E-5</v>
      </c>
      <c r="G130" s="2"/>
      <c r="H130" s="6">
        <v>110</v>
      </c>
      <c r="I130" s="2"/>
      <c r="J130" s="7">
        <f t="shared" si="109"/>
        <v>5.2117560159062794E-5</v>
      </c>
      <c r="K130" s="2"/>
      <c r="L130" s="6">
        <f t="shared" si="110"/>
        <v>-53.34</v>
      </c>
      <c r="M130" s="2"/>
      <c r="N130" s="7">
        <f t="shared" si="111"/>
        <v>-0.48490909090909096</v>
      </c>
      <c r="O130" s="11"/>
      <c r="P130" s="6">
        <v>933.48</v>
      </c>
      <c r="Q130" s="2"/>
      <c r="R130" s="7">
        <f t="shared" si="112"/>
        <v>7.5463895782584644E-5</v>
      </c>
      <c r="S130" s="2"/>
      <c r="T130" s="6">
        <v>880</v>
      </c>
      <c r="U130" s="2"/>
      <c r="V130" s="7">
        <f t="shared" si="113"/>
        <v>6.8439743394514837E-5</v>
      </c>
      <c r="W130" s="2"/>
      <c r="X130" s="6">
        <f t="shared" si="114"/>
        <v>53.480000000000018</v>
      </c>
      <c r="Y130" s="2"/>
      <c r="Z130" s="7">
        <f t="shared" si="115"/>
        <v>6.0772727272727291E-2</v>
      </c>
    </row>
    <row r="131" spans="1:26" s="27" customFormat="1" outlineLevel="1" collapsed="1" x14ac:dyDescent="0.25">
      <c r="A131" s="26"/>
      <c r="B131" s="13" t="str">
        <f>CONCATENATE("     ","Utilities                                         ")</f>
        <v xml:space="preserve">     Utilities                                         </v>
      </c>
      <c r="C131" s="13"/>
      <c r="D131" s="1">
        <f>SUM(OSRRefD22_25x_0)</f>
        <v>15583</v>
      </c>
      <c r="E131" s="1"/>
      <c r="F131" s="5">
        <f t="shared" ref="F131:F132" si="116">IF(D$12=0,0,D131/D$12)</f>
        <v>7.333383634362152E-3</v>
      </c>
      <c r="G131" s="1"/>
      <c r="H131" s="1">
        <f>SUM(OSRRefH22_25x_0)</f>
        <v>17450</v>
      </c>
      <c r="I131" s="1"/>
      <c r="J131" s="5">
        <f t="shared" ref="J131:J132" si="117">IF(H$12=0,0,H131/H$12)</f>
        <v>8.2677402252331438E-3</v>
      </c>
      <c r="K131" s="1"/>
      <c r="L131" s="1">
        <f t="shared" ref="L131:L132" si="118">+D131-H131</f>
        <v>-1867</v>
      </c>
      <c r="M131" s="1"/>
      <c r="N131" s="5">
        <f t="shared" ref="N131:N132" si="119">IF(H131=0,0,L131/H131)</f>
        <v>-0.10699140401146132</v>
      </c>
      <c r="O131" s="13"/>
      <c r="P131" s="1">
        <f>SUM(OSRRefP22_25x_0)</f>
        <v>128053</v>
      </c>
      <c r="Q131" s="1"/>
      <c r="R131" s="5">
        <f t="shared" ref="R131:R132" si="120">IF(P$12=0,0,P131/P$12)</f>
        <v>1.0351992808252251E-2</v>
      </c>
      <c r="S131" s="1"/>
      <c r="T131" s="1">
        <f>SUM(OSRRefT22_25x_0)</f>
        <v>154600</v>
      </c>
      <c r="U131" s="1"/>
      <c r="V131" s="5">
        <f t="shared" ref="V131:V132" si="121">IF(T$12=0,0,T131/T$12)</f>
        <v>1.2023618555445446E-2</v>
      </c>
      <c r="W131" s="1"/>
      <c r="X131" s="1">
        <f t="shared" ref="X131:X132" si="122">+P131-T131</f>
        <v>-26547</v>
      </c>
      <c r="Y131" s="1"/>
      <c r="Z131" s="5">
        <f t="shared" ref="Z131:Z132" si="123">IF(T131=0,0,X131/T131)</f>
        <v>-0.17171410090556274</v>
      </c>
    </row>
    <row r="132" spans="1:26" s="24" customFormat="1" hidden="1" outlineLevel="2" x14ac:dyDescent="0.25">
      <c r="A132" s="25"/>
      <c r="B132" s="11" t="str">
        <f>CONCATENATE("          ", "6274", " - ", "UTILITIES")</f>
        <v xml:space="preserve">          6274 - UTILITIES</v>
      </c>
      <c r="C132" s="11"/>
      <c r="D132" s="6">
        <v>15583</v>
      </c>
      <c r="E132" s="2"/>
      <c r="F132" s="7">
        <f t="shared" si="116"/>
        <v>7.333383634362152E-3</v>
      </c>
      <c r="G132" s="2"/>
      <c r="H132" s="6">
        <v>17450</v>
      </c>
      <c r="I132" s="2"/>
      <c r="J132" s="7">
        <f t="shared" si="117"/>
        <v>8.2677402252331438E-3</v>
      </c>
      <c r="K132" s="2"/>
      <c r="L132" s="6">
        <f t="shared" si="118"/>
        <v>-1867</v>
      </c>
      <c r="M132" s="2"/>
      <c r="N132" s="7">
        <f t="shared" si="119"/>
        <v>-0.10699140401146132</v>
      </c>
      <c r="O132" s="11"/>
      <c r="P132" s="6">
        <v>128053</v>
      </c>
      <c r="Q132" s="2"/>
      <c r="R132" s="7">
        <f t="shared" si="120"/>
        <v>1.0351992808252251E-2</v>
      </c>
      <c r="S132" s="2"/>
      <c r="T132" s="6">
        <v>154600</v>
      </c>
      <c r="U132" s="2"/>
      <c r="V132" s="7">
        <f t="shared" si="121"/>
        <v>1.2023618555445446E-2</v>
      </c>
      <c r="W132" s="2"/>
      <c r="X132" s="6">
        <f t="shared" si="122"/>
        <v>-26547</v>
      </c>
      <c r="Y132" s="2"/>
      <c r="Z132" s="7">
        <f t="shared" si="123"/>
        <v>-0.17171410090556274</v>
      </c>
    </row>
    <row r="133" spans="1:26" s="53" customFormat="1" x14ac:dyDescent="0.25">
      <c r="A133" s="36"/>
      <c r="B133" s="36"/>
      <c r="C133" s="36"/>
      <c r="D133" s="1"/>
      <c r="E133" s="1"/>
      <c r="F133" s="5"/>
      <c r="G133" s="1"/>
      <c r="H133" s="1"/>
      <c r="I133" s="1"/>
      <c r="J133" s="5"/>
      <c r="K133" s="1"/>
      <c r="L133" s="1"/>
      <c r="M133" s="1"/>
      <c r="N133" s="5"/>
      <c r="O133" s="36"/>
      <c r="P133" s="1"/>
      <c r="Q133" s="1"/>
      <c r="R133" s="5"/>
      <c r="S133" s="1"/>
      <c r="T133" s="1"/>
      <c r="U133" s="1"/>
      <c r="V133" s="5"/>
      <c r="W133" s="1"/>
      <c r="X133" s="1"/>
      <c r="Y133" s="1"/>
      <c r="Z133" s="5"/>
    </row>
    <row r="134" spans="1:26" s="23" customFormat="1" collapsed="1" x14ac:dyDescent="0.25">
      <c r="A134" s="10"/>
      <c r="B134" s="29" t="s">
        <v>0</v>
      </c>
      <c r="C134" s="10"/>
      <c r="D134" s="4">
        <f>SUM(OSRRefD25x_0)</f>
        <v>26842.02</v>
      </c>
      <c r="E134" s="4"/>
      <c r="F134" s="12">
        <f t="shared" ref="F134:F138" si="124">IF(D$12=0,0,D134/D$12)</f>
        <v>1.2631895667151484E-2</v>
      </c>
      <c r="G134" s="4"/>
      <c r="H134" s="4">
        <f>SUM(OSRRefH25x_0)</f>
        <v>31797</v>
      </c>
      <c r="I134" s="4"/>
      <c r="J134" s="12">
        <f t="shared" ref="J134:J138" si="125">IF(H$12=0,0,H134/H$12)</f>
        <v>1.5065291457979269E-2</v>
      </c>
      <c r="K134" s="4"/>
      <c r="L134" s="4">
        <f t="shared" ref="L134:L138" si="126">+D134-H134</f>
        <v>-4954.9799999999996</v>
      </c>
      <c r="M134" s="4"/>
      <c r="N134" s="12">
        <f t="shared" ref="N134:N138" si="127">IF(H134=0,0,L134/H134)</f>
        <v>-0.15583168223417301</v>
      </c>
      <c r="O134" s="10"/>
      <c r="P134" s="4">
        <f>SUM(OSRRefP25x_0)</f>
        <v>606786.93999999994</v>
      </c>
      <c r="Q134" s="4"/>
      <c r="R134" s="12">
        <f t="shared" ref="R134:R138" si="128">IF(P$12=0,0,P134/P$12)</f>
        <v>4.905354844495162E-2</v>
      </c>
      <c r="S134" s="4"/>
      <c r="T134" s="4">
        <f>SUM(OSRRefT25x_0)</f>
        <v>523521</v>
      </c>
      <c r="U134" s="4"/>
      <c r="V134" s="12">
        <f t="shared" ref="V134:V138" si="129">IF(T$12=0,0,T134/T$12)</f>
        <v>4.0715503297317955E-2</v>
      </c>
      <c r="W134" s="4"/>
      <c r="X134" s="4">
        <f t="shared" ref="X134:X138" si="130">+P134-T134</f>
        <v>83265.939999999944</v>
      </c>
      <c r="Y134" s="4"/>
      <c r="Z134" s="12">
        <f t="shared" ref="Z134:Z138" si="131">IF(T134=0,0,X134/T134)</f>
        <v>0.15904985664376395</v>
      </c>
    </row>
    <row r="135" spans="1:26" s="24" customFormat="1" hidden="1" outlineLevel="1" x14ac:dyDescent="0.25">
      <c r="A135" s="44"/>
      <c r="B135" s="11" t="str">
        <f>CONCATENATE("          ", "9150", " - ", "MISC. INCOME")</f>
        <v xml:space="preserve">          9150 - MISC. INCOME</v>
      </c>
      <c r="C135" s="11"/>
      <c r="D135" s="2">
        <f>--17750.66</f>
        <v>17750.66</v>
      </c>
      <c r="E135" s="2"/>
      <c r="F135" s="19">
        <f t="shared" si="124"/>
        <v>8.3534877458208857E-3</v>
      </c>
      <c r="G135" s="2"/>
      <c r="H135" s="2">
        <v>22996</v>
      </c>
      <c r="I135" s="2"/>
      <c r="J135" s="19">
        <f t="shared" si="125"/>
        <v>1.08954128492528E-2</v>
      </c>
      <c r="K135" s="2"/>
      <c r="L135" s="2">
        <f t="shared" si="126"/>
        <v>-5245.34</v>
      </c>
      <c r="M135" s="2"/>
      <c r="N135" s="19">
        <f t="shared" si="127"/>
        <v>-0.22809793007479562</v>
      </c>
      <c r="O135" s="11"/>
      <c r="P135" s="2">
        <f>--247882.52</f>
        <v>247882.52</v>
      </c>
      <c r="Q135" s="2"/>
      <c r="R135" s="19">
        <f t="shared" si="128"/>
        <v>2.0039187401555955E-2</v>
      </c>
      <c r="S135" s="2"/>
      <c r="T135" s="2">
        <v>237977</v>
      </c>
      <c r="U135" s="2"/>
      <c r="V135" s="19">
        <f t="shared" si="129"/>
        <v>1.8508050924768701E-2</v>
      </c>
      <c r="W135" s="2"/>
      <c r="X135" s="2">
        <f t="shared" si="130"/>
        <v>9905.5199999999895</v>
      </c>
      <c r="Y135" s="2"/>
      <c r="Z135" s="19">
        <f t="shared" si="131"/>
        <v>4.1623854406098025E-2</v>
      </c>
    </row>
    <row r="136" spans="1:26" s="24" customFormat="1" hidden="1" outlineLevel="1" x14ac:dyDescent="0.25">
      <c r="A136" s="44"/>
      <c r="B136" s="11" t="str">
        <f>CONCATENATE("          ", "9151", " - ", "MISC. INCOME")</f>
        <v xml:space="preserve">          9151 - MISC. INCOME</v>
      </c>
      <c r="C136" s="11"/>
      <c r="D136" s="2">
        <f>0</f>
        <v>0</v>
      </c>
      <c r="E136" s="2"/>
      <c r="F136" s="19">
        <f t="shared" si="124"/>
        <v>0</v>
      </c>
      <c r="G136" s="2"/>
      <c r="H136" s="2">
        <v>8801</v>
      </c>
      <c r="I136" s="2"/>
      <c r="J136" s="19">
        <f t="shared" si="125"/>
        <v>4.1698786087264695E-3</v>
      </c>
      <c r="K136" s="2"/>
      <c r="L136" s="2">
        <f t="shared" si="126"/>
        <v>-8801</v>
      </c>
      <c r="M136" s="2"/>
      <c r="N136" s="19">
        <f t="shared" si="127"/>
        <v>-1</v>
      </c>
      <c r="O136" s="11"/>
      <c r="P136" s="2">
        <f>0</f>
        <v>0</v>
      </c>
      <c r="Q136" s="2"/>
      <c r="R136" s="19">
        <f t="shared" si="128"/>
        <v>0</v>
      </c>
      <c r="S136" s="2"/>
      <c r="T136" s="2">
        <v>285544</v>
      </c>
      <c r="U136" s="2"/>
      <c r="V136" s="19">
        <f t="shared" si="129"/>
        <v>2.2207452372549254E-2</v>
      </c>
      <c r="W136" s="2"/>
      <c r="X136" s="2">
        <f t="shared" si="130"/>
        <v>-285544</v>
      </c>
      <c r="Y136" s="2"/>
      <c r="Z136" s="19">
        <f t="shared" si="131"/>
        <v>-1</v>
      </c>
    </row>
    <row r="137" spans="1:26" s="24" customFormat="1" hidden="1" outlineLevel="1" x14ac:dyDescent="0.25">
      <c r="A137" s="44"/>
      <c r="B137" s="11" t="str">
        <f>CONCATENATE("          ", "9160", " - ", "MISC. INCOME")</f>
        <v xml:space="preserve">          9160 - MISC. INCOME</v>
      </c>
      <c r="C137" s="11"/>
      <c r="D137" s="2">
        <f>--7692.32</f>
        <v>7692.32</v>
      </c>
      <c r="E137" s="2"/>
      <c r="F137" s="19">
        <f t="shared" si="124"/>
        <v>3.6200175574842243E-3</v>
      </c>
      <c r="G137" s="2"/>
      <c r="H137" s="2"/>
      <c r="I137" s="2"/>
      <c r="J137" s="19">
        <f t="shared" si="125"/>
        <v>0</v>
      </c>
      <c r="K137" s="2"/>
      <c r="L137" s="2">
        <f t="shared" si="126"/>
        <v>7692.32</v>
      </c>
      <c r="M137" s="2"/>
      <c r="N137" s="19">
        <f t="shared" si="127"/>
        <v>0</v>
      </c>
      <c r="O137" s="11"/>
      <c r="P137" s="2">
        <f>--130089.32</f>
        <v>130089.32</v>
      </c>
      <c r="Q137" s="2"/>
      <c r="R137" s="19">
        <f t="shared" si="128"/>
        <v>1.0516611911243203E-2</v>
      </c>
      <c r="S137" s="2"/>
      <c r="T137" s="2"/>
      <c r="U137" s="2"/>
      <c r="V137" s="19">
        <f t="shared" si="129"/>
        <v>0</v>
      </c>
      <c r="W137" s="2"/>
      <c r="X137" s="2">
        <f t="shared" si="130"/>
        <v>130089.32</v>
      </c>
      <c r="Y137" s="2"/>
      <c r="Z137" s="19">
        <f t="shared" si="131"/>
        <v>0</v>
      </c>
    </row>
    <row r="138" spans="1:26" s="24" customFormat="1" hidden="1" outlineLevel="1" x14ac:dyDescent="0.25">
      <c r="A138" s="44"/>
      <c r="B138" s="11" t="str">
        <f>CONCATENATE("          ", "9165", " - ", "OTHER INCOME")</f>
        <v xml:space="preserve">          9165 - OTHER INCOME</v>
      </c>
      <c r="C138" s="11"/>
      <c r="D138" s="2">
        <f>--1399.04</f>
        <v>1399.04</v>
      </c>
      <c r="E138" s="2"/>
      <c r="F138" s="19">
        <f t="shared" si="124"/>
        <v>6.5839036384637264E-4</v>
      </c>
      <c r="G138" s="2"/>
      <c r="H138" s="2"/>
      <c r="I138" s="2"/>
      <c r="J138" s="19">
        <f t="shared" si="125"/>
        <v>0</v>
      </c>
      <c r="K138" s="2"/>
      <c r="L138" s="2">
        <f t="shared" si="126"/>
        <v>1399.04</v>
      </c>
      <c r="M138" s="2"/>
      <c r="N138" s="19">
        <f t="shared" si="127"/>
        <v>0</v>
      </c>
      <c r="O138" s="11"/>
      <c r="P138" s="2">
        <f>--228815.1</f>
        <v>228815.1</v>
      </c>
      <c r="Q138" s="2"/>
      <c r="R138" s="19">
        <f t="shared" si="128"/>
        <v>1.8497749132152467E-2</v>
      </c>
      <c r="S138" s="2"/>
      <c r="T138" s="2"/>
      <c r="U138" s="2"/>
      <c r="V138" s="19">
        <f t="shared" si="129"/>
        <v>0</v>
      </c>
      <c r="W138" s="2"/>
      <c r="X138" s="2">
        <f t="shared" si="130"/>
        <v>228815.1</v>
      </c>
      <c r="Y138" s="2"/>
      <c r="Z138" s="19">
        <f t="shared" si="131"/>
        <v>0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x14ac:dyDescent="0.25">
      <c r="A140" s="10"/>
      <c r="B140" s="28" t="s">
        <v>3</v>
      </c>
      <c r="C140" s="28"/>
      <c r="D140" s="21">
        <f>+D31-D33+D134</f>
        <v>414687.80999999959</v>
      </c>
      <c r="E140" s="14"/>
      <c r="F140" s="22">
        <f>IF(D$12=0,0,D140/D$12)</f>
        <v>0.19515271765536024</v>
      </c>
      <c r="G140" s="14"/>
      <c r="H140" s="21">
        <f>+H31-H33+H134</f>
        <v>490588.22313457611</v>
      </c>
      <c r="I140" s="14"/>
      <c r="J140" s="22">
        <f>IF(H$12=0,0,H140/H$12)</f>
        <v>0.23243873847767266</v>
      </c>
      <c r="K140" s="15"/>
      <c r="L140" s="21">
        <f>+D140-H140</f>
        <v>-75900.41313457652</v>
      </c>
      <c r="M140" s="15"/>
      <c r="N140" s="22">
        <f>IF(H140=0,0,L140/H140)</f>
        <v>-0.15471307617132879</v>
      </c>
      <c r="O140" s="29"/>
      <c r="P140" s="21">
        <f>+P31-P33+P134</f>
        <v>1718539.9</v>
      </c>
      <c r="Q140" s="14"/>
      <c r="R140" s="22">
        <f>IF(P$12=0,0,P140/P$12)</f>
        <v>0.13892929244527299</v>
      </c>
      <c r="S140" s="14"/>
      <c r="T140" s="21">
        <f>+T31-T33+T134</f>
        <v>2151011.024920566</v>
      </c>
      <c r="U140" s="14"/>
      <c r="V140" s="22">
        <f>IF(T$12=0,0,T140/T$12)</f>
        <v>0.16728936657310897</v>
      </c>
      <c r="W140" s="15"/>
      <c r="X140" s="21">
        <f>+P140-T140</f>
        <v>-432471.1249205661</v>
      </c>
      <c r="Y140" s="15"/>
      <c r="Z140" s="22">
        <f>IF(T140=0,0,X140/T140)</f>
        <v>-0.20105481557749649</v>
      </c>
    </row>
    <row r="141" spans="1:26" x14ac:dyDescent="0.25">
      <c r="A141" s="9"/>
      <c r="B141" s="10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52"/>
      <c r="B142" s="10" t="s">
        <v>14</v>
      </c>
      <c r="C142" s="10"/>
      <c r="D142" s="4">
        <v>192333.19999999998</v>
      </c>
      <c r="E142" s="4"/>
      <c r="F142" s="12">
        <f>IF(D$12=0,0,D142/D$12)</f>
        <v>9.0512298095649271E-2</v>
      </c>
      <c r="G142" s="4"/>
      <c r="H142" s="4">
        <v>222924</v>
      </c>
      <c r="I142" s="4"/>
      <c r="J142" s="12">
        <f>IF(H$12=0,0,H142/H$12)</f>
        <v>0.10562049982635377</v>
      </c>
      <c r="K142" s="4"/>
      <c r="L142" s="4">
        <f>+D142-H142</f>
        <v>-30590.800000000017</v>
      </c>
      <c r="M142" s="4"/>
      <c r="N142" s="12">
        <f>IF(H142=0,0,L142/H142)</f>
        <v>-0.13722524268360525</v>
      </c>
      <c r="O142" s="10"/>
      <c r="P142" s="4">
        <v>1260736.26</v>
      </c>
      <c r="Q142" s="4"/>
      <c r="R142" s="12">
        <f>IF(P$12=0,0,P142/P$12)</f>
        <v>0.10191977303634307</v>
      </c>
      <c r="S142" s="4"/>
      <c r="T142" s="4">
        <v>1546191</v>
      </c>
      <c r="U142" s="4"/>
      <c r="V142" s="12">
        <f>IF(T$12=0,0,T142/T$12)</f>
        <v>0.12025104008966851</v>
      </c>
      <c r="W142" s="4"/>
      <c r="X142" s="4">
        <f>+P142-T142</f>
        <v>-285454.74</v>
      </c>
      <c r="Y142" s="4"/>
      <c r="Z142" s="12">
        <f>IF(T142=0,0,X142/T142)</f>
        <v>-0.18461803231295487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8" t="s">
        <v>4</v>
      </c>
      <c r="C144" s="28"/>
      <c r="D144" s="31">
        <f>+D140-D142</f>
        <v>222354.60999999961</v>
      </c>
      <c r="E144" s="14"/>
      <c r="F144" s="32">
        <f>IF(D$12=0,0,D144/D$12)</f>
        <v>0.10464041955971097</v>
      </c>
      <c r="G144" s="14"/>
      <c r="H144" s="31">
        <f>+H140-H142</f>
        <v>267664.22313457611</v>
      </c>
      <c r="I144" s="14"/>
      <c r="J144" s="32">
        <f>IF(H$12=0,0,H144/H$12)</f>
        <v>0.12681823865131889</v>
      </c>
      <c r="K144" s="15"/>
      <c r="L144" s="31">
        <f>D144-H144</f>
        <v>-45309.613134576502</v>
      </c>
      <c r="M144" s="15"/>
      <c r="N144" s="32">
        <f>IF(H144=0,0,L144/H144)</f>
        <v>-0.1692778086064784</v>
      </c>
      <c r="O144" s="29"/>
      <c r="P144" s="31">
        <f>+P140-P142</f>
        <v>457803.6399999999</v>
      </c>
      <c r="Q144" s="14"/>
      <c r="R144" s="32">
        <f>IF(P$12=0,0,P144/P$12)</f>
        <v>3.7009519408929908E-2</v>
      </c>
      <c r="S144" s="14"/>
      <c r="T144" s="31">
        <f>+T140-T142</f>
        <v>604820.02492056601</v>
      </c>
      <c r="U144" s="14"/>
      <c r="V144" s="32">
        <f>IF(T$12=0,0,T144/T$12)</f>
        <v>4.703832648344046E-2</v>
      </c>
      <c r="W144" s="15"/>
      <c r="X144" s="31">
        <f>P144-T144</f>
        <v>-147016.38492056611</v>
      </c>
      <c r="Y144" s="15"/>
      <c r="Z144" s="32">
        <f>IF(T144=0,0,X144/T144)</f>
        <v>-0.24307459882776616</v>
      </c>
    </row>
    <row r="145" spans="1:26" ht="15.75" thickTop="1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8" t="s">
        <v>5</v>
      </c>
      <c r="C147" s="28"/>
      <c r="D147" s="33">
        <f>SUM(D144:D146)</f>
        <v>222354.60999999961</v>
      </c>
      <c r="E147" s="14"/>
      <c r="F147" s="30">
        <f>IF(D$12=0,0,D147/D$12)</f>
        <v>0.10464041955971097</v>
      </c>
      <c r="G147" s="14"/>
      <c r="H147" s="33">
        <f>SUM(H144:H146)</f>
        <v>267664.22313457611</v>
      </c>
      <c r="I147" s="14"/>
      <c r="J147" s="30">
        <f>IF(H$12=0,0,H147/H$12)</f>
        <v>0.12681823865131889</v>
      </c>
      <c r="K147" s="15"/>
      <c r="L147" s="33">
        <f>+D147-H147</f>
        <v>-45309.613134576502</v>
      </c>
      <c r="M147" s="15"/>
      <c r="N147" s="30">
        <f>IF(H147=0,0,L147/H147)</f>
        <v>-0.1692778086064784</v>
      </c>
      <c r="O147" s="29"/>
      <c r="P147" s="33">
        <f>SUM(P144:P146)</f>
        <v>457803.6399999999</v>
      </c>
      <c r="Q147" s="14"/>
      <c r="R147" s="30">
        <f>IF(P$12=0,0,P147/P$12)</f>
        <v>3.7009519408929908E-2</v>
      </c>
      <c r="S147" s="14"/>
      <c r="T147" s="33">
        <f>SUM(T144:T146)</f>
        <v>604820.02492056601</v>
      </c>
      <c r="U147" s="14"/>
      <c r="V147" s="30">
        <f>IF(T$12=0,0,T147/T$12)</f>
        <v>4.703832648344046E-2</v>
      </c>
      <c r="W147" s="15"/>
      <c r="X147" s="33">
        <f>+P147-T147</f>
        <v>-147016.38492056611</v>
      </c>
      <c r="Y147" s="15"/>
      <c r="Z147" s="30">
        <f>IF(T147=0,0,X147/T147)</f>
        <v>-0.24307459882776616</v>
      </c>
    </row>
    <row r="148" spans="1:26" ht="15.75" thickTop="1" x14ac:dyDescent="0.25">
      <c r="A148" s="9"/>
      <c r="C148" s="9"/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  <row r="149" spans="1:26" x14ac:dyDescent="0.25">
      <c r="A149" s="9"/>
      <c r="B149" s="59">
        <v>43908.494194062499</v>
      </c>
      <c r="D149" s="17"/>
      <c r="E149" s="17"/>
      <c r="G149" s="17"/>
      <c r="H149" s="17"/>
      <c r="I149" s="17"/>
      <c r="J149" s="43"/>
      <c r="K149" s="17"/>
      <c r="L149" s="17"/>
      <c r="M149" s="17"/>
      <c r="P149" s="17"/>
      <c r="Q149" s="17"/>
      <c r="R149" s="43"/>
      <c r="S149" s="17"/>
      <c r="T149" s="17"/>
      <c r="U149" s="17"/>
      <c r="V149" s="43"/>
      <c r="W149" s="17"/>
      <c r="X149" s="17"/>
    </row>
    <row r="150" spans="1:26" x14ac:dyDescent="0.25">
      <c r="A150" s="9"/>
      <c r="B150" s="63" t="s">
        <v>314</v>
      </c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A151" s="9"/>
      <c r="B151" s="57"/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25"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1197156.29</v>
      </c>
      <c r="E12" s="4"/>
      <c r="F12" s="12"/>
      <c r="G12" s="4"/>
      <c r="H12" s="4">
        <f>SUM(OSRRefH13x_0)</f>
        <v>1185247</v>
      </c>
      <c r="I12" s="4"/>
      <c r="J12" s="12"/>
      <c r="K12" s="4"/>
      <c r="L12" s="4">
        <f t="shared" ref="L12:L30" si="0">+D12-H12</f>
        <v>11909.290000000037</v>
      </c>
      <c r="M12" s="4"/>
      <c r="N12" s="12">
        <f t="shared" ref="N12:N30" si="1">IF(H12=0,0,L12/H12)</f>
        <v>1.0047939374662022E-2</v>
      </c>
      <c r="O12" s="10"/>
      <c r="P12" s="4">
        <f>SUM(OSRRefP13x_0)</f>
        <v>6512785.4600000009</v>
      </c>
      <c r="Q12" s="4"/>
      <c r="R12" s="12"/>
      <c r="S12" s="4"/>
      <c r="T12" s="4">
        <f>SUM(OSRRefT13x_0)</f>
        <v>7089340.2000000011</v>
      </c>
      <c r="U12" s="4"/>
      <c r="V12" s="12"/>
      <c r="W12" s="4"/>
      <c r="X12" s="4">
        <f t="shared" ref="X12:X30" si="2">+P12-T12</f>
        <v>-576554.74000000022</v>
      </c>
      <c r="Y12" s="4"/>
      <c r="Z12" s="12">
        <f t="shared" ref="Z12:Z30" si="3">IF(T12=0,0,X12/T12)</f>
        <v>-8.1326995705467781E-2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455812</v>
      </c>
      <c r="I13" s="2"/>
      <c r="J13" s="19"/>
      <c r="K13" s="2"/>
      <c r="L13" s="2">
        <f t="shared" si="0"/>
        <v>-455812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2897459.2000000002</v>
      </c>
      <c r="U13" s="2"/>
      <c r="V13" s="19"/>
      <c r="W13" s="2"/>
      <c r="X13" s="2">
        <f t="shared" si="2"/>
        <v>-2897459.2000000002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--45400.09</f>
        <v>45400.09</v>
      </c>
      <c r="E14" s="2"/>
      <c r="F14" s="19"/>
      <c r="G14" s="2"/>
      <c r="H14" s="2"/>
      <c r="I14" s="2"/>
      <c r="J14" s="19"/>
      <c r="K14" s="2"/>
      <c r="L14" s="2">
        <f t="shared" si="0"/>
        <v>45400.09</v>
      </c>
      <c r="M14" s="2"/>
      <c r="N14" s="19">
        <f t="shared" si="1"/>
        <v>0</v>
      </c>
      <c r="O14" s="11"/>
      <c r="P14" s="2">
        <f>--256806.37</f>
        <v>256806.37</v>
      </c>
      <c r="Q14" s="2"/>
      <c r="R14" s="19"/>
      <c r="S14" s="2"/>
      <c r="T14" s="2"/>
      <c r="U14" s="2"/>
      <c r="V14" s="19"/>
      <c r="W14" s="2"/>
      <c r="X14" s="2">
        <f t="shared" si="2"/>
        <v>256806.37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--456.01</f>
        <v>456.01</v>
      </c>
      <c r="E15" s="2"/>
      <c r="F15" s="19"/>
      <c r="G15" s="2"/>
      <c r="H15" s="2"/>
      <c r="I15" s="2"/>
      <c r="J15" s="19"/>
      <c r="K15" s="2"/>
      <c r="L15" s="2">
        <f t="shared" si="0"/>
        <v>456.01</v>
      </c>
      <c r="M15" s="2"/>
      <c r="N15" s="19">
        <f t="shared" si="1"/>
        <v>0</v>
      </c>
      <c r="O15" s="11"/>
      <c r="P15" s="2">
        <f>--2960.02</f>
        <v>2960.02</v>
      </c>
      <c r="Q15" s="2"/>
      <c r="R15" s="19"/>
      <c r="S15" s="2"/>
      <c r="T15" s="2"/>
      <c r="U15" s="2"/>
      <c r="V15" s="19"/>
      <c r="W15" s="2"/>
      <c r="X15" s="2">
        <f t="shared" si="2"/>
        <v>2960.02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--91985.93</f>
        <v>91985.93</v>
      </c>
      <c r="E16" s="2"/>
      <c r="F16" s="19"/>
      <c r="G16" s="2"/>
      <c r="H16" s="2"/>
      <c r="I16" s="2"/>
      <c r="J16" s="19"/>
      <c r="K16" s="2"/>
      <c r="L16" s="2">
        <f t="shared" si="0"/>
        <v>91985.93</v>
      </c>
      <c r="M16" s="2"/>
      <c r="N16" s="19">
        <f t="shared" si="1"/>
        <v>0</v>
      </c>
      <c r="O16" s="11"/>
      <c r="P16" s="2">
        <f>--567184.8</f>
        <v>567184.80000000005</v>
      </c>
      <c r="Q16" s="2"/>
      <c r="R16" s="19"/>
      <c r="S16" s="2"/>
      <c r="T16" s="2"/>
      <c r="U16" s="2"/>
      <c r="V16" s="19"/>
      <c r="W16" s="2"/>
      <c r="X16" s="2">
        <f t="shared" si="2"/>
        <v>567184.80000000005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--131149.86</f>
        <v>131149.85999999999</v>
      </c>
      <c r="E17" s="2"/>
      <c r="F17" s="19"/>
      <c r="G17" s="2"/>
      <c r="H17" s="2"/>
      <c r="I17" s="2"/>
      <c r="J17" s="19"/>
      <c r="K17" s="2"/>
      <c r="L17" s="2">
        <f t="shared" si="0"/>
        <v>131149.85999999999</v>
      </c>
      <c r="M17" s="2"/>
      <c r="N17" s="19">
        <f t="shared" si="1"/>
        <v>0</v>
      </c>
      <c r="O17" s="11"/>
      <c r="P17" s="2">
        <f>--788152.3</f>
        <v>788152.3</v>
      </c>
      <c r="Q17" s="2"/>
      <c r="R17" s="19"/>
      <c r="S17" s="2"/>
      <c r="T17" s="2"/>
      <c r="U17" s="2"/>
      <c r="V17" s="19"/>
      <c r="W17" s="2"/>
      <c r="X17" s="2">
        <f t="shared" si="2"/>
        <v>788152.3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--126446.77</f>
        <v>126446.77</v>
      </c>
      <c r="E18" s="2"/>
      <c r="F18" s="19"/>
      <c r="G18" s="2"/>
      <c r="H18" s="2"/>
      <c r="I18" s="2"/>
      <c r="J18" s="19"/>
      <c r="K18" s="2"/>
      <c r="L18" s="2">
        <f t="shared" si="0"/>
        <v>126446.77</v>
      </c>
      <c r="M18" s="2"/>
      <c r="N18" s="19">
        <f t="shared" si="1"/>
        <v>0</v>
      </c>
      <c r="O18" s="11"/>
      <c r="P18" s="2">
        <f>--222320</f>
        <v>222320</v>
      </c>
      <c r="Q18" s="2"/>
      <c r="R18" s="19"/>
      <c r="S18" s="2"/>
      <c r="T18" s="2"/>
      <c r="U18" s="2"/>
      <c r="V18" s="19"/>
      <c r="W18" s="2"/>
      <c r="X18" s="2">
        <f t="shared" si="2"/>
        <v>222320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--54029.26</f>
        <v>54029.26</v>
      </c>
      <c r="E19" s="2"/>
      <c r="F19" s="19"/>
      <c r="G19" s="2"/>
      <c r="H19" s="2"/>
      <c r="I19" s="2"/>
      <c r="J19" s="19"/>
      <c r="K19" s="2"/>
      <c r="L19" s="2">
        <f t="shared" si="0"/>
        <v>54029.26</v>
      </c>
      <c r="M19" s="2"/>
      <c r="N19" s="19">
        <f t="shared" si="1"/>
        <v>0</v>
      </c>
      <c r="O19" s="11"/>
      <c r="P19" s="2">
        <f>--357243.21</f>
        <v>357243.21</v>
      </c>
      <c r="Q19" s="2"/>
      <c r="R19" s="19"/>
      <c r="S19" s="2"/>
      <c r="T19" s="2"/>
      <c r="U19" s="2"/>
      <c r="V19" s="19"/>
      <c r="W19" s="2"/>
      <c r="X19" s="2">
        <f t="shared" si="2"/>
        <v>357243.21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>--15335.14</f>
        <v>15335.14</v>
      </c>
      <c r="E20" s="2"/>
      <c r="F20" s="19"/>
      <c r="G20" s="2"/>
      <c r="H20" s="2"/>
      <c r="I20" s="2"/>
      <c r="J20" s="19"/>
      <c r="K20" s="2"/>
      <c r="L20" s="2">
        <f t="shared" si="0"/>
        <v>15335.14</v>
      </c>
      <c r="M20" s="2"/>
      <c r="N20" s="19">
        <f t="shared" si="1"/>
        <v>0</v>
      </c>
      <c r="O20" s="11"/>
      <c r="P20" s="2">
        <f>--110971.24</f>
        <v>110971.24</v>
      </c>
      <c r="Q20" s="2"/>
      <c r="R20" s="19"/>
      <c r="S20" s="2"/>
      <c r="T20" s="2"/>
      <c r="U20" s="2"/>
      <c r="V20" s="19"/>
      <c r="W20" s="2"/>
      <c r="X20" s="2">
        <f t="shared" si="2"/>
        <v>110971.24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729435</v>
      </c>
      <c r="I21" s="2"/>
      <c r="J21" s="19"/>
      <c r="K21" s="2"/>
      <c r="L21" s="2">
        <f t="shared" si="0"/>
        <v>-729435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4191881.0000000005</v>
      </c>
      <c r="U21" s="2"/>
      <c r="V21" s="19"/>
      <c r="W21" s="2"/>
      <c r="X21" s="2">
        <f t="shared" si="2"/>
        <v>-4191881.0000000005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--185424.36</f>
        <v>185424.36</v>
      </c>
      <c r="E22" s="2"/>
      <c r="F22" s="19"/>
      <c r="G22" s="2"/>
      <c r="H22" s="2"/>
      <c r="I22" s="2"/>
      <c r="J22" s="19"/>
      <c r="K22" s="2"/>
      <c r="L22" s="2">
        <f t="shared" si="0"/>
        <v>185424.36</v>
      </c>
      <c r="M22" s="2"/>
      <c r="N22" s="19">
        <f t="shared" si="1"/>
        <v>0</v>
      </c>
      <c r="O22" s="11"/>
      <c r="P22" s="2">
        <f>--1015608.66</f>
        <v>1015608.66</v>
      </c>
      <c r="Q22" s="2"/>
      <c r="R22" s="19"/>
      <c r="S22" s="2"/>
      <c r="T22" s="2"/>
      <c r="U22" s="2"/>
      <c r="V22" s="19"/>
      <c r="W22" s="2"/>
      <c r="X22" s="2">
        <f t="shared" si="2"/>
        <v>1015608.66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ref="D23:D24" si="4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/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--8.41</f>
        <v>8.41</v>
      </c>
      <c r="Q24" s="2"/>
      <c r="R24" s="19"/>
      <c r="S24" s="2"/>
      <c r="T24" s="2"/>
      <c r="U24" s="2"/>
      <c r="V24" s="19"/>
      <c r="W24" s="2"/>
      <c r="X24" s="2">
        <f t="shared" si="2"/>
        <v>8.41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--189.11</f>
        <v>189.11</v>
      </c>
      <c r="E25" s="2"/>
      <c r="F25" s="19"/>
      <c r="G25" s="2"/>
      <c r="H25" s="2"/>
      <c r="I25" s="2"/>
      <c r="J25" s="19"/>
      <c r="K25" s="2"/>
      <c r="L25" s="2">
        <f t="shared" si="0"/>
        <v>189.11</v>
      </c>
      <c r="M25" s="2"/>
      <c r="N25" s="19">
        <f t="shared" si="1"/>
        <v>0</v>
      </c>
      <c r="O25" s="11"/>
      <c r="P25" s="2">
        <f>--1471.89</f>
        <v>1471.89</v>
      </c>
      <c r="Q25" s="2"/>
      <c r="R25" s="19"/>
      <c r="S25" s="2"/>
      <c r="T25" s="2"/>
      <c r="U25" s="2"/>
      <c r="V25" s="19"/>
      <c r="W25" s="2"/>
      <c r="X25" s="2">
        <f t="shared" si="2"/>
        <v>1471.89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>--357550.82</f>
        <v>357550.82</v>
      </c>
      <c r="E26" s="2"/>
      <c r="F26" s="19"/>
      <c r="G26" s="2"/>
      <c r="H26" s="2"/>
      <c r="I26" s="2"/>
      <c r="J26" s="19"/>
      <c r="K26" s="2"/>
      <c r="L26" s="2">
        <f t="shared" si="0"/>
        <v>357550.82</v>
      </c>
      <c r="M26" s="2"/>
      <c r="N26" s="19">
        <f t="shared" si="1"/>
        <v>0</v>
      </c>
      <c r="O26" s="11"/>
      <c r="P26" s="2">
        <f>--2044866.32</f>
        <v>2044866.32</v>
      </c>
      <c r="Q26" s="2"/>
      <c r="R26" s="19"/>
      <c r="S26" s="2"/>
      <c r="T26" s="2"/>
      <c r="U26" s="2"/>
      <c r="V26" s="19"/>
      <c r="W26" s="2"/>
      <c r="X26" s="2">
        <f t="shared" si="2"/>
        <v>2044866.32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>--8298.17</f>
        <v>8298.17</v>
      </c>
      <c r="E27" s="2"/>
      <c r="F27" s="19"/>
      <c r="G27" s="2"/>
      <c r="H27" s="2"/>
      <c r="I27" s="2"/>
      <c r="J27" s="19"/>
      <c r="K27" s="2"/>
      <c r="L27" s="2">
        <f t="shared" si="0"/>
        <v>8298.17</v>
      </c>
      <c r="M27" s="2"/>
      <c r="N27" s="19">
        <f t="shared" si="1"/>
        <v>0</v>
      </c>
      <c r="O27" s="11"/>
      <c r="P27" s="2">
        <f>--47727.07</f>
        <v>47727.07</v>
      </c>
      <c r="Q27" s="2"/>
      <c r="R27" s="19"/>
      <c r="S27" s="2"/>
      <c r="T27" s="2"/>
      <c r="U27" s="2"/>
      <c r="V27" s="19"/>
      <c r="W27" s="2"/>
      <c r="X27" s="2">
        <f t="shared" si="2"/>
        <v>47727.07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>--2343.21</f>
        <v>2343.21</v>
      </c>
      <c r="E28" s="2"/>
      <c r="F28" s="19"/>
      <c r="G28" s="2"/>
      <c r="H28" s="2"/>
      <c r="I28" s="2"/>
      <c r="J28" s="19"/>
      <c r="K28" s="2"/>
      <c r="L28" s="2">
        <f t="shared" si="0"/>
        <v>2343.21</v>
      </c>
      <c r="M28" s="2"/>
      <c r="N28" s="19">
        <f t="shared" si="1"/>
        <v>0</v>
      </c>
      <c r="O28" s="11"/>
      <c r="P28" s="2">
        <f>--12618.21</f>
        <v>12618.21</v>
      </c>
      <c r="Q28" s="2"/>
      <c r="R28" s="19"/>
      <c r="S28" s="2"/>
      <c r="T28" s="2"/>
      <c r="U28" s="2"/>
      <c r="V28" s="19"/>
      <c r="W28" s="2"/>
      <c r="X28" s="2">
        <f t="shared" si="2"/>
        <v>12618.21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>--100290.43</f>
        <v>100290.43</v>
      </c>
      <c r="E29" s="2"/>
      <c r="F29" s="19"/>
      <c r="G29" s="2"/>
      <c r="H29" s="2"/>
      <c r="I29" s="2"/>
      <c r="J29" s="19"/>
      <c r="K29" s="2"/>
      <c r="L29" s="2">
        <f t="shared" si="0"/>
        <v>100290.43</v>
      </c>
      <c r="M29" s="2"/>
      <c r="N29" s="19">
        <f t="shared" si="1"/>
        <v>0</v>
      </c>
      <c r="O29" s="11"/>
      <c r="P29" s="2">
        <f>--643451.59</f>
        <v>643451.59</v>
      </c>
      <c r="Q29" s="2"/>
      <c r="R29" s="19"/>
      <c r="S29" s="2"/>
      <c r="T29" s="2"/>
      <c r="U29" s="2"/>
      <c r="V29" s="19"/>
      <c r="W29" s="2"/>
      <c r="X29" s="2">
        <f t="shared" si="2"/>
        <v>643451.59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"4158", " - ", "NON-TAXABLE SALES-FOOD")</f>
        <v xml:space="preserve">          4158 - NON-TAXABLE SALES-FOOD</v>
      </c>
      <c r="C30" s="11"/>
      <c r="D30" s="2">
        <f>--78257.13</f>
        <v>78257.13</v>
      </c>
      <c r="E30" s="2"/>
      <c r="F30" s="19"/>
      <c r="G30" s="2"/>
      <c r="H30" s="2"/>
      <c r="I30" s="2"/>
      <c r="J30" s="19"/>
      <c r="K30" s="2"/>
      <c r="L30" s="2">
        <f t="shared" si="0"/>
        <v>78257.13</v>
      </c>
      <c r="M30" s="2"/>
      <c r="N30" s="19">
        <f t="shared" si="1"/>
        <v>0</v>
      </c>
      <c r="O30" s="11"/>
      <c r="P30" s="2">
        <f>--441393.78</f>
        <v>441393.78</v>
      </c>
      <c r="Q30" s="2"/>
      <c r="R30" s="19"/>
      <c r="S30" s="2"/>
      <c r="T30" s="2"/>
      <c r="U30" s="2"/>
      <c r="V30" s="19"/>
      <c r="W30" s="2"/>
      <c r="X30" s="2">
        <f t="shared" si="2"/>
        <v>441393.78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9" t="s">
        <v>8</v>
      </c>
      <c r="C32" s="10"/>
      <c r="D32" s="4">
        <f>SUM(OSRRefD16x_0)</f>
        <v>449086.05</v>
      </c>
      <c r="E32" s="4"/>
      <c r="F32" s="12">
        <f t="shared" ref="F32:F35" si="5">IF(D$12=0,0,D32/D$12)</f>
        <v>0.37512733613085719</v>
      </c>
      <c r="G32" s="4"/>
      <c r="H32" s="4">
        <f>SUM(OSRRefH16x_0)</f>
        <v>427446</v>
      </c>
      <c r="I32" s="4"/>
      <c r="J32" s="12">
        <f t="shared" ref="J32:J35" si="6">IF(H$12=0,0,H32/H$12)</f>
        <v>0.36063875293504222</v>
      </c>
      <c r="K32" s="4"/>
      <c r="L32" s="4">
        <f t="shared" ref="L32:L35" si="7">+D32-H32</f>
        <v>21640.049999999988</v>
      </c>
      <c r="M32" s="4"/>
      <c r="N32" s="12">
        <f t="shared" ref="N32:N35" si="8">IF(H32=0,0,L32/H32)</f>
        <v>5.062639491304162E-2</v>
      </c>
      <c r="O32" s="10"/>
      <c r="P32" s="4">
        <f>SUM(OSRRefP16x_0)</f>
        <v>2487337.19</v>
      </c>
      <c r="Q32" s="4"/>
      <c r="R32" s="12">
        <f t="shared" ref="R32:R35" si="9">IF(P$12=0,0,P32/P$12)</f>
        <v>0.38191603351233372</v>
      </c>
      <c r="S32" s="4"/>
      <c r="T32" s="4">
        <f>SUM(OSRRefT16x_0)</f>
        <v>2565853</v>
      </c>
      <c r="U32" s="4"/>
      <c r="V32" s="12">
        <f t="shared" ref="V32:V35" si="10">IF(T$12=0,0,T32/T$12)</f>
        <v>0.36193114275994254</v>
      </c>
      <c r="W32" s="4"/>
      <c r="X32" s="4">
        <f t="shared" ref="X32:X35" si="11">+P32-T32</f>
        <v>-78515.810000000056</v>
      </c>
      <c r="Y32" s="4"/>
      <c r="Z32" s="12">
        <f t="shared" ref="Z32:Z35" si="12">IF(T32=0,0,X32/T32)</f>
        <v>-3.0600276009576564E-2</v>
      </c>
    </row>
    <row r="33" spans="1:26" s="24" customFormat="1" hidden="1" outlineLevel="1" x14ac:dyDescent="0.25">
      <c r="A33" s="44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5"/>
        <v>0</v>
      </c>
      <c r="G33" s="2"/>
      <c r="H33" s="2">
        <v>427446</v>
      </c>
      <c r="I33" s="2"/>
      <c r="J33" s="19">
        <f t="shared" si="6"/>
        <v>0.36063875293504222</v>
      </c>
      <c r="K33" s="2"/>
      <c r="L33" s="2">
        <f t="shared" si="7"/>
        <v>-427446</v>
      </c>
      <c r="M33" s="2"/>
      <c r="N33" s="19">
        <f t="shared" si="8"/>
        <v>-1</v>
      </c>
      <c r="O33" s="11"/>
      <c r="P33" s="2"/>
      <c r="Q33" s="2"/>
      <c r="R33" s="19">
        <f t="shared" si="9"/>
        <v>0</v>
      </c>
      <c r="S33" s="2"/>
      <c r="T33" s="2">
        <v>2565853</v>
      </c>
      <c r="U33" s="2"/>
      <c r="V33" s="19">
        <f t="shared" si="10"/>
        <v>0.36193114275994254</v>
      </c>
      <c r="W33" s="2"/>
      <c r="X33" s="2">
        <f t="shared" si="11"/>
        <v>-2565853</v>
      </c>
      <c r="Y33" s="2"/>
      <c r="Z33" s="19">
        <f t="shared" si="12"/>
        <v>-1</v>
      </c>
    </row>
    <row r="34" spans="1:26" s="24" customFormat="1" hidden="1" outlineLevel="1" x14ac:dyDescent="0.25">
      <c r="A34" s="44"/>
      <c r="B34" s="11" t="str">
        <f>CONCATENATE("          ", "5053", " - ", "PURCHASES @ COST-FOOD")</f>
        <v xml:space="preserve">          5053 - PURCHASES @ COST-FOOD</v>
      </c>
      <c r="C34" s="11"/>
      <c r="D34" s="2">
        <v>442685.48</v>
      </c>
      <c r="E34" s="2"/>
      <c r="F34" s="19">
        <f t="shared" si="5"/>
        <v>0.36978085793626825</v>
      </c>
      <c r="G34" s="2"/>
      <c r="H34" s="2"/>
      <c r="I34" s="2"/>
      <c r="J34" s="19">
        <f t="shared" si="6"/>
        <v>0</v>
      </c>
      <c r="K34" s="2"/>
      <c r="L34" s="2">
        <f t="shared" si="7"/>
        <v>442685.48</v>
      </c>
      <c r="M34" s="2"/>
      <c r="N34" s="19">
        <f t="shared" si="8"/>
        <v>0</v>
      </c>
      <c r="O34" s="11"/>
      <c r="P34" s="2">
        <v>2550801.13</v>
      </c>
      <c r="Q34" s="2"/>
      <c r="R34" s="19">
        <f t="shared" si="9"/>
        <v>0.39166054918689114</v>
      </c>
      <c r="S34" s="2"/>
      <c r="T34" s="2"/>
      <c r="U34" s="2"/>
      <c r="V34" s="19">
        <f t="shared" si="10"/>
        <v>0</v>
      </c>
      <c r="W34" s="2"/>
      <c r="X34" s="2">
        <f t="shared" si="11"/>
        <v>2550801.13</v>
      </c>
      <c r="Y34" s="2"/>
      <c r="Z34" s="19">
        <f t="shared" si="12"/>
        <v>0</v>
      </c>
    </row>
    <row r="35" spans="1:26" s="24" customFormat="1" hidden="1" outlineLevel="1" x14ac:dyDescent="0.25">
      <c r="A35" s="44"/>
      <c r="B35" s="11" t="str">
        <f>CONCATENATE("          ", "5059", " - ", "PURCHASES @ COST-FOOD")</f>
        <v xml:space="preserve">          5059 - PURCHASES @ COST-FOOD</v>
      </c>
      <c r="C35" s="11"/>
      <c r="D35" s="2">
        <v>6400.57</v>
      </c>
      <c r="E35" s="2"/>
      <c r="F35" s="19">
        <f t="shared" si="5"/>
        <v>5.3464781945889448E-3</v>
      </c>
      <c r="G35" s="2"/>
      <c r="H35" s="2"/>
      <c r="I35" s="2"/>
      <c r="J35" s="19">
        <f t="shared" si="6"/>
        <v>0</v>
      </c>
      <c r="K35" s="2"/>
      <c r="L35" s="2">
        <f t="shared" si="7"/>
        <v>6400.57</v>
      </c>
      <c r="M35" s="2"/>
      <c r="N35" s="19">
        <f t="shared" si="8"/>
        <v>0</v>
      </c>
      <c r="O35" s="11"/>
      <c r="P35" s="2">
        <v>-63463.939999999995</v>
      </c>
      <c r="Q35" s="2"/>
      <c r="R35" s="19">
        <f t="shared" si="9"/>
        <v>-9.7445156745574711E-3</v>
      </c>
      <c r="S35" s="2"/>
      <c r="T35" s="2"/>
      <c r="U35" s="2"/>
      <c r="V35" s="19">
        <f t="shared" si="10"/>
        <v>0</v>
      </c>
      <c r="W35" s="2"/>
      <c r="X35" s="2">
        <f t="shared" si="11"/>
        <v>-63463.939999999995</v>
      </c>
      <c r="Y35" s="2"/>
      <c r="Z35" s="19">
        <f t="shared" si="12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6</v>
      </c>
      <c r="C37" s="28"/>
      <c r="D37" s="21">
        <f>D12-D32</f>
        <v>748070.24</v>
      </c>
      <c r="E37" s="14"/>
      <c r="F37" s="22">
        <f>IF(D$12=0,0,D37/D$12)</f>
        <v>0.62487266386914275</v>
      </c>
      <c r="G37" s="14"/>
      <c r="H37" s="21">
        <f>H12-H32</f>
        <v>757801</v>
      </c>
      <c r="I37" s="14"/>
      <c r="J37" s="22">
        <f>IF(H$12=0,0,H37/H$12)</f>
        <v>0.63936124706495778</v>
      </c>
      <c r="K37" s="15"/>
      <c r="L37" s="21">
        <f>+D37-H37</f>
        <v>-9730.7600000000093</v>
      </c>
      <c r="M37" s="15"/>
      <c r="N37" s="22">
        <f>IF(H37=0,0,L37/H37)</f>
        <v>-1.2840785377691517E-2</v>
      </c>
      <c r="O37" s="29"/>
      <c r="P37" s="21">
        <f>P12-P32</f>
        <v>4025448.2700000009</v>
      </c>
      <c r="Q37" s="14"/>
      <c r="R37" s="22">
        <f>IF(P$12=0,0,P37/P$12)</f>
        <v>0.61808396648766628</v>
      </c>
      <c r="S37" s="14"/>
      <c r="T37" s="21">
        <f>T12-T32</f>
        <v>4523487.2000000011</v>
      </c>
      <c r="U37" s="14"/>
      <c r="V37" s="22">
        <f>IF(T$12=0,0,T37/T$12)</f>
        <v>0.63806885724005746</v>
      </c>
      <c r="W37" s="15"/>
      <c r="X37" s="21">
        <f>+P37-T37</f>
        <v>-498038.93000000017</v>
      </c>
      <c r="Y37" s="15"/>
      <c r="Z37" s="22">
        <f>IF(T37=0,0,X37/T37)</f>
        <v>-0.11010066083529541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9</v>
      </c>
      <c r="C39" s="10"/>
      <c r="D39" s="20">
        <f>SUM(OSRRefD22x_0)</f>
        <v>674669.22999999975</v>
      </c>
      <c r="E39" s="20"/>
      <c r="F39" s="34">
        <f t="shared" ref="F39:F50" si="13">IF(D$12=0,0,D39/D$12)</f>
        <v>0.56355985900554362</v>
      </c>
      <c r="G39" s="20"/>
      <c r="H39" s="20">
        <f>SUM(OSRRefH22x_0)</f>
        <v>654446.88294105115</v>
      </c>
      <c r="I39" s="20"/>
      <c r="J39" s="34">
        <f t="shared" ref="J39:J50" si="14">IF(H$12=0,0,H39/H$12)</f>
        <v>0.55216075884693328</v>
      </c>
      <c r="K39" s="4"/>
      <c r="L39" s="20">
        <f t="shared" ref="L39:L50" si="15">+D39-H39</f>
        <v>20222.347058948595</v>
      </c>
      <c r="M39" s="4"/>
      <c r="N39" s="34">
        <f t="shared" ref="N39:N50" si="16">IF(H39=0,0,L39/H39)</f>
        <v>3.089990583814899E-2</v>
      </c>
      <c r="O39" s="10"/>
      <c r="P39" s="20">
        <f>SUM(OSRRefP22x_0)</f>
        <v>4782930.1900000023</v>
      </c>
      <c r="Q39" s="20"/>
      <c r="R39" s="34">
        <f t="shared" ref="R39:R50" si="17">IF(P$12=0,0,P39/P$12)</f>
        <v>0.73439087152120031</v>
      </c>
      <c r="S39" s="20"/>
      <c r="T39" s="20">
        <f>SUM(OSRRefT22x_0)</f>
        <v>4594401.8548887083</v>
      </c>
      <c r="U39" s="20"/>
      <c r="V39" s="34">
        <f t="shared" ref="V39:V50" si="18">IF(T$12=0,0,T39/T$12)</f>
        <v>0.64807185510560028</v>
      </c>
      <c r="W39" s="4"/>
      <c r="X39" s="20">
        <f t="shared" ref="X39:X50" si="19">+P39-T39</f>
        <v>188528.33511129394</v>
      </c>
      <c r="Y39" s="4"/>
      <c r="Z39" s="34">
        <f t="shared" ref="Z39:Z50" si="20">IF(T39=0,0,X39/T39)</f>
        <v>4.1034359001637814E-2</v>
      </c>
    </row>
    <row r="40" spans="1:26" s="27" customFormat="1" outlineLevel="1" collapsed="1" x14ac:dyDescent="0.25">
      <c r="A40" s="26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82655.070000000007</v>
      </c>
      <c r="E40" s="1"/>
      <c r="F40" s="5">
        <f t="shared" si="13"/>
        <v>6.9042839845079876E-2</v>
      </c>
      <c r="G40" s="1"/>
      <c r="H40" s="1">
        <f>SUM(OSRRefH22_0x_0)</f>
        <v>76533.473265666471</v>
      </c>
      <c r="I40" s="1"/>
      <c r="J40" s="5">
        <f t="shared" si="14"/>
        <v>6.4571750247557236E-2</v>
      </c>
      <c r="K40" s="1"/>
      <c r="L40" s="1">
        <f t="shared" si="15"/>
        <v>6121.596734333536</v>
      </c>
      <c r="M40" s="1"/>
      <c r="N40" s="5">
        <f t="shared" si="16"/>
        <v>7.9985873803008672E-2</v>
      </c>
      <c r="O40" s="13"/>
      <c r="P40" s="1">
        <f>SUM(OSRRefP22_0x_0)</f>
        <v>654140.08000000007</v>
      </c>
      <c r="Q40" s="1"/>
      <c r="R40" s="5">
        <f t="shared" si="17"/>
        <v>0.10043937175845494</v>
      </c>
      <c r="S40" s="1"/>
      <c r="T40" s="1">
        <f>SUM(OSRRefT22_0x_0)</f>
        <v>633148.44746909337</v>
      </c>
      <c r="U40" s="1"/>
      <c r="V40" s="5">
        <f t="shared" si="18"/>
        <v>8.9309925833308615E-2</v>
      </c>
      <c r="W40" s="1"/>
      <c r="X40" s="1">
        <f t="shared" si="19"/>
        <v>20991.632530906703</v>
      </c>
      <c r="Y40" s="1"/>
      <c r="Z40" s="5">
        <f t="shared" si="20"/>
        <v>3.3154361532145099E-2</v>
      </c>
    </row>
    <row r="41" spans="1:26" s="24" customFormat="1" hidden="1" outlineLevel="2" x14ac:dyDescent="0.25">
      <c r="A41" s="25"/>
      <c r="B41" s="11" t="str">
        <f>CONCATENATE("          ", "6111", " - ", "F.I.C.A.")</f>
        <v xml:space="preserve">          6111 - F.I.C.A.</v>
      </c>
      <c r="C41" s="11"/>
      <c r="D41" s="6">
        <v>15666.070000000002</v>
      </c>
      <c r="E41" s="2"/>
      <c r="F41" s="7">
        <f t="shared" si="13"/>
        <v>1.3086069154763411E-2</v>
      </c>
      <c r="G41" s="2"/>
      <c r="H41" s="6">
        <v>11433.481008657234</v>
      </c>
      <c r="I41" s="2"/>
      <c r="J41" s="7">
        <f t="shared" si="14"/>
        <v>9.646496475972717E-3</v>
      </c>
      <c r="K41" s="2"/>
      <c r="L41" s="6">
        <f t="shared" si="15"/>
        <v>4232.5889913427673</v>
      </c>
      <c r="M41" s="2"/>
      <c r="N41" s="7">
        <f t="shared" si="16"/>
        <v>0.37019250638873008</v>
      </c>
      <c r="O41" s="11"/>
      <c r="P41" s="6">
        <v>122918.29999999999</v>
      </c>
      <c r="Q41" s="2"/>
      <c r="R41" s="7">
        <f t="shared" si="17"/>
        <v>1.8873383862394261E-2</v>
      </c>
      <c r="S41" s="2"/>
      <c r="T41" s="6">
        <v>101686.40558623479</v>
      </c>
      <c r="U41" s="2"/>
      <c r="V41" s="7">
        <f t="shared" si="18"/>
        <v>1.4343564100116788E-2</v>
      </c>
      <c r="W41" s="2"/>
      <c r="X41" s="6">
        <f t="shared" si="19"/>
        <v>21231.8944137652</v>
      </c>
      <c r="Y41" s="2"/>
      <c r="Z41" s="7">
        <f t="shared" si="20"/>
        <v>0.20879776693217431</v>
      </c>
    </row>
    <row r="42" spans="1:26" s="24" customFormat="1" hidden="1" outlineLevel="2" x14ac:dyDescent="0.25">
      <c r="A42" s="25"/>
      <c r="B42" s="11" t="str">
        <f>CONCATENATE("          ", "6112", " - ", "COMPENSATION INSURANCE")</f>
        <v xml:space="preserve">          6112 - COMPENSATION INSURANCE</v>
      </c>
      <c r="C42" s="11"/>
      <c r="D42" s="6">
        <v>11029.01</v>
      </c>
      <c r="E42" s="2"/>
      <c r="F42" s="7">
        <f t="shared" si="13"/>
        <v>9.212673476409668E-3</v>
      </c>
      <c r="G42" s="2"/>
      <c r="H42" s="6">
        <v>10299.511620879995</v>
      </c>
      <c r="I42" s="2"/>
      <c r="J42" s="7">
        <f t="shared" si="14"/>
        <v>8.6897597048378912E-3</v>
      </c>
      <c r="K42" s="2"/>
      <c r="L42" s="6">
        <f t="shared" si="15"/>
        <v>729.49837912000476</v>
      </c>
      <c r="M42" s="2"/>
      <c r="N42" s="7">
        <f t="shared" si="16"/>
        <v>7.082844371388515E-2</v>
      </c>
      <c r="O42" s="11"/>
      <c r="P42" s="6">
        <v>61567.219999999994</v>
      </c>
      <c r="Q42" s="2"/>
      <c r="R42" s="7">
        <f t="shared" si="17"/>
        <v>9.4532854457023661E-3</v>
      </c>
      <c r="S42" s="2"/>
      <c r="T42" s="6">
        <v>76010.223119239992</v>
      </c>
      <c r="U42" s="2"/>
      <c r="V42" s="7">
        <f t="shared" si="18"/>
        <v>1.0721762671121352E-2</v>
      </c>
      <c r="W42" s="2"/>
      <c r="X42" s="6">
        <f t="shared" si="19"/>
        <v>-14443.003119239998</v>
      </c>
      <c r="Y42" s="2"/>
      <c r="Z42" s="7">
        <f t="shared" si="20"/>
        <v>-0.19001395505158214</v>
      </c>
    </row>
    <row r="43" spans="1:26" s="24" customFormat="1" hidden="1" outlineLevel="2" x14ac:dyDescent="0.25">
      <c r="A43" s="25"/>
      <c r="B43" s="11" t="str">
        <f>CONCATENATE("          ", "6113", " - ", "GROUP INSURANCE")</f>
        <v xml:space="preserve">          6113 - GROUP INSURANCE</v>
      </c>
      <c r="C43" s="11"/>
      <c r="D43" s="6">
        <v>29377.870000000003</v>
      </c>
      <c r="E43" s="2"/>
      <c r="F43" s="7">
        <f t="shared" si="13"/>
        <v>2.4539711519203564E-2</v>
      </c>
      <c r="G43" s="2"/>
      <c r="H43" s="6">
        <v>28068.269230769238</v>
      </c>
      <c r="I43" s="2"/>
      <c r="J43" s="7">
        <f t="shared" si="14"/>
        <v>2.3681367032162275E-2</v>
      </c>
      <c r="K43" s="2"/>
      <c r="L43" s="6">
        <f t="shared" si="15"/>
        <v>1309.6007692307649</v>
      </c>
      <c r="M43" s="2"/>
      <c r="N43" s="7">
        <f t="shared" si="16"/>
        <v>4.6657695865163752E-2</v>
      </c>
      <c r="O43" s="11"/>
      <c r="P43" s="6">
        <v>225243.89</v>
      </c>
      <c r="Q43" s="2"/>
      <c r="R43" s="7">
        <f t="shared" si="17"/>
        <v>3.458487791182361E-2</v>
      </c>
      <c r="S43" s="2"/>
      <c r="T43" s="6">
        <v>223688.71346153851</v>
      </c>
      <c r="U43" s="2"/>
      <c r="V43" s="7">
        <f t="shared" si="18"/>
        <v>3.1552825390088982E-2</v>
      </c>
      <c r="W43" s="2"/>
      <c r="X43" s="6">
        <f t="shared" si="19"/>
        <v>1555.1765384614991</v>
      </c>
      <c r="Y43" s="2"/>
      <c r="Z43" s="7">
        <f t="shared" si="20"/>
        <v>6.9524139792099936E-3</v>
      </c>
    </row>
    <row r="44" spans="1:26" s="24" customFormat="1" hidden="1" outlineLevel="2" x14ac:dyDescent="0.25">
      <c r="A44" s="25"/>
      <c r="B44" s="11" t="str">
        <f>CONCATENATE("          ", "6114", " - ", "STATE UNEMPLOYMENT INSURANCE")</f>
        <v xml:space="preserve">          6114 - STATE UNEMPLOYMENT INSURANCE</v>
      </c>
      <c r="C44" s="11"/>
      <c r="D44" s="6">
        <v>865.88</v>
      </c>
      <c r="E44" s="2"/>
      <c r="F44" s="7">
        <f t="shared" si="13"/>
        <v>7.2328066705475852E-4</v>
      </c>
      <c r="G44" s="2"/>
      <c r="H44" s="6">
        <v>836.48950936000006</v>
      </c>
      <c r="I44" s="2"/>
      <c r="J44" s="7">
        <f t="shared" si="14"/>
        <v>7.0575121418573513E-4</v>
      </c>
      <c r="K44" s="2"/>
      <c r="L44" s="6">
        <f t="shared" si="15"/>
        <v>29.390490639999939</v>
      </c>
      <c r="M44" s="2"/>
      <c r="N44" s="7">
        <f t="shared" si="16"/>
        <v>3.5135516119606407E-2</v>
      </c>
      <c r="O44" s="11"/>
      <c r="P44" s="6">
        <v>5980.13</v>
      </c>
      <c r="Q44" s="2"/>
      <c r="R44" s="7">
        <f t="shared" si="17"/>
        <v>9.1821387895065095E-4</v>
      </c>
      <c r="S44" s="2"/>
      <c r="T44" s="6">
        <v>6049.5189950800004</v>
      </c>
      <c r="U44" s="2"/>
      <c r="V44" s="7">
        <f t="shared" si="18"/>
        <v>8.5332609585868086E-4</v>
      </c>
      <c r="W44" s="2"/>
      <c r="X44" s="6">
        <f t="shared" si="19"/>
        <v>-69.388995080000313</v>
      </c>
      <c r="Y44" s="2"/>
      <c r="Z44" s="7">
        <f t="shared" si="20"/>
        <v>-1.1470167320151161E-2</v>
      </c>
    </row>
    <row r="45" spans="1:26" s="24" customFormat="1" hidden="1" outlineLevel="2" x14ac:dyDescent="0.25">
      <c r="A45" s="25"/>
      <c r="B45" s="11" t="str">
        <f>CONCATENATE("          ", "6115", " - ", "P.E.R.S.")</f>
        <v xml:space="preserve">          6115 - P.E.R.S.</v>
      </c>
      <c r="C45" s="11"/>
      <c r="D45" s="6">
        <v>8062.11</v>
      </c>
      <c r="E45" s="2"/>
      <c r="F45" s="7">
        <f t="shared" si="13"/>
        <v>6.7343838622774968E-3</v>
      </c>
      <c r="G45" s="2"/>
      <c r="H45" s="6">
        <v>8324.6003741538516</v>
      </c>
      <c r="I45" s="2"/>
      <c r="J45" s="7">
        <f t="shared" si="14"/>
        <v>7.0235152454752904E-3</v>
      </c>
      <c r="K45" s="2"/>
      <c r="L45" s="6">
        <f t="shared" si="15"/>
        <v>-262.49037415385192</v>
      </c>
      <c r="M45" s="2"/>
      <c r="N45" s="7">
        <f t="shared" si="16"/>
        <v>-3.1531888902298515E-2</v>
      </c>
      <c r="O45" s="11"/>
      <c r="P45" s="6">
        <v>72181.759999999995</v>
      </c>
      <c r="Q45" s="2"/>
      <c r="R45" s="7">
        <f t="shared" si="17"/>
        <v>1.108308579229631E-2</v>
      </c>
      <c r="S45" s="2"/>
      <c r="T45" s="6">
        <v>72612.5229518462</v>
      </c>
      <c r="U45" s="2"/>
      <c r="V45" s="7">
        <f t="shared" si="18"/>
        <v>1.0242493786917743E-2</v>
      </c>
      <c r="W45" s="2"/>
      <c r="X45" s="6">
        <f t="shared" si="19"/>
        <v>-430.7629518462054</v>
      </c>
      <c r="Y45" s="2"/>
      <c r="Z45" s="7">
        <f t="shared" si="20"/>
        <v>-5.9323507066662675E-3</v>
      </c>
    </row>
    <row r="46" spans="1:26" s="24" customFormat="1" hidden="1" outlineLevel="2" x14ac:dyDescent="0.25">
      <c r="A46" s="25"/>
      <c r="B46" s="11" t="str">
        <f>CONCATENATE("          ", "6116", " - ", "EDUCATIONAL BENEFITS")</f>
        <v xml:space="preserve">          6116 - EDUCATIONAL BENEFITS</v>
      </c>
      <c r="C46" s="11"/>
      <c r="D46" s="6"/>
      <c r="E46" s="2"/>
      <c r="F46" s="7">
        <f t="shared" si="13"/>
        <v>0</v>
      </c>
      <c r="G46" s="2"/>
      <c r="H46" s="6">
        <v>0</v>
      </c>
      <c r="I46" s="2"/>
      <c r="J46" s="7">
        <f t="shared" si="14"/>
        <v>0</v>
      </c>
      <c r="K46" s="2"/>
      <c r="L46" s="6">
        <f t="shared" si="15"/>
        <v>0</v>
      </c>
      <c r="M46" s="2"/>
      <c r="N46" s="7">
        <f t="shared" si="16"/>
        <v>0</v>
      </c>
      <c r="O46" s="11"/>
      <c r="P46" s="6"/>
      <c r="Q46" s="2"/>
      <c r="R46" s="7">
        <f t="shared" si="17"/>
        <v>0</v>
      </c>
      <c r="S46" s="2"/>
      <c r="T46" s="6">
        <v>16000</v>
      </c>
      <c r="U46" s="2"/>
      <c r="V46" s="7">
        <f t="shared" si="18"/>
        <v>2.2569096063410807E-3</v>
      </c>
      <c r="W46" s="2"/>
      <c r="X46" s="6">
        <f t="shared" si="19"/>
        <v>-16000</v>
      </c>
      <c r="Y46" s="2"/>
      <c r="Z46" s="7">
        <f t="shared" si="20"/>
        <v>-1</v>
      </c>
    </row>
    <row r="47" spans="1:26" s="24" customFormat="1" hidden="1" outlineLevel="2" x14ac:dyDescent="0.25">
      <c r="A47" s="25"/>
      <c r="B47" s="11" t="str">
        <f>CONCATENATE("          ", "6117", " - ", "RETIREMENT STAFF HOURLY")</f>
        <v xml:space="preserve">          6117 - RETIREMENT STAFF HOURLY</v>
      </c>
      <c r="C47" s="11"/>
      <c r="D47" s="6">
        <v>154.87</v>
      </c>
      <c r="E47" s="2"/>
      <c r="F47" s="7">
        <f t="shared" si="13"/>
        <v>1.2936489687574544E-4</v>
      </c>
      <c r="G47" s="2"/>
      <c r="H47" s="6"/>
      <c r="I47" s="2"/>
      <c r="J47" s="7">
        <f t="shared" si="14"/>
        <v>0</v>
      </c>
      <c r="K47" s="2"/>
      <c r="L47" s="6">
        <f t="shared" si="15"/>
        <v>154.87</v>
      </c>
      <c r="M47" s="2"/>
      <c r="N47" s="7">
        <f t="shared" si="16"/>
        <v>0</v>
      </c>
      <c r="O47" s="11"/>
      <c r="P47" s="6">
        <v>712.85</v>
      </c>
      <c r="Q47" s="2"/>
      <c r="R47" s="7">
        <f t="shared" si="17"/>
        <v>1.0945393555156352E-4</v>
      </c>
      <c r="S47" s="2"/>
      <c r="T47" s="6"/>
      <c r="U47" s="2"/>
      <c r="V47" s="7">
        <f t="shared" si="18"/>
        <v>0</v>
      </c>
      <c r="W47" s="2"/>
      <c r="X47" s="6">
        <f t="shared" si="19"/>
        <v>712.85</v>
      </c>
      <c r="Y47" s="2"/>
      <c r="Z47" s="7">
        <f t="shared" si="20"/>
        <v>0</v>
      </c>
    </row>
    <row r="48" spans="1:26" s="24" customFormat="1" hidden="1" outlineLevel="2" x14ac:dyDescent="0.25">
      <c r="A48" s="25"/>
      <c r="B48" s="11" t="str">
        <f>CONCATENATE("          ", "6118", " - ", "VACATION")</f>
        <v xml:space="preserve">          6118 - VACATION</v>
      </c>
      <c r="C48" s="11"/>
      <c r="D48" s="6">
        <v>7603.32</v>
      </c>
      <c r="E48" s="2"/>
      <c r="F48" s="7">
        <f t="shared" si="13"/>
        <v>6.3511506922792841E-3</v>
      </c>
      <c r="G48" s="2"/>
      <c r="H48" s="6">
        <v>5903.2945553846121</v>
      </c>
      <c r="I48" s="2"/>
      <c r="J48" s="7">
        <f t="shared" si="14"/>
        <v>4.9806450093394985E-3</v>
      </c>
      <c r="K48" s="2"/>
      <c r="L48" s="6">
        <f t="shared" si="15"/>
        <v>1700.0254446153876</v>
      </c>
      <c r="M48" s="2"/>
      <c r="N48" s="7">
        <f t="shared" si="16"/>
        <v>0.28797909856365406</v>
      </c>
      <c r="O48" s="11"/>
      <c r="P48" s="6">
        <v>68203.399999999994</v>
      </c>
      <c r="Q48" s="2"/>
      <c r="R48" s="7">
        <f t="shared" si="17"/>
        <v>1.0472231953422888E-2</v>
      </c>
      <c r="S48" s="2"/>
      <c r="T48" s="6">
        <v>51039.013799615357</v>
      </c>
      <c r="U48" s="2"/>
      <c r="V48" s="7">
        <f t="shared" si="18"/>
        <v>7.1994025339079297E-3</v>
      </c>
      <c r="W48" s="2"/>
      <c r="X48" s="6">
        <f t="shared" si="19"/>
        <v>17164.386200384637</v>
      </c>
      <c r="Y48" s="2"/>
      <c r="Z48" s="7">
        <f t="shared" si="20"/>
        <v>0.33629933109158139</v>
      </c>
    </row>
    <row r="49" spans="1:26" s="24" customFormat="1" hidden="1" outlineLevel="2" x14ac:dyDescent="0.25">
      <c r="A49" s="25"/>
      <c r="B49" s="11" t="str">
        <f>CONCATENATE("          ", "6119", " - ", "SICK LEAVE")</f>
        <v xml:space="preserve">          6119 - SICK LEAVE</v>
      </c>
      <c r="C49" s="11"/>
      <c r="D49" s="6">
        <v>5796.45</v>
      </c>
      <c r="E49" s="2"/>
      <c r="F49" s="7">
        <f t="shared" si="13"/>
        <v>4.8418490120450356E-3</v>
      </c>
      <c r="G49" s="2"/>
      <c r="H49" s="6">
        <v>9942.8269664615418</v>
      </c>
      <c r="I49" s="2"/>
      <c r="J49" s="7">
        <f t="shared" si="14"/>
        <v>8.3888227234167577E-3</v>
      </c>
      <c r="K49" s="2"/>
      <c r="L49" s="6">
        <f t="shared" si="15"/>
        <v>-4146.376966461542</v>
      </c>
      <c r="M49" s="2"/>
      <c r="N49" s="7">
        <f t="shared" si="16"/>
        <v>-0.41702193756844153</v>
      </c>
      <c r="O49" s="11"/>
      <c r="P49" s="6">
        <v>69662.680000000008</v>
      </c>
      <c r="Q49" s="2"/>
      <c r="R49" s="7">
        <f t="shared" si="17"/>
        <v>1.0696295836528293E-2</v>
      </c>
      <c r="S49" s="2"/>
      <c r="T49" s="6">
        <v>72137.049555538455</v>
      </c>
      <c r="U49" s="2"/>
      <c r="V49" s="7">
        <f t="shared" si="18"/>
        <v>1.0175425007187332E-2</v>
      </c>
      <c r="W49" s="2"/>
      <c r="X49" s="6">
        <f t="shared" si="19"/>
        <v>-2474.3695555384475</v>
      </c>
      <c r="Y49" s="2"/>
      <c r="Z49" s="7">
        <f t="shared" si="20"/>
        <v>-3.4300953127191953E-2</v>
      </c>
    </row>
    <row r="50" spans="1:26" s="24" customFormat="1" hidden="1" outlineLevel="2" x14ac:dyDescent="0.25">
      <c r="A50" s="25"/>
      <c r="B50" s="11" t="str">
        <f>CONCATENATE("          ", "6156", " - ", "EMPLOYEE MEALS")</f>
        <v xml:space="preserve">          6156 - EMPLOYEE MEALS</v>
      </c>
      <c r="C50" s="11"/>
      <c r="D50" s="6">
        <v>4099.49</v>
      </c>
      <c r="E50" s="2"/>
      <c r="F50" s="7">
        <f t="shared" si="13"/>
        <v>3.4243565641709152E-3</v>
      </c>
      <c r="G50" s="2"/>
      <c r="H50" s="6">
        <v>1725</v>
      </c>
      <c r="I50" s="2"/>
      <c r="J50" s="7">
        <f t="shared" si="14"/>
        <v>1.4553928421670757E-3</v>
      </c>
      <c r="K50" s="2"/>
      <c r="L50" s="6">
        <f t="shared" si="15"/>
        <v>2374.4899999999998</v>
      </c>
      <c r="M50" s="2"/>
      <c r="N50" s="7">
        <f t="shared" si="16"/>
        <v>1.3765159420289854</v>
      </c>
      <c r="O50" s="11"/>
      <c r="P50" s="6">
        <v>27669.85</v>
      </c>
      <c r="Q50" s="2"/>
      <c r="R50" s="7">
        <f t="shared" si="17"/>
        <v>4.2485431417849887E-3</v>
      </c>
      <c r="S50" s="2"/>
      <c r="T50" s="6">
        <v>13925</v>
      </c>
      <c r="U50" s="2"/>
      <c r="V50" s="7">
        <f t="shared" si="18"/>
        <v>1.9642166417687219E-3</v>
      </c>
      <c r="W50" s="2"/>
      <c r="X50" s="6">
        <f t="shared" si="19"/>
        <v>13744.849999999999</v>
      </c>
      <c r="Y50" s="2"/>
      <c r="Z50" s="7">
        <f t="shared" si="20"/>
        <v>0.98706283662477545</v>
      </c>
    </row>
    <row r="51" spans="1:26" s="27" customFormat="1" outlineLevel="1" collapsed="1" x14ac:dyDescent="0.25">
      <c r="A51" s="26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321187.75999999995</v>
      </c>
      <c r="E51" s="1"/>
      <c r="F51" s="5">
        <f t="shared" ref="F51:F61" si="21">IF(D$12=0,0,D51/D$12)</f>
        <v>0.26829225447247157</v>
      </c>
      <c r="G51" s="1"/>
      <c r="H51" s="1">
        <f>SUM(OSRRefH22_1x_0)</f>
        <v>304045.10967538465</v>
      </c>
      <c r="I51" s="1"/>
      <c r="J51" s="5">
        <f t="shared" ref="J51:J61" si="22">IF(H$12=0,0,H51/H$12)</f>
        <v>0.25652468192316424</v>
      </c>
      <c r="K51" s="1"/>
      <c r="L51" s="1">
        <f t="shared" ref="L51:L61" si="23">+D51-H51</f>
        <v>17142.650324615301</v>
      </c>
      <c r="M51" s="1"/>
      <c r="N51" s="5">
        <f t="shared" ref="N51:N61" si="24">IF(H51=0,0,L51/H51)</f>
        <v>5.638193076980498E-2</v>
      </c>
      <c r="O51" s="13"/>
      <c r="P51" s="1">
        <f>SUM(OSRRefP22_1x_0)</f>
        <v>2214899.6800000002</v>
      </c>
      <c r="Q51" s="1"/>
      <c r="R51" s="5">
        <f t="shared" ref="R51:R61" si="25">IF(P$12=0,0,P51/P$12)</f>
        <v>0.34008485211180284</v>
      </c>
      <c r="S51" s="1"/>
      <c r="T51" s="1">
        <f>SUM(OSRRefT22_1x_0)</f>
        <v>2185531.6074196156</v>
      </c>
      <c r="U51" s="1"/>
      <c r="V51" s="5">
        <f t="shared" ref="V51:V61" si="26">IF(T$12=0,0,T51/T$12)</f>
        <v>0.30828420498421211</v>
      </c>
      <c r="W51" s="1"/>
      <c r="X51" s="1">
        <f t="shared" ref="X51:X61" si="27">+P51-T51</f>
        <v>29368.072580384556</v>
      </c>
      <c r="Y51" s="1"/>
      <c r="Z51" s="5">
        <f t="shared" ref="Z51:Z61" si="28">IF(T51=0,0,X51/T51)</f>
        <v>1.3437496159142014E-2</v>
      </c>
    </row>
    <row r="52" spans="1:26" s="24" customFormat="1" hidden="1" outlineLevel="2" x14ac:dyDescent="0.25">
      <c r="A52" s="25"/>
      <c r="B52" s="11" t="str">
        <f>CONCATENATE("          ", "6001", " - ", "ADMINISTRATIVE SALARIES")</f>
        <v xml:space="preserve">          6001 - ADMINISTRATIVE SALARIES</v>
      </c>
      <c r="C52" s="11"/>
      <c r="D52" s="6">
        <v>18246.47</v>
      </c>
      <c r="E52" s="2"/>
      <c r="F52" s="7">
        <f t="shared" si="21"/>
        <v>1.5241510362861645E-2</v>
      </c>
      <c r="G52" s="2"/>
      <c r="H52" s="6">
        <v>33402.792869230769</v>
      </c>
      <c r="I52" s="2"/>
      <c r="J52" s="7">
        <f t="shared" si="22"/>
        <v>2.8182136608850956E-2</v>
      </c>
      <c r="K52" s="2"/>
      <c r="L52" s="6">
        <f t="shared" si="23"/>
        <v>-15156.322869230768</v>
      </c>
      <c r="M52" s="2"/>
      <c r="N52" s="7">
        <f t="shared" si="24"/>
        <v>-0.45374418027158825</v>
      </c>
      <c r="O52" s="11"/>
      <c r="P52" s="6">
        <v>143245.21</v>
      </c>
      <c r="Q52" s="2"/>
      <c r="R52" s="7">
        <f t="shared" si="25"/>
        <v>2.1994461644680059E-2</v>
      </c>
      <c r="S52" s="2"/>
      <c r="T52" s="6">
        <v>289758.81195576926</v>
      </c>
      <c r="U52" s="2"/>
      <c r="V52" s="7">
        <f t="shared" si="26"/>
        <v>4.0872465389059649E-2</v>
      </c>
      <c r="W52" s="2"/>
      <c r="X52" s="6">
        <f t="shared" si="27"/>
        <v>-146513.60195576926</v>
      </c>
      <c r="Y52" s="2"/>
      <c r="Z52" s="7">
        <f t="shared" si="28"/>
        <v>-0.50563984911055648</v>
      </c>
    </row>
    <row r="53" spans="1:26" s="24" customFormat="1" hidden="1" outlineLevel="2" x14ac:dyDescent="0.25">
      <c r="A53" s="25"/>
      <c r="B53" s="11" t="str">
        <f>CONCATENATE("          ", "6002", " - ", "STAFF SALARIES")</f>
        <v xml:space="preserve">          6002 - STAFF SALARIES</v>
      </c>
      <c r="C53" s="11"/>
      <c r="D53" s="6">
        <v>71505.240000000005</v>
      </c>
      <c r="E53" s="2"/>
      <c r="F53" s="7">
        <f t="shared" si="21"/>
        <v>5.9729243873412718E-2</v>
      </c>
      <c r="G53" s="2"/>
      <c r="H53" s="6">
        <v>54927.481646153872</v>
      </c>
      <c r="I53" s="2"/>
      <c r="J53" s="7">
        <f t="shared" si="22"/>
        <v>4.6342645580333783E-2</v>
      </c>
      <c r="K53" s="2"/>
      <c r="L53" s="6">
        <f t="shared" si="23"/>
        <v>16577.758353846133</v>
      </c>
      <c r="M53" s="2"/>
      <c r="N53" s="7">
        <f t="shared" si="24"/>
        <v>0.30181173170547021</v>
      </c>
      <c r="O53" s="11"/>
      <c r="P53" s="6">
        <v>624873.85</v>
      </c>
      <c r="Q53" s="2"/>
      <c r="R53" s="7">
        <f t="shared" si="25"/>
        <v>9.5945713832864363E-2</v>
      </c>
      <c r="S53" s="2"/>
      <c r="T53" s="6">
        <v>480615.4644038463</v>
      </c>
      <c r="U53" s="2"/>
      <c r="V53" s="7">
        <f t="shared" si="26"/>
        <v>6.7794103660570024E-2</v>
      </c>
      <c r="W53" s="2"/>
      <c r="X53" s="6">
        <f t="shared" si="27"/>
        <v>144258.38559615368</v>
      </c>
      <c r="Y53" s="2"/>
      <c r="Z53" s="7">
        <f t="shared" si="28"/>
        <v>0.30015344132775934</v>
      </c>
    </row>
    <row r="54" spans="1:26" s="24" customFormat="1" hidden="1" outlineLevel="2" x14ac:dyDescent="0.25">
      <c r="A54" s="25"/>
      <c r="B54" s="11" t="str">
        <f>CONCATENATE("          ", "6003", " - ", "STAFF HOURLY-9 MONTH")</f>
        <v xml:space="preserve">          6003 - STAFF HOURLY-9 MONTH</v>
      </c>
      <c r="C54" s="11"/>
      <c r="D54" s="6"/>
      <c r="E54" s="2"/>
      <c r="F54" s="7">
        <f t="shared" si="21"/>
        <v>0</v>
      </c>
      <c r="G54" s="2"/>
      <c r="H54" s="6">
        <v>0</v>
      </c>
      <c r="I54" s="2"/>
      <c r="J54" s="7">
        <f t="shared" si="22"/>
        <v>0</v>
      </c>
      <c r="K54" s="2"/>
      <c r="L54" s="6">
        <f t="shared" si="23"/>
        <v>0</v>
      </c>
      <c r="M54" s="2"/>
      <c r="N54" s="7">
        <f t="shared" si="24"/>
        <v>0</v>
      </c>
      <c r="O54" s="11"/>
      <c r="P54" s="6"/>
      <c r="Q54" s="2"/>
      <c r="R54" s="7">
        <f t="shared" si="25"/>
        <v>0</v>
      </c>
      <c r="S54" s="2"/>
      <c r="T54" s="6">
        <v>0</v>
      </c>
      <c r="U54" s="2"/>
      <c r="V54" s="7">
        <f t="shared" si="26"/>
        <v>0</v>
      </c>
      <c r="W54" s="2"/>
      <c r="X54" s="6">
        <f t="shared" si="27"/>
        <v>0</v>
      </c>
      <c r="Y54" s="2"/>
      <c r="Z54" s="7">
        <f t="shared" si="28"/>
        <v>0</v>
      </c>
    </row>
    <row r="55" spans="1:26" s="24" customFormat="1" hidden="1" outlineLevel="2" x14ac:dyDescent="0.25">
      <c r="A55" s="25"/>
      <c r="B55" s="11" t="str">
        <f>CONCATENATE("          ", "6004", " - ", "STAFF HOURLY")</f>
        <v xml:space="preserve">          6004 - STAFF HOURLY</v>
      </c>
      <c r="C55" s="11"/>
      <c r="D55" s="6">
        <v>27872.69</v>
      </c>
      <c r="E55" s="2"/>
      <c r="F55" s="7">
        <f t="shared" si="21"/>
        <v>2.3282415364496808E-2</v>
      </c>
      <c r="G55" s="2"/>
      <c r="H55" s="6">
        <v>50147.6486</v>
      </c>
      <c r="I55" s="2"/>
      <c r="J55" s="7">
        <f t="shared" si="22"/>
        <v>4.2309871781999873E-2</v>
      </c>
      <c r="K55" s="2"/>
      <c r="L55" s="6">
        <f t="shared" si="23"/>
        <v>-22274.958600000002</v>
      </c>
      <c r="M55" s="2"/>
      <c r="N55" s="7">
        <f t="shared" si="24"/>
        <v>-0.44418749875343111</v>
      </c>
      <c r="O55" s="11"/>
      <c r="P55" s="6">
        <v>173963.41</v>
      </c>
      <c r="Q55" s="2"/>
      <c r="R55" s="7">
        <f t="shared" si="25"/>
        <v>2.6711061045760286E-2</v>
      </c>
      <c r="S55" s="2"/>
      <c r="T55" s="6">
        <v>399813.70204999996</v>
      </c>
      <c r="U55" s="2"/>
      <c r="V55" s="7">
        <f t="shared" si="26"/>
        <v>5.6396461556464716E-2</v>
      </c>
      <c r="W55" s="2"/>
      <c r="X55" s="6">
        <f t="shared" si="27"/>
        <v>-225850.29204999996</v>
      </c>
      <c r="Y55" s="2"/>
      <c r="Z55" s="7">
        <f t="shared" si="28"/>
        <v>-0.56488882419981579</v>
      </c>
    </row>
    <row r="56" spans="1:26" s="24" customFormat="1" hidden="1" outlineLevel="2" x14ac:dyDescent="0.25">
      <c r="A56" s="25"/>
      <c r="B56" s="11" t="str">
        <f>CONCATENATE("          ", "6005", " - ", "TEMPORARY WAGES-HOURLY")</f>
        <v xml:space="preserve">          6005 - TEMPORARY WAGES-HOURLY</v>
      </c>
      <c r="C56" s="11"/>
      <c r="D56" s="6">
        <v>69289.149999999994</v>
      </c>
      <c r="E56" s="2"/>
      <c r="F56" s="7">
        <f t="shared" si="21"/>
        <v>5.7878115479809235E-2</v>
      </c>
      <c r="G56" s="2"/>
      <c r="H56" s="6">
        <v>33524.383200000004</v>
      </c>
      <c r="I56" s="2"/>
      <c r="J56" s="7">
        <f t="shared" si="22"/>
        <v>2.8284723099910824E-2</v>
      </c>
      <c r="K56" s="2"/>
      <c r="L56" s="6">
        <f t="shared" si="23"/>
        <v>35764.76679999999</v>
      </c>
      <c r="M56" s="2"/>
      <c r="N56" s="7">
        <f t="shared" si="24"/>
        <v>1.0668284808294395</v>
      </c>
      <c r="O56" s="11"/>
      <c r="P56" s="6">
        <v>424180.17</v>
      </c>
      <c r="Q56" s="2"/>
      <c r="R56" s="7">
        <f t="shared" si="25"/>
        <v>6.5130376642254684E-2</v>
      </c>
      <c r="S56" s="2"/>
      <c r="T56" s="6">
        <v>242691.44639999999</v>
      </c>
      <c r="U56" s="2"/>
      <c r="V56" s="7">
        <f t="shared" si="26"/>
        <v>3.4233291047310717E-2</v>
      </c>
      <c r="W56" s="2"/>
      <c r="X56" s="6">
        <f t="shared" si="27"/>
        <v>181488.7236</v>
      </c>
      <c r="Y56" s="2"/>
      <c r="Z56" s="7">
        <f t="shared" si="28"/>
        <v>0.74781672898711604</v>
      </c>
    </row>
    <row r="57" spans="1:26" s="24" customFormat="1" hidden="1" outlineLevel="2" x14ac:dyDescent="0.25">
      <c r="A57" s="25"/>
      <c r="B57" s="11" t="str">
        <f>CONCATENATE("          ", "6006", " - ", "TEMPORARY PART TIME")</f>
        <v xml:space="preserve">          6006 - TEMPORARY PART TIME</v>
      </c>
      <c r="C57" s="11"/>
      <c r="D57" s="6">
        <v>3930.8</v>
      </c>
      <c r="E57" s="2"/>
      <c r="F57" s="7">
        <f t="shared" si="21"/>
        <v>3.2834476440832968E-3</v>
      </c>
      <c r="G57" s="2"/>
      <c r="H57" s="6">
        <v>0</v>
      </c>
      <c r="I57" s="2"/>
      <c r="J57" s="7">
        <f t="shared" si="22"/>
        <v>0</v>
      </c>
      <c r="K57" s="2"/>
      <c r="L57" s="6">
        <f t="shared" si="23"/>
        <v>3930.8</v>
      </c>
      <c r="M57" s="2"/>
      <c r="N57" s="7">
        <f t="shared" si="24"/>
        <v>0</v>
      </c>
      <c r="O57" s="11"/>
      <c r="P57" s="6">
        <v>25277.69</v>
      </c>
      <c r="Q57" s="2"/>
      <c r="R57" s="7">
        <f t="shared" si="25"/>
        <v>3.8812410074383127E-3</v>
      </c>
      <c r="S57" s="2"/>
      <c r="T57" s="6">
        <v>0</v>
      </c>
      <c r="U57" s="2"/>
      <c r="V57" s="7">
        <f t="shared" si="26"/>
        <v>0</v>
      </c>
      <c r="W57" s="2"/>
      <c r="X57" s="6">
        <f t="shared" si="27"/>
        <v>25277.69</v>
      </c>
      <c r="Y57" s="2"/>
      <c r="Z57" s="7">
        <f t="shared" si="28"/>
        <v>0</v>
      </c>
    </row>
    <row r="58" spans="1:26" s="24" customFormat="1" hidden="1" outlineLevel="2" x14ac:dyDescent="0.25">
      <c r="A58" s="25"/>
      <c r="B58" s="11" t="str">
        <f>CONCATENATE("          ", "6007", " - ", "STUDENT HOURLY")</f>
        <v xml:space="preserve">          6007 - STUDENT HOURLY</v>
      </c>
      <c r="C58" s="11"/>
      <c r="D58" s="6">
        <v>123288.44</v>
      </c>
      <c r="E58" s="2"/>
      <c r="F58" s="7">
        <f t="shared" si="21"/>
        <v>0.10298441484194182</v>
      </c>
      <c r="G58" s="2"/>
      <c r="H58" s="6">
        <v>1530</v>
      </c>
      <c r="I58" s="2"/>
      <c r="J58" s="7">
        <f t="shared" si="22"/>
        <v>1.2908701730525367E-3</v>
      </c>
      <c r="K58" s="2"/>
      <c r="L58" s="6">
        <f t="shared" si="23"/>
        <v>121758.44</v>
      </c>
      <c r="M58" s="2"/>
      <c r="N58" s="7">
        <f t="shared" si="24"/>
        <v>79.580679738562097</v>
      </c>
      <c r="O58" s="11"/>
      <c r="P58" s="6">
        <v>784575.17</v>
      </c>
      <c r="Q58" s="2"/>
      <c r="R58" s="7">
        <f t="shared" si="25"/>
        <v>0.12046691462795397</v>
      </c>
      <c r="S58" s="2"/>
      <c r="T58" s="6">
        <v>68137.943749999991</v>
      </c>
      <c r="U58" s="2"/>
      <c r="V58" s="7">
        <f t="shared" si="26"/>
        <v>9.6113237378564476E-3</v>
      </c>
      <c r="W58" s="2"/>
      <c r="X58" s="6">
        <f t="shared" si="27"/>
        <v>716437.22625000007</v>
      </c>
      <c r="Y58" s="2"/>
      <c r="Z58" s="7">
        <f t="shared" si="28"/>
        <v>10.514511985841958</v>
      </c>
    </row>
    <row r="59" spans="1:26" s="24" customFormat="1" hidden="1" outlineLevel="2" x14ac:dyDescent="0.25">
      <c r="A59" s="25"/>
      <c r="B59" s="11" t="str">
        <f>CONCATENATE("          ", "6008", " - ", "STUDENT HOURLY-FICA EXEMPT")</f>
        <v xml:space="preserve">          6008 - STUDENT HOURLY-FICA EXEMPT</v>
      </c>
      <c r="C59" s="11"/>
      <c r="D59" s="6">
        <v>7054.97</v>
      </c>
      <c r="E59" s="2"/>
      <c r="F59" s="7">
        <f t="shared" si="21"/>
        <v>5.8931069058660674E-3</v>
      </c>
      <c r="G59" s="2"/>
      <c r="H59" s="6">
        <v>130512.80335999999</v>
      </c>
      <c r="I59" s="2"/>
      <c r="J59" s="7">
        <f t="shared" si="22"/>
        <v>0.11011443467901627</v>
      </c>
      <c r="K59" s="2"/>
      <c r="L59" s="6">
        <f t="shared" si="23"/>
        <v>-123457.83335999999</v>
      </c>
      <c r="M59" s="2"/>
      <c r="N59" s="7">
        <f t="shared" si="24"/>
        <v>-0.94594423061667043</v>
      </c>
      <c r="O59" s="11"/>
      <c r="P59" s="6">
        <v>38784.18</v>
      </c>
      <c r="Q59" s="2"/>
      <c r="R59" s="7">
        <f t="shared" si="25"/>
        <v>5.9550833108511442E-3</v>
      </c>
      <c r="S59" s="2"/>
      <c r="T59" s="6">
        <v>704514.23885999992</v>
      </c>
      <c r="U59" s="2"/>
      <c r="V59" s="7">
        <f t="shared" si="26"/>
        <v>9.9376559592950525E-2</v>
      </c>
      <c r="W59" s="2"/>
      <c r="X59" s="6">
        <f t="shared" si="27"/>
        <v>-665730.05885999987</v>
      </c>
      <c r="Y59" s="2"/>
      <c r="Z59" s="7">
        <f t="shared" si="28"/>
        <v>-0.94494904735671748</v>
      </c>
    </row>
    <row r="60" spans="1:26" s="24" customFormat="1" hidden="1" outlineLevel="2" x14ac:dyDescent="0.25">
      <c r="A60" s="25"/>
      <c r="B60" s="11" t="str">
        <f>CONCATENATE("          ", "6009", " - ", "TEMPORARY-SEASONAL")</f>
        <v xml:space="preserve">          6009 - TEMPORARY-SEASONAL</v>
      </c>
      <c r="C60" s="11"/>
      <c r="D60" s="6"/>
      <c r="E60" s="2"/>
      <c r="F60" s="7">
        <f t="shared" si="21"/>
        <v>0</v>
      </c>
      <c r="G60" s="2"/>
      <c r="H60" s="6">
        <v>0</v>
      </c>
      <c r="I60" s="2"/>
      <c r="J60" s="7">
        <f t="shared" si="22"/>
        <v>0</v>
      </c>
      <c r="K60" s="2"/>
      <c r="L60" s="6">
        <f t="shared" si="23"/>
        <v>0</v>
      </c>
      <c r="M60" s="2"/>
      <c r="N60" s="7">
        <f t="shared" si="24"/>
        <v>0</v>
      </c>
      <c r="O60" s="11"/>
      <c r="P60" s="6"/>
      <c r="Q60" s="2"/>
      <c r="R60" s="7">
        <f t="shared" si="25"/>
        <v>0</v>
      </c>
      <c r="S60" s="2"/>
      <c r="T60" s="6">
        <v>0</v>
      </c>
      <c r="U60" s="2"/>
      <c r="V60" s="7">
        <f t="shared" si="26"/>
        <v>0</v>
      </c>
      <c r="W60" s="2"/>
      <c r="X60" s="6">
        <f t="shared" si="27"/>
        <v>0</v>
      </c>
      <c r="Y60" s="2"/>
      <c r="Z60" s="7">
        <f t="shared" si="28"/>
        <v>0</v>
      </c>
    </row>
    <row r="61" spans="1:26" s="24" customFormat="1" hidden="1" outlineLevel="2" x14ac:dyDescent="0.25">
      <c r="A61" s="25"/>
      <c r="B61" s="11" t="str">
        <f>CONCATENATE("          ", "6010", " - ", "GRATUITY")</f>
        <v xml:space="preserve">          6010 - GRATUITY</v>
      </c>
      <c r="C61" s="11"/>
      <c r="D61" s="6"/>
      <c r="E61" s="2"/>
      <c r="F61" s="7">
        <f t="shared" si="21"/>
        <v>0</v>
      </c>
      <c r="G61" s="2"/>
      <c r="H61" s="6">
        <v>0</v>
      </c>
      <c r="I61" s="2"/>
      <c r="J61" s="7">
        <f t="shared" si="22"/>
        <v>0</v>
      </c>
      <c r="K61" s="2"/>
      <c r="L61" s="6">
        <f t="shared" si="23"/>
        <v>0</v>
      </c>
      <c r="M61" s="2"/>
      <c r="N61" s="7">
        <f t="shared" si="24"/>
        <v>0</v>
      </c>
      <c r="O61" s="11"/>
      <c r="P61" s="6"/>
      <c r="Q61" s="2"/>
      <c r="R61" s="7">
        <f t="shared" si="25"/>
        <v>0</v>
      </c>
      <c r="S61" s="2"/>
      <c r="T61" s="6">
        <v>0</v>
      </c>
      <c r="U61" s="2"/>
      <c r="V61" s="7">
        <f t="shared" si="26"/>
        <v>0</v>
      </c>
      <c r="W61" s="2"/>
      <c r="X61" s="6">
        <f t="shared" si="27"/>
        <v>0</v>
      </c>
      <c r="Y61" s="2"/>
      <c r="Z61" s="7">
        <f t="shared" si="28"/>
        <v>0</v>
      </c>
    </row>
    <row r="62" spans="1:26" s="27" customFormat="1" outlineLevel="1" collapsed="1" x14ac:dyDescent="0.25">
      <c r="A62" s="26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2785.9</v>
      </c>
      <c r="E62" s="1"/>
      <c r="F62" s="5">
        <f t="shared" ref="F62:F72" si="29">IF(D$12=0,0,D62/D$12)</f>
        <v>2.3270979931951908E-3</v>
      </c>
      <c r="G62" s="1"/>
      <c r="H62" s="1">
        <f>SUM(OSRRefH22_2x_0)</f>
        <v>1465</v>
      </c>
      <c r="I62" s="1"/>
      <c r="J62" s="5">
        <f t="shared" ref="J62:J72" si="30">IF(H$12=0,0,H62/H$12)</f>
        <v>1.2360292833476904E-3</v>
      </c>
      <c r="K62" s="1"/>
      <c r="L62" s="1">
        <f t="shared" ref="L62:L72" si="31">+D62-H62</f>
        <v>1320.9</v>
      </c>
      <c r="M62" s="1"/>
      <c r="N62" s="5">
        <f t="shared" ref="N62:N72" si="32">IF(H62=0,0,L62/H62)</f>
        <v>0.9016382252559727</v>
      </c>
      <c r="O62" s="13"/>
      <c r="P62" s="1">
        <f>SUM(OSRRefP22_2x_0)</f>
        <v>29610.89</v>
      </c>
      <c r="Q62" s="1"/>
      <c r="R62" s="5">
        <f t="shared" ref="R62:R72" si="33">IF(P$12=0,0,P62/P$12)</f>
        <v>4.5465784466359495E-3</v>
      </c>
      <c r="S62" s="1"/>
      <c r="T62" s="1">
        <f>SUM(OSRRefT22_2x_0)</f>
        <v>18595</v>
      </c>
      <c r="U62" s="1"/>
      <c r="V62" s="5">
        <f t="shared" ref="V62:V72" si="34">IF(T$12=0,0,T62/T$12)</f>
        <v>2.6229521331195245E-3</v>
      </c>
      <c r="W62" s="1"/>
      <c r="X62" s="1">
        <f t="shared" ref="X62:X72" si="35">+P62-T62</f>
        <v>11015.89</v>
      </c>
      <c r="Y62" s="1"/>
      <c r="Z62" s="5">
        <f t="shared" ref="Z62:Z72" si="36">IF(T62=0,0,X62/T62)</f>
        <v>0.59241140091422417</v>
      </c>
    </row>
    <row r="63" spans="1:26" s="24" customFormat="1" hidden="1" outlineLevel="2" x14ac:dyDescent="0.25">
      <c r="A63" s="25"/>
      <c r="B63" s="11" t="str">
        <f>CONCATENATE("          ", "6362", " - ", "ADVERTISING EXPENSE")</f>
        <v xml:space="preserve">          6362 - ADVERTISING EXPENSE</v>
      </c>
      <c r="C63" s="11"/>
      <c r="D63" s="6">
        <v>2785.9</v>
      </c>
      <c r="E63" s="2"/>
      <c r="F63" s="7">
        <f t="shared" si="29"/>
        <v>2.3270979931951908E-3</v>
      </c>
      <c r="G63" s="2"/>
      <c r="H63" s="6">
        <v>1465</v>
      </c>
      <c r="I63" s="2"/>
      <c r="J63" s="7">
        <f t="shared" si="30"/>
        <v>1.2360292833476904E-3</v>
      </c>
      <c r="K63" s="2"/>
      <c r="L63" s="6">
        <f t="shared" si="31"/>
        <v>1320.9</v>
      </c>
      <c r="M63" s="2"/>
      <c r="N63" s="7">
        <f t="shared" si="32"/>
        <v>0.9016382252559727</v>
      </c>
      <c r="O63" s="11"/>
      <c r="P63" s="6">
        <v>29610.89</v>
      </c>
      <c r="Q63" s="2"/>
      <c r="R63" s="7">
        <f t="shared" si="33"/>
        <v>4.5465784466359495E-3</v>
      </c>
      <c r="S63" s="2"/>
      <c r="T63" s="6">
        <v>18595</v>
      </c>
      <c r="U63" s="2"/>
      <c r="V63" s="7">
        <f t="shared" si="34"/>
        <v>2.6229521331195245E-3</v>
      </c>
      <c r="W63" s="2"/>
      <c r="X63" s="6">
        <f t="shared" si="35"/>
        <v>11015.89</v>
      </c>
      <c r="Y63" s="2"/>
      <c r="Z63" s="7">
        <f t="shared" si="36"/>
        <v>0.59241140091422417</v>
      </c>
    </row>
    <row r="64" spans="1:26" s="27" customFormat="1" outlineLevel="1" collapsed="1" x14ac:dyDescent="0.25">
      <c r="A64" s="26"/>
      <c r="B64" s="13" t="str">
        <f>CONCATENATE("     ","Bad Debts/Over/Short                              ")</f>
        <v xml:space="preserve">     Bad Debts/Over/Short                              </v>
      </c>
      <c r="C64" s="13"/>
      <c r="D64" s="1">
        <f>SUM(OSRRefD22_3x_0)</f>
        <v>165.5</v>
      </c>
      <c r="E64" s="1"/>
      <c r="F64" s="5">
        <f t="shared" si="29"/>
        <v>1.3824427218270724E-4</v>
      </c>
      <c r="G64" s="1"/>
      <c r="H64" s="1">
        <f>SUM(OSRRefH22_3x_0)</f>
        <v>179</v>
      </c>
      <c r="I64" s="1"/>
      <c r="J64" s="5">
        <f t="shared" si="30"/>
        <v>1.5102337318719222E-4</v>
      </c>
      <c r="K64" s="1"/>
      <c r="L64" s="1">
        <f t="shared" si="31"/>
        <v>-13.5</v>
      </c>
      <c r="M64" s="1"/>
      <c r="N64" s="5">
        <f t="shared" si="32"/>
        <v>-7.5418994413407825E-2</v>
      </c>
      <c r="O64" s="13"/>
      <c r="P64" s="1">
        <f>SUM(OSRRefP22_3x_0)</f>
        <v>-657.2</v>
      </c>
      <c r="Q64" s="1"/>
      <c r="R64" s="5">
        <f t="shared" si="33"/>
        <v>-1.0090920452337455E-4</v>
      </c>
      <c r="S64" s="1"/>
      <c r="T64" s="1">
        <f>SUM(OSRRefT22_3x_0)</f>
        <v>1237</v>
      </c>
      <c r="U64" s="1"/>
      <c r="V64" s="5">
        <f t="shared" si="34"/>
        <v>1.744873239402448E-4</v>
      </c>
      <c r="W64" s="1"/>
      <c r="X64" s="1">
        <f t="shared" si="35"/>
        <v>-1894.2</v>
      </c>
      <c r="Y64" s="1"/>
      <c r="Z64" s="5">
        <f t="shared" si="36"/>
        <v>-1.5312853678253839</v>
      </c>
    </row>
    <row r="65" spans="1:26" s="24" customFormat="1" hidden="1" outlineLevel="2" x14ac:dyDescent="0.25">
      <c r="A65" s="25"/>
      <c r="B65" s="11" t="str">
        <f>CONCATENATE("          ", "6272", " - ", "CASH (OVER/SHORT)")</f>
        <v xml:space="preserve">          6272 - CASH (OVER/SHORT)</v>
      </c>
      <c r="C65" s="11"/>
      <c r="D65" s="6">
        <v>165.5</v>
      </c>
      <c r="E65" s="2"/>
      <c r="F65" s="7">
        <f t="shared" si="29"/>
        <v>1.3824427218270724E-4</v>
      </c>
      <c r="G65" s="2"/>
      <c r="H65" s="6">
        <v>179</v>
      </c>
      <c r="I65" s="2"/>
      <c r="J65" s="7">
        <f t="shared" si="30"/>
        <v>1.5102337318719222E-4</v>
      </c>
      <c r="K65" s="2"/>
      <c r="L65" s="6">
        <f t="shared" si="31"/>
        <v>-13.5</v>
      </c>
      <c r="M65" s="2"/>
      <c r="N65" s="7">
        <f t="shared" si="32"/>
        <v>-7.5418994413407825E-2</v>
      </c>
      <c r="O65" s="11"/>
      <c r="P65" s="6">
        <v>-657.2</v>
      </c>
      <c r="Q65" s="2"/>
      <c r="R65" s="7">
        <f t="shared" si="33"/>
        <v>-1.0090920452337455E-4</v>
      </c>
      <c r="S65" s="2"/>
      <c r="T65" s="6">
        <v>1237</v>
      </c>
      <c r="U65" s="2"/>
      <c r="V65" s="7">
        <f t="shared" si="34"/>
        <v>1.744873239402448E-4</v>
      </c>
      <c r="W65" s="2"/>
      <c r="X65" s="6">
        <f t="shared" si="35"/>
        <v>-1894.2</v>
      </c>
      <c r="Y65" s="2"/>
      <c r="Z65" s="7">
        <f t="shared" si="36"/>
        <v>-1.5312853678253839</v>
      </c>
    </row>
    <row r="66" spans="1:26" s="27" customFormat="1" outlineLevel="1" collapsed="1" x14ac:dyDescent="0.25">
      <c r="A66" s="26"/>
      <c r="B66" s="13" t="str">
        <f>CONCATENATE("     ","Bank/card Fees                                    ")</f>
        <v xml:space="preserve">     Bank/card Fees                                    </v>
      </c>
      <c r="C66" s="13"/>
      <c r="D66" s="1">
        <f>SUM(OSRRefD22_4x_0)</f>
        <v>34777.420000000006</v>
      </c>
      <c r="E66" s="1"/>
      <c r="F66" s="5">
        <f t="shared" si="29"/>
        <v>2.9050024871856962E-2</v>
      </c>
      <c r="G66" s="1"/>
      <c r="H66" s="1">
        <f>SUM(OSRRefH22_4x_0)</f>
        <v>23744</v>
      </c>
      <c r="I66" s="1"/>
      <c r="J66" s="5">
        <f t="shared" si="30"/>
        <v>2.0032955156182634E-2</v>
      </c>
      <c r="K66" s="1"/>
      <c r="L66" s="1">
        <f t="shared" si="31"/>
        <v>11033.420000000006</v>
      </c>
      <c r="M66" s="1"/>
      <c r="N66" s="5">
        <f t="shared" si="32"/>
        <v>0.46468244609164444</v>
      </c>
      <c r="O66" s="13"/>
      <c r="P66" s="1">
        <f>SUM(OSRRefP22_4x_0)</f>
        <v>213293.95</v>
      </c>
      <c r="Q66" s="1"/>
      <c r="R66" s="5">
        <f t="shared" si="33"/>
        <v>3.2750034729379832E-2</v>
      </c>
      <c r="S66" s="1"/>
      <c r="T66" s="1">
        <f>SUM(OSRRefT22_4x_0)</f>
        <v>149271</v>
      </c>
      <c r="U66" s="1"/>
      <c r="V66" s="5">
        <f t="shared" si="34"/>
        <v>2.1055697115508715E-2</v>
      </c>
      <c r="W66" s="1"/>
      <c r="X66" s="1">
        <f t="shared" si="35"/>
        <v>64022.950000000012</v>
      </c>
      <c r="Y66" s="1"/>
      <c r="Z66" s="5">
        <f t="shared" si="36"/>
        <v>0.42890414079091055</v>
      </c>
    </row>
    <row r="67" spans="1:26" s="24" customFormat="1" hidden="1" outlineLevel="2" x14ac:dyDescent="0.25">
      <c r="A67" s="25"/>
      <c r="B67" s="11" t="str">
        <f>CONCATENATE("          ", "6381", " - ", "BANK/CREDIT CARD FEES")</f>
        <v xml:space="preserve">          6381 - BANK/CREDIT CARD FEES</v>
      </c>
      <c r="C67" s="11"/>
      <c r="D67" s="6">
        <v>34777.420000000006</v>
      </c>
      <c r="E67" s="2"/>
      <c r="F67" s="7">
        <f t="shared" si="29"/>
        <v>2.9050024871856962E-2</v>
      </c>
      <c r="G67" s="2"/>
      <c r="H67" s="6">
        <v>23744</v>
      </c>
      <c r="I67" s="2"/>
      <c r="J67" s="7">
        <f t="shared" si="30"/>
        <v>2.0032955156182634E-2</v>
      </c>
      <c r="K67" s="2"/>
      <c r="L67" s="6">
        <f t="shared" si="31"/>
        <v>11033.420000000006</v>
      </c>
      <c r="M67" s="2"/>
      <c r="N67" s="7">
        <f t="shared" si="32"/>
        <v>0.46468244609164444</v>
      </c>
      <c r="O67" s="11"/>
      <c r="P67" s="6">
        <v>213293.95</v>
      </c>
      <c r="Q67" s="2"/>
      <c r="R67" s="7">
        <f t="shared" si="33"/>
        <v>3.2750034729379832E-2</v>
      </c>
      <c r="S67" s="2"/>
      <c r="T67" s="6">
        <v>149271</v>
      </c>
      <c r="U67" s="2"/>
      <c r="V67" s="7">
        <f t="shared" si="34"/>
        <v>2.1055697115508715E-2</v>
      </c>
      <c r="W67" s="2"/>
      <c r="X67" s="6">
        <f t="shared" si="35"/>
        <v>64022.950000000012</v>
      </c>
      <c r="Y67" s="2"/>
      <c r="Z67" s="7">
        <f t="shared" si="36"/>
        <v>0.42890414079091055</v>
      </c>
    </row>
    <row r="68" spans="1:26" s="27" customFormat="1" outlineLevel="1" collapsed="1" x14ac:dyDescent="0.25">
      <c r="A68" s="26"/>
      <c r="B68" s="13" t="str">
        <f>CONCATENATE("     ","Depreciation                                      ")</f>
        <v xml:space="preserve">     Depreciation                                      </v>
      </c>
      <c r="C68" s="13"/>
      <c r="D68" s="1">
        <f>SUM(OSRRefD22_5x_0)</f>
        <v>49530.42</v>
      </c>
      <c r="E68" s="1"/>
      <c r="F68" s="5">
        <f t="shared" si="29"/>
        <v>4.1373394947455018E-2</v>
      </c>
      <c r="G68" s="1"/>
      <c r="H68" s="1">
        <f>SUM(OSRRefH22_5x_0)</f>
        <v>54222</v>
      </c>
      <c r="I68" s="1"/>
      <c r="J68" s="5">
        <f t="shared" si="30"/>
        <v>4.5747426485787349E-2</v>
      </c>
      <c r="K68" s="1"/>
      <c r="L68" s="1">
        <f t="shared" si="31"/>
        <v>-4691.5800000000017</v>
      </c>
      <c r="M68" s="1"/>
      <c r="N68" s="5">
        <f t="shared" si="32"/>
        <v>-8.6525395595883625E-2</v>
      </c>
      <c r="O68" s="13"/>
      <c r="P68" s="1">
        <f>SUM(OSRRefP22_5x_0)</f>
        <v>387988.11</v>
      </c>
      <c r="Q68" s="1"/>
      <c r="R68" s="5">
        <f t="shared" si="33"/>
        <v>5.9573298150680971E-2</v>
      </c>
      <c r="S68" s="1"/>
      <c r="T68" s="1">
        <f>SUM(OSRRefT22_5x_0)</f>
        <v>412820</v>
      </c>
      <c r="U68" s="1"/>
      <c r="V68" s="5">
        <f t="shared" si="34"/>
        <v>5.8231088980607804E-2</v>
      </c>
      <c r="W68" s="1"/>
      <c r="X68" s="1">
        <f t="shared" si="35"/>
        <v>-24831.890000000014</v>
      </c>
      <c r="Y68" s="1"/>
      <c r="Z68" s="5">
        <f t="shared" si="36"/>
        <v>-6.0151857952618605E-2</v>
      </c>
    </row>
    <row r="69" spans="1:26" s="24" customFormat="1" hidden="1" outlineLevel="2" x14ac:dyDescent="0.25">
      <c r="A69" s="25"/>
      <c r="B69" s="11" t="str">
        <f>CONCATENATE("          ", "6321", " - ", "BUILDING DEPRECIATION")</f>
        <v xml:space="preserve">          6321 - BUILDING DEPRECIATION</v>
      </c>
      <c r="C69" s="11"/>
      <c r="D69" s="6">
        <v>29123.47</v>
      </c>
      <c r="E69" s="2"/>
      <c r="F69" s="7">
        <f t="shared" si="29"/>
        <v>2.4327207937068936E-2</v>
      </c>
      <c r="G69" s="2"/>
      <c r="H69" s="6">
        <v>28118</v>
      </c>
      <c r="I69" s="2"/>
      <c r="J69" s="7">
        <f t="shared" si="30"/>
        <v>2.3723325180321064E-2</v>
      </c>
      <c r="K69" s="2"/>
      <c r="L69" s="6">
        <f t="shared" si="31"/>
        <v>1005.4700000000012</v>
      </c>
      <c r="M69" s="2"/>
      <c r="N69" s="7">
        <f t="shared" si="32"/>
        <v>3.5758944448396085E-2</v>
      </c>
      <c r="O69" s="11"/>
      <c r="P69" s="6">
        <v>232987.76</v>
      </c>
      <c r="Q69" s="2"/>
      <c r="R69" s="7">
        <f t="shared" si="33"/>
        <v>3.5773903720759136E-2</v>
      </c>
      <c r="S69" s="2"/>
      <c r="T69" s="6">
        <v>225190</v>
      </c>
      <c r="U69" s="2"/>
      <c r="V69" s="7">
        <f t="shared" si="34"/>
        <v>3.1764592140746749E-2</v>
      </c>
      <c r="W69" s="2"/>
      <c r="X69" s="6">
        <f t="shared" si="35"/>
        <v>7797.7600000000093</v>
      </c>
      <c r="Y69" s="2"/>
      <c r="Z69" s="7">
        <f t="shared" si="36"/>
        <v>3.4627470136329365E-2</v>
      </c>
    </row>
    <row r="70" spans="1:26" s="24" customFormat="1" hidden="1" outlineLevel="2" x14ac:dyDescent="0.25">
      <c r="A70" s="25"/>
      <c r="B70" s="11" t="str">
        <f>CONCATENATE("          ", "6322", " - ", "EQUIPMENT DEPRECIATION EXPENSE")</f>
        <v xml:space="preserve">          6322 - EQUIPMENT DEPRECIATION EXPENSE</v>
      </c>
      <c r="C70" s="11"/>
      <c r="D70" s="6">
        <v>19982.7</v>
      </c>
      <c r="E70" s="2"/>
      <c r="F70" s="7">
        <f t="shared" si="29"/>
        <v>1.6691805545289328E-2</v>
      </c>
      <c r="G70" s="2"/>
      <c r="H70" s="6">
        <v>18476</v>
      </c>
      <c r="I70" s="2"/>
      <c r="J70" s="7">
        <f t="shared" si="30"/>
        <v>1.5588311972103705E-2</v>
      </c>
      <c r="K70" s="2"/>
      <c r="L70" s="6">
        <f t="shared" si="31"/>
        <v>1506.7000000000007</v>
      </c>
      <c r="M70" s="2"/>
      <c r="N70" s="7">
        <f t="shared" si="32"/>
        <v>8.1549036588006107E-2</v>
      </c>
      <c r="O70" s="11"/>
      <c r="P70" s="6">
        <v>151606.35</v>
      </c>
      <c r="Q70" s="2"/>
      <c r="R70" s="7">
        <f t="shared" si="33"/>
        <v>2.3278265640889081E-2</v>
      </c>
      <c r="S70" s="2"/>
      <c r="T70" s="6">
        <v>147808</v>
      </c>
      <c r="U70" s="2"/>
      <c r="V70" s="7">
        <f t="shared" si="34"/>
        <v>2.0849330943378902E-2</v>
      </c>
      <c r="W70" s="2"/>
      <c r="X70" s="6">
        <f t="shared" si="35"/>
        <v>3798.3500000000058</v>
      </c>
      <c r="Y70" s="2"/>
      <c r="Z70" s="7">
        <f t="shared" si="36"/>
        <v>2.5697864797575271E-2</v>
      </c>
    </row>
    <row r="71" spans="1:26" s="24" customFormat="1" hidden="1" outlineLevel="2" x14ac:dyDescent="0.25">
      <c r="A71" s="25"/>
      <c r="B71" s="11" t="str">
        <f>CONCATENATE("          ", "6324", " - ", "FURNITURE + FIXT DEPRECIATION")</f>
        <v xml:space="preserve">          6324 - FURNITURE + FIXT DEPRECIATION</v>
      </c>
      <c r="C71" s="11"/>
      <c r="D71" s="6"/>
      <c r="E71" s="2"/>
      <c r="F71" s="7">
        <f t="shared" si="29"/>
        <v>0</v>
      </c>
      <c r="G71" s="2"/>
      <c r="H71" s="6">
        <v>5454</v>
      </c>
      <c r="I71" s="2"/>
      <c r="J71" s="7">
        <f t="shared" si="30"/>
        <v>4.601572499234337E-3</v>
      </c>
      <c r="K71" s="2"/>
      <c r="L71" s="6">
        <f t="shared" si="31"/>
        <v>-5454</v>
      </c>
      <c r="M71" s="2"/>
      <c r="N71" s="7">
        <f t="shared" si="32"/>
        <v>-1</v>
      </c>
      <c r="O71" s="11"/>
      <c r="P71" s="6"/>
      <c r="Q71" s="2"/>
      <c r="R71" s="7">
        <f t="shared" si="33"/>
        <v>0</v>
      </c>
      <c r="S71" s="2"/>
      <c r="T71" s="6">
        <v>27680</v>
      </c>
      <c r="U71" s="2"/>
      <c r="V71" s="7">
        <f t="shared" si="34"/>
        <v>3.9044536189700692E-3</v>
      </c>
      <c r="W71" s="2"/>
      <c r="X71" s="6">
        <f t="shared" si="35"/>
        <v>-27680</v>
      </c>
      <c r="Y71" s="2"/>
      <c r="Z71" s="7">
        <f t="shared" si="36"/>
        <v>-1</v>
      </c>
    </row>
    <row r="72" spans="1:26" s="24" customFormat="1" hidden="1" outlineLevel="2" x14ac:dyDescent="0.25">
      <c r="A72" s="25"/>
      <c r="B72" s="11" t="str">
        <f>CONCATENATE("          ", "6326", " - ", "VEHICLES DEPRECIATION EXPENSE")</f>
        <v xml:space="preserve">          6326 - VEHICLES DEPRECIATION EXPENSE</v>
      </c>
      <c r="C72" s="11"/>
      <c r="D72" s="6">
        <v>424.25</v>
      </c>
      <c r="E72" s="2"/>
      <c r="F72" s="7">
        <f t="shared" si="29"/>
        <v>3.543814650967586E-4</v>
      </c>
      <c r="G72" s="2"/>
      <c r="H72" s="6">
        <v>2174</v>
      </c>
      <c r="I72" s="2"/>
      <c r="J72" s="7">
        <f t="shared" si="30"/>
        <v>1.834216834128245E-3</v>
      </c>
      <c r="K72" s="2"/>
      <c r="L72" s="6">
        <f t="shared" si="31"/>
        <v>-1749.75</v>
      </c>
      <c r="M72" s="2"/>
      <c r="N72" s="7">
        <f t="shared" si="32"/>
        <v>-0.80485280588776453</v>
      </c>
      <c r="O72" s="11"/>
      <c r="P72" s="6">
        <v>3394</v>
      </c>
      <c r="Q72" s="2"/>
      <c r="R72" s="7">
        <f t="shared" si="33"/>
        <v>5.2112878903276506E-4</v>
      </c>
      <c r="S72" s="2"/>
      <c r="T72" s="6">
        <v>12142</v>
      </c>
      <c r="U72" s="2"/>
      <c r="V72" s="7">
        <f t="shared" si="34"/>
        <v>1.7127122775120874E-3</v>
      </c>
      <c r="W72" s="2"/>
      <c r="X72" s="6">
        <f t="shared" si="35"/>
        <v>-8748</v>
      </c>
      <c r="Y72" s="2"/>
      <c r="Z72" s="7">
        <f t="shared" si="36"/>
        <v>-0.72047438642727724</v>
      </c>
    </row>
    <row r="73" spans="1:26" s="27" customFormat="1" outlineLevel="1" collapsed="1" x14ac:dyDescent="0.25">
      <c r="A73" s="26"/>
      <c r="B73" s="13" t="str">
        <f>CONCATENATE("     ","Discounts and Markdowns                           ")</f>
        <v xml:space="preserve">     Discounts and Markdowns                           </v>
      </c>
      <c r="C73" s="13"/>
      <c r="D73" s="1">
        <f>SUM(OSRRefD22_6x_0)</f>
        <v>11.81</v>
      </c>
      <c r="E73" s="1"/>
      <c r="F73" s="5">
        <f t="shared" ref="F73:F85" si="37">IF(D$12=0,0,D73/D$12)</f>
        <v>9.8650444379321595E-6</v>
      </c>
      <c r="G73" s="1"/>
      <c r="H73" s="1">
        <f>SUM(OSRRefH22_6x_0)</f>
        <v>0</v>
      </c>
      <c r="I73" s="1"/>
      <c r="J73" s="5">
        <f t="shared" ref="J73:J85" si="38">IF(H$12=0,0,H73/H$12)</f>
        <v>0</v>
      </c>
      <c r="K73" s="1"/>
      <c r="L73" s="1">
        <f t="shared" ref="L73:L85" si="39">+D73-H73</f>
        <v>11.81</v>
      </c>
      <c r="M73" s="1"/>
      <c r="N73" s="5">
        <f t="shared" ref="N73:N85" si="40">IF(H73=0,0,L73/H73)</f>
        <v>0</v>
      </c>
      <c r="O73" s="13"/>
      <c r="P73" s="1">
        <f>SUM(OSRRefP22_6x_0)</f>
        <v>120.05</v>
      </c>
      <c r="Q73" s="1"/>
      <c r="R73" s="5">
        <f t="shared" ref="R73:R85" si="41">IF(P$12=0,0,P73/P$12)</f>
        <v>1.8432973224332187E-5</v>
      </c>
      <c r="S73" s="1"/>
      <c r="T73" s="1">
        <f>SUM(OSRRefT22_6x_0)</f>
        <v>0</v>
      </c>
      <c r="U73" s="1"/>
      <c r="V73" s="5">
        <f t="shared" ref="V73:V85" si="42">IF(T$12=0,0,T73/T$12)</f>
        <v>0</v>
      </c>
      <c r="W73" s="1"/>
      <c r="X73" s="1">
        <f t="shared" ref="X73:X85" si="43">+P73-T73</f>
        <v>120.05</v>
      </c>
      <c r="Y73" s="1"/>
      <c r="Z73" s="5">
        <f t="shared" ref="Z73:Z85" si="44">IF(T73=0,0,X73/T73)</f>
        <v>0</v>
      </c>
    </row>
    <row r="74" spans="1:26" s="24" customFormat="1" hidden="1" outlineLevel="2" x14ac:dyDescent="0.25">
      <c r="A74" s="25"/>
      <c r="B74" s="11" t="str">
        <f>CONCATENATE("          ", "6382", " - ", "DISCOUNTS/MARK DOWNS")</f>
        <v xml:space="preserve">          6382 - DISCOUNTS/MARK DOWNS</v>
      </c>
      <c r="C74" s="11"/>
      <c r="D74" s="6">
        <v>11.81</v>
      </c>
      <c r="E74" s="2"/>
      <c r="F74" s="7">
        <f t="shared" si="37"/>
        <v>9.8650444379321595E-6</v>
      </c>
      <c r="G74" s="2"/>
      <c r="H74" s="6"/>
      <c r="I74" s="2"/>
      <c r="J74" s="7">
        <f t="shared" si="38"/>
        <v>0</v>
      </c>
      <c r="K74" s="2"/>
      <c r="L74" s="6">
        <f t="shared" si="39"/>
        <v>11.81</v>
      </c>
      <c r="M74" s="2"/>
      <c r="N74" s="7">
        <f t="shared" si="40"/>
        <v>0</v>
      </c>
      <c r="O74" s="11"/>
      <c r="P74" s="6">
        <v>120.05</v>
      </c>
      <c r="Q74" s="2"/>
      <c r="R74" s="7">
        <f t="shared" si="41"/>
        <v>1.8432973224332187E-5</v>
      </c>
      <c r="S74" s="2"/>
      <c r="T74" s="6"/>
      <c r="U74" s="2"/>
      <c r="V74" s="7">
        <f t="shared" si="42"/>
        <v>0</v>
      </c>
      <c r="W74" s="2"/>
      <c r="X74" s="6">
        <f t="shared" si="43"/>
        <v>120.05</v>
      </c>
      <c r="Y74" s="2"/>
      <c r="Z74" s="7">
        <f t="shared" si="44"/>
        <v>0</v>
      </c>
    </row>
    <row r="75" spans="1:26" s="27" customFormat="1" outlineLevel="1" collapsed="1" x14ac:dyDescent="0.25">
      <c r="A75" s="26"/>
      <c r="B75" s="13" t="str">
        <f>CONCATENATE("     ","Donations                                         ")</f>
        <v xml:space="preserve">     Donations                                         </v>
      </c>
      <c r="C75" s="13"/>
      <c r="D75" s="1">
        <f>SUM(OSRRefD22_7x_0)</f>
        <v>0</v>
      </c>
      <c r="E75" s="1"/>
      <c r="F75" s="5">
        <f t="shared" si="37"/>
        <v>0</v>
      </c>
      <c r="G75" s="1"/>
      <c r="H75" s="1">
        <f>SUM(OSRRefH22_7x_0)</f>
        <v>0</v>
      </c>
      <c r="I75" s="1"/>
      <c r="J75" s="5">
        <f t="shared" si="38"/>
        <v>0</v>
      </c>
      <c r="K75" s="1"/>
      <c r="L75" s="1">
        <f t="shared" si="39"/>
        <v>0</v>
      </c>
      <c r="M75" s="1"/>
      <c r="N75" s="5">
        <f t="shared" si="40"/>
        <v>0</v>
      </c>
      <c r="O75" s="13"/>
      <c r="P75" s="1">
        <f>SUM(OSRRefP22_7x_0)</f>
        <v>236.68</v>
      </c>
      <c r="Q75" s="1"/>
      <c r="R75" s="5">
        <f t="shared" si="41"/>
        <v>3.6340825512161119E-5</v>
      </c>
      <c r="S75" s="1"/>
      <c r="T75" s="1">
        <f>SUM(OSRRefT22_7x_0)</f>
        <v>3500</v>
      </c>
      <c r="U75" s="1"/>
      <c r="V75" s="5">
        <f t="shared" si="42"/>
        <v>4.9369897638711134E-4</v>
      </c>
      <c r="W75" s="1"/>
      <c r="X75" s="1">
        <f t="shared" si="43"/>
        <v>-3263.32</v>
      </c>
      <c r="Y75" s="1"/>
      <c r="Z75" s="5">
        <f t="shared" si="44"/>
        <v>-0.9323771428571429</v>
      </c>
    </row>
    <row r="76" spans="1:26" s="24" customFormat="1" hidden="1" outlineLevel="2" x14ac:dyDescent="0.25">
      <c r="A76" s="25"/>
      <c r="B76" s="11" t="str">
        <f>CONCATENATE("          ", "6399", " - ", "DONATION-ON CAMPUS")</f>
        <v xml:space="preserve">          6399 - DONATION-ON CAMPUS</v>
      </c>
      <c r="C76" s="11"/>
      <c r="D76" s="6"/>
      <c r="E76" s="2"/>
      <c r="F76" s="7">
        <f t="shared" si="37"/>
        <v>0</v>
      </c>
      <c r="G76" s="2"/>
      <c r="H76" s="6"/>
      <c r="I76" s="2"/>
      <c r="J76" s="7">
        <f t="shared" si="38"/>
        <v>0</v>
      </c>
      <c r="K76" s="2"/>
      <c r="L76" s="6">
        <f t="shared" si="39"/>
        <v>0</v>
      </c>
      <c r="M76" s="2"/>
      <c r="N76" s="7">
        <f t="shared" si="40"/>
        <v>0</v>
      </c>
      <c r="O76" s="11"/>
      <c r="P76" s="6">
        <v>236.68</v>
      </c>
      <c r="Q76" s="2"/>
      <c r="R76" s="7">
        <f t="shared" si="41"/>
        <v>3.6340825512161119E-5</v>
      </c>
      <c r="S76" s="2"/>
      <c r="T76" s="6">
        <v>3500</v>
      </c>
      <c r="U76" s="2"/>
      <c r="V76" s="7">
        <f t="shared" si="42"/>
        <v>4.9369897638711134E-4</v>
      </c>
      <c r="W76" s="2"/>
      <c r="X76" s="6">
        <f t="shared" si="43"/>
        <v>-3263.32</v>
      </c>
      <c r="Y76" s="2"/>
      <c r="Z76" s="7">
        <f t="shared" si="44"/>
        <v>-0.9323771428571429</v>
      </c>
    </row>
    <row r="77" spans="1:26" s="27" customFormat="1" outlineLevel="1" collapsed="1" x14ac:dyDescent="0.25">
      <c r="A77" s="26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SUM(OSRRefD22_8x_0)</f>
        <v>113.93</v>
      </c>
      <c r="E77" s="1"/>
      <c r="F77" s="5">
        <f t="shared" si="37"/>
        <v>9.5167189908011089E-5</v>
      </c>
      <c r="G77" s="1"/>
      <c r="H77" s="1">
        <f>SUM(OSRRefH22_8x_0)</f>
        <v>250</v>
      </c>
      <c r="I77" s="1"/>
      <c r="J77" s="5">
        <f t="shared" si="38"/>
        <v>2.1092649886479358E-4</v>
      </c>
      <c r="K77" s="1"/>
      <c r="L77" s="1">
        <f t="shared" si="39"/>
        <v>-136.07</v>
      </c>
      <c r="M77" s="1"/>
      <c r="N77" s="5">
        <f t="shared" si="40"/>
        <v>-0.54427999999999999</v>
      </c>
      <c r="O77" s="13"/>
      <c r="P77" s="1">
        <f>SUM(OSRRefP22_8x_0)</f>
        <v>1623.41</v>
      </c>
      <c r="Q77" s="1"/>
      <c r="R77" s="5">
        <f t="shared" si="41"/>
        <v>2.4926508173355366E-4</v>
      </c>
      <c r="S77" s="1"/>
      <c r="T77" s="1">
        <f>SUM(OSRRefT22_8x_0)</f>
        <v>4240</v>
      </c>
      <c r="U77" s="1"/>
      <c r="V77" s="5">
        <f t="shared" si="42"/>
        <v>5.9808104568038632E-4</v>
      </c>
      <c r="W77" s="1"/>
      <c r="X77" s="1">
        <f t="shared" si="43"/>
        <v>-2616.59</v>
      </c>
      <c r="Y77" s="1"/>
      <c r="Z77" s="5">
        <f t="shared" si="44"/>
        <v>-0.61712028301886801</v>
      </c>
    </row>
    <row r="78" spans="1:26" s="24" customFormat="1" hidden="1" outlineLevel="2" x14ac:dyDescent="0.25">
      <c r="A78" s="25"/>
      <c r="B78" s="11" t="str">
        <f>CONCATENATE("          ", "6277", " - ", "EMPLOYEE APPRECIATION")</f>
        <v xml:space="preserve">          6277 - EMPLOYEE APPRECIATION</v>
      </c>
      <c r="C78" s="11"/>
      <c r="D78" s="6">
        <v>113.93</v>
      </c>
      <c r="E78" s="2"/>
      <c r="F78" s="7">
        <f t="shared" si="37"/>
        <v>9.5167189908011089E-5</v>
      </c>
      <c r="G78" s="2"/>
      <c r="H78" s="6">
        <v>250</v>
      </c>
      <c r="I78" s="2"/>
      <c r="J78" s="7">
        <f t="shared" si="38"/>
        <v>2.1092649886479358E-4</v>
      </c>
      <c r="K78" s="2"/>
      <c r="L78" s="6">
        <f t="shared" si="39"/>
        <v>-136.07</v>
      </c>
      <c r="M78" s="2"/>
      <c r="N78" s="7">
        <f t="shared" si="40"/>
        <v>-0.54427999999999999</v>
      </c>
      <c r="O78" s="11"/>
      <c r="P78" s="6">
        <v>1623.41</v>
      </c>
      <c r="Q78" s="2"/>
      <c r="R78" s="7">
        <f t="shared" si="41"/>
        <v>2.4926508173355366E-4</v>
      </c>
      <c r="S78" s="2"/>
      <c r="T78" s="6">
        <v>4240</v>
      </c>
      <c r="U78" s="2"/>
      <c r="V78" s="7">
        <f t="shared" si="42"/>
        <v>5.9808104568038632E-4</v>
      </c>
      <c r="W78" s="2"/>
      <c r="X78" s="6">
        <f t="shared" si="43"/>
        <v>-2616.59</v>
      </c>
      <c r="Y78" s="2"/>
      <c r="Z78" s="7">
        <f t="shared" si="44"/>
        <v>-0.61712028301886801</v>
      </c>
    </row>
    <row r="79" spans="1:26" s="27" customFormat="1" outlineLevel="1" collapsed="1" x14ac:dyDescent="0.25">
      <c r="A79" s="26"/>
      <c r="B79" s="13" t="str">
        <f>CONCATENATE("     ","Equipment Rental                                  ")</f>
        <v xml:space="preserve">     Equipment Rental                                  </v>
      </c>
      <c r="C79" s="13"/>
      <c r="D79" s="1">
        <f>SUM(OSRRefD22_9x_0)</f>
        <v>2202.7399999999998</v>
      </c>
      <c r="E79" s="1"/>
      <c r="F79" s="5">
        <f t="shared" si="37"/>
        <v>1.8399769674183474E-3</v>
      </c>
      <c r="G79" s="1"/>
      <c r="H79" s="1">
        <f>SUM(OSRRefH22_9x_0)</f>
        <v>1590</v>
      </c>
      <c r="I79" s="1"/>
      <c r="J79" s="5">
        <f t="shared" si="38"/>
        <v>1.3414925327800871E-3</v>
      </c>
      <c r="K79" s="1"/>
      <c r="L79" s="1">
        <f t="shared" si="39"/>
        <v>612.73999999999978</v>
      </c>
      <c r="M79" s="1"/>
      <c r="N79" s="5">
        <f t="shared" si="40"/>
        <v>0.38537106918238978</v>
      </c>
      <c r="O79" s="13"/>
      <c r="P79" s="1">
        <f>SUM(OSRRefP22_9x_0)</f>
        <v>22536.6</v>
      </c>
      <c r="Q79" s="1"/>
      <c r="R79" s="5">
        <f t="shared" si="41"/>
        <v>3.4603627185962908E-3</v>
      </c>
      <c r="S79" s="1"/>
      <c r="T79" s="1">
        <f>SUM(OSRRefT22_9x_0)</f>
        <v>12591</v>
      </c>
      <c r="U79" s="1"/>
      <c r="V79" s="5">
        <f t="shared" si="42"/>
        <v>1.7760468033400341E-3</v>
      </c>
      <c r="W79" s="1"/>
      <c r="X79" s="1">
        <f t="shared" si="43"/>
        <v>9945.5999999999985</v>
      </c>
      <c r="Y79" s="1"/>
      <c r="Z79" s="5">
        <f t="shared" si="44"/>
        <v>0.78989754586609473</v>
      </c>
    </row>
    <row r="80" spans="1:26" s="24" customFormat="1" hidden="1" outlineLevel="2" x14ac:dyDescent="0.25">
      <c r="A80" s="25"/>
      <c r="B80" s="11" t="str">
        <f>CONCATENATE("          ", "6351", " - ", "EQUIPMENT RENTAL")</f>
        <v xml:space="preserve">          6351 - EQUIPMENT RENTAL</v>
      </c>
      <c r="C80" s="11"/>
      <c r="D80" s="6">
        <v>2202.7399999999998</v>
      </c>
      <c r="E80" s="2"/>
      <c r="F80" s="7">
        <f t="shared" si="37"/>
        <v>1.8399769674183474E-3</v>
      </c>
      <c r="G80" s="2"/>
      <c r="H80" s="6">
        <v>1590</v>
      </c>
      <c r="I80" s="2"/>
      <c r="J80" s="7">
        <f t="shared" si="38"/>
        <v>1.3414925327800871E-3</v>
      </c>
      <c r="K80" s="2"/>
      <c r="L80" s="6">
        <f t="shared" si="39"/>
        <v>612.73999999999978</v>
      </c>
      <c r="M80" s="2"/>
      <c r="N80" s="7">
        <f t="shared" si="40"/>
        <v>0.38537106918238978</v>
      </c>
      <c r="O80" s="11"/>
      <c r="P80" s="6">
        <v>22536.6</v>
      </c>
      <c r="Q80" s="2"/>
      <c r="R80" s="7">
        <f t="shared" si="41"/>
        <v>3.4603627185962908E-3</v>
      </c>
      <c r="S80" s="2"/>
      <c r="T80" s="6">
        <v>12591</v>
      </c>
      <c r="U80" s="2"/>
      <c r="V80" s="7">
        <f t="shared" si="42"/>
        <v>1.7760468033400341E-3</v>
      </c>
      <c r="W80" s="2"/>
      <c r="X80" s="6">
        <f t="shared" si="43"/>
        <v>9945.5999999999985</v>
      </c>
      <c r="Y80" s="2"/>
      <c r="Z80" s="7">
        <f t="shared" si="44"/>
        <v>0.78989754586609473</v>
      </c>
    </row>
    <row r="81" spans="1:26" s="27" customFormat="1" outlineLevel="1" collapsed="1" x14ac:dyDescent="0.25">
      <c r="A81" s="26"/>
      <c r="B81" s="13" t="str">
        <f>CONCATENATE("     ","Freight out/Postage                               ")</f>
        <v xml:space="preserve">     Freight out/Postage                               </v>
      </c>
      <c r="C81" s="13"/>
      <c r="D81" s="1">
        <f>SUM(OSRRefD22_10x_0)</f>
        <v>20.83</v>
      </c>
      <c r="E81" s="1"/>
      <c r="F81" s="5">
        <f t="shared" si="37"/>
        <v>1.7399566100095417E-5</v>
      </c>
      <c r="G81" s="1"/>
      <c r="H81" s="1">
        <f>SUM(OSRRefH22_10x_0)</f>
        <v>0</v>
      </c>
      <c r="I81" s="1"/>
      <c r="J81" s="5">
        <f t="shared" si="38"/>
        <v>0</v>
      </c>
      <c r="K81" s="1"/>
      <c r="L81" s="1">
        <f t="shared" si="39"/>
        <v>20.83</v>
      </c>
      <c r="M81" s="1"/>
      <c r="N81" s="5">
        <f t="shared" si="40"/>
        <v>0</v>
      </c>
      <c r="O81" s="13"/>
      <c r="P81" s="1">
        <f>SUM(OSRRefP22_10x_0)</f>
        <v>254.46</v>
      </c>
      <c r="Q81" s="1"/>
      <c r="R81" s="5">
        <f t="shared" si="41"/>
        <v>3.9070840205444136E-5</v>
      </c>
      <c r="S81" s="1"/>
      <c r="T81" s="1">
        <f>SUM(OSRRefT22_10x_0)</f>
        <v>0</v>
      </c>
      <c r="U81" s="1"/>
      <c r="V81" s="5">
        <f t="shared" si="42"/>
        <v>0</v>
      </c>
      <c r="W81" s="1"/>
      <c r="X81" s="1">
        <f t="shared" si="43"/>
        <v>254.46</v>
      </c>
      <c r="Y81" s="1"/>
      <c r="Z81" s="5">
        <f t="shared" si="44"/>
        <v>0</v>
      </c>
    </row>
    <row r="82" spans="1:26" s="24" customFormat="1" hidden="1" outlineLevel="2" x14ac:dyDescent="0.25">
      <c r="A82" s="25"/>
      <c r="B82" s="11" t="str">
        <f>CONCATENATE("          ", "6305", " - ", "FREIGHT OUT")</f>
        <v xml:space="preserve">          6305 - FREIGHT OUT</v>
      </c>
      <c r="C82" s="11"/>
      <c r="D82" s="6">
        <v>20.83</v>
      </c>
      <c r="E82" s="2"/>
      <c r="F82" s="7">
        <f t="shared" si="37"/>
        <v>1.7399566100095417E-5</v>
      </c>
      <c r="G82" s="2"/>
      <c r="H82" s="6"/>
      <c r="I82" s="2"/>
      <c r="J82" s="7">
        <f t="shared" si="38"/>
        <v>0</v>
      </c>
      <c r="K82" s="2"/>
      <c r="L82" s="6">
        <f t="shared" si="39"/>
        <v>20.83</v>
      </c>
      <c r="M82" s="2"/>
      <c r="N82" s="7">
        <f t="shared" si="40"/>
        <v>0</v>
      </c>
      <c r="O82" s="11"/>
      <c r="P82" s="6">
        <v>254.46</v>
      </c>
      <c r="Q82" s="2"/>
      <c r="R82" s="7">
        <f t="shared" si="41"/>
        <v>3.9070840205444136E-5</v>
      </c>
      <c r="S82" s="2"/>
      <c r="T82" s="6"/>
      <c r="U82" s="2"/>
      <c r="V82" s="7">
        <f t="shared" si="42"/>
        <v>0</v>
      </c>
      <c r="W82" s="2"/>
      <c r="X82" s="6">
        <f t="shared" si="43"/>
        <v>254.46</v>
      </c>
      <c r="Y82" s="2"/>
      <c r="Z82" s="7">
        <f t="shared" si="44"/>
        <v>0</v>
      </c>
    </row>
    <row r="83" spans="1:26" s="27" customFormat="1" outlineLevel="1" collapsed="1" x14ac:dyDescent="0.25">
      <c r="A83" s="26"/>
      <c r="B83" s="13" t="str">
        <f>CONCATENATE("     ","General                                           ")</f>
        <v xml:space="preserve">     General                                           </v>
      </c>
      <c r="C83" s="13"/>
      <c r="D83" s="1">
        <f>SUM(OSRRefD22_11x_0)</f>
        <v>7431.12</v>
      </c>
      <c r="E83" s="1"/>
      <c r="F83" s="5">
        <f t="shared" si="37"/>
        <v>6.2073098241834405E-3</v>
      </c>
      <c r="G83" s="1"/>
      <c r="H83" s="1">
        <f>SUM(OSRRefH22_11x_0)</f>
        <v>5446</v>
      </c>
      <c r="I83" s="1"/>
      <c r="J83" s="5">
        <f t="shared" si="38"/>
        <v>4.5948228512706635E-3</v>
      </c>
      <c r="K83" s="1"/>
      <c r="L83" s="1">
        <f t="shared" si="39"/>
        <v>1985.12</v>
      </c>
      <c r="M83" s="1"/>
      <c r="N83" s="5">
        <f t="shared" si="40"/>
        <v>0.36450973191333086</v>
      </c>
      <c r="O83" s="13"/>
      <c r="P83" s="1">
        <f>SUM(OSRRefP22_11x_0)</f>
        <v>93010.559999999998</v>
      </c>
      <c r="Q83" s="1"/>
      <c r="R83" s="5">
        <f t="shared" si="41"/>
        <v>1.4281225839734629E-2</v>
      </c>
      <c r="S83" s="1"/>
      <c r="T83" s="1">
        <f>SUM(OSRRefT22_11x_0)</f>
        <v>45687</v>
      </c>
      <c r="U83" s="1"/>
      <c r="V83" s="5">
        <f t="shared" si="42"/>
        <v>6.4444643240565589E-3</v>
      </c>
      <c r="W83" s="1"/>
      <c r="X83" s="1">
        <f t="shared" si="43"/>
        <v>47323.56</v>
      </c>
      <c r="Y83" s="1"/>
      <c r="Z83" s="5">
        <f t="shared" si="44"/>
        <v>1.0358211307374088</v>
      </c>
    </row>
    <row r="84" spans="1:26" s="24" customFormat="1" hidden="1" outlineLevel="2" x14ac:dyDescent="0.25">
      <c r="A84" s="25"/>
      <c r="B84" s="11" t="str">
        <f>CONCATENATE("          ", "6269", " - ", "ENTERTAINMENT")</f>
        <v xml:space="preserve">          6269 - ENTERTAINMENT</v>
      </c>
      <c r="C84" s="11"/>
      <c r="D84" s="6">
        <v>2700</v>
      </c>
      <c r="E84" s="2"/>
      <c r="F84" s="7">
        <f t="shared" si="37"/>
        <v>2.2553446217118403E-3</v>
      </c>
      <c r="G84" s="2"/>
      <c r="H84" s="6">
        <v>900</v>
      </c>
      <c r="I84" s="2"/>
      <c r="J84" s="7">
        <f t="shared" si="38"/>
        <v>7.5933539591325691E-4</v>
      </c>
      <c r="K84" s="2"/>
      <c r="L84" s="6">
        <f t="shared" si="39"/>
        <v>1800</v>
      </c>
      <c r="M84" s="2"/>
      <c r="N84" s="7">
        <f t="shared" si="40"/>
        <v>2</v>
      </c>
      <c r="O84" s="11"/>
      <c r="P84" s="6">
        <v>10050</v>
      </c>
      <c r="Q84" s="2"/>
      <c r="R84" s="7">
        <f t="shared" si="41"/>
        <v>1.5431185414788711E-3</v>
      </c>
      <c r="S84" s="2"/>
      <c r="T84" s="6">
        <v>5600</v>
      </c>
      <c r="U84" s="2"/>
      <c r="V84" s="7">
        <f t="shared" si="42"/>
        <v>7.8991836221937821E-4</v>
      </c>
      <c r="W84" s="2"/>
      <c r="X84" s="6">
        <f t="shared" si="43"/>
        <v>4450</v>
      </c>
      <c r="Y84" s="2"/>
      <c r="Z84" s="7">
        <f t="shared" si="44"/>
        <v>0.7946428571428571</v>
      </c>
    </row>
    <row r="85" spans="1:26" s="24" customFormat="1" hidden="1" outlineLevel="2" x14ac:dyDescent="0.25">
      <c r="A85" s="25"/>
      <c r="B85" s="11" t="str">
        <f>CONCATENATE("          ", "6279", " - ", "GENERAL EXPENSE")</f>
        <v xml:space="preserve">          6279 - GENERAL EXPENSE</v>
      </c>
      <c r="C85" s="11"/>
      <c r="D85" s="6">
        <v>4731.12</v>
      </c>
      <c r="E85" s="2"/>
      <c r="F85" s="7">
        <f t="shared" si="37"/>
        <v>3.9519652024716002E-3</v>
      </c>
      <c r="G85" s="2"/>
      <c r="H85" s="6">
        <v>4546</v>
      </c>
      <c r="I85" s="2"/>
      <c r="J85" s="7">
        <f t="shared" si="38"/>
        <v>3.8354874553574066E-3</v>
      </c>
      <c r="K85" s="2"/>
      <c r="L85" s="6">
        <f t="shared" si="39"/>
        <v>185.11999999999989</v>
      </c>
      <c r="M85" s="2"/>
      <c r="N85" s="7">
        <f t="shared" si="40"/>
        <v>4.0721513418389768E-2</v>
      </c>
      <c r="O85" s="11"/>
      <c r="P85" s="6">
        <v>82960.56</v>
      </c>
      <c r="Q85" s="2"/>
      <c r="R85" s="7">
        <f t="shared" si="41"/>
        <v>1.2738107298255759E-2</v>
      </c>
      <c r="S85" s="2"/>
      <c r="T85" s="6">
        <v>40087</v>
      </c>
      <c r="U85" s="2"/>
      <c r="V85" s="7">
        <f t="shared" si="42"/>
        <v>5.6545459618371815E-3</v>
      </c>
      <c r="W85" s="2"/>
      <c r="X85" s="6">
        <f t="shared" si="43"/>
        <v>42873.56</v>
      </c>
      <c r="Y85" s="2"/>
      <c r="Z85" s="7">
        <f t="shared" si="44"/>
        <v>1.0695128096390349</v>
      </c>
    </row>
    <row r="86" spans="1:26" s="27" customFormat="1" outlineLevel="1" collapsed="1" x14ac:dyDescent="0.25">
      <c r="A86" s="26"/>
      <c r="B86" s="13" t="str">
        <f>CONCATENATE("     ","Insurance                                         ")</f>
        <v xml:space="preserve">     Insurance                                         </v>
      </c>
      <c r="C86" s="13"/>
      <c r="D86" s="1">
        <f>SUM(OSRRefD22_12x_0)</f>
        <v>10244.67</v>
      </c>
      <c r="E86" s="1"/>
      <c r="F86" s="5">
        <f t="shared" ref="F86:F100" si="45">IF(D$12=0,0,D86/D$12)</f>
        <v>8.5575042169306059E-3</v>
      </c>
      <c r="G86" s="1"/>
      <c r="H86" s="1">
        <f>SUM(OSRRefH22_12x_0)</f>
        <v>4234</v>
      </c>
      <c r="I86" s="1"/>
      <c r="J86" s="5">
        <f t="shared" ref="J86:J100" si="46">IF(H$12=0,0,H86/H$12)</f>
        <v>3.5722511847741441E-3</v>
      </c>
      <c r="K86" s="1"/>
      <c r="L86" s="1">
        <f t="shared" ref="L86:L100" si="47">+D86-H86</f>
        <v>6010.67</v>
      </c>
      <c r="M86" s="1"/>
      <c r="N86" s="5">
        <f t="shared" ref="N86:N100" si="48">IF(H86=0,0,L86/H86)</f>
        <v>1.4196197449220596</v>
      </c>
      <c r="O86" s="13"/>
      <c r="P86" s="1">
        <f>SUM(OSRRefP22_12x_0)</f>
        <v>41630.36</v>
      </c>
      <c r="Q86" s="1"/>
      <c r="R86" s="5">
        <f t="shared" ref="R86:R100" si="49">IF(P$12=0,0,P86/P$12)</f>
        <v>6.3920975526806307E-3</v>
      </c>
      <c r="S86" s="1"/>
      <c r="T86" s="1">
        <f>SUM(OSRRefT22_12x_0)</f>
        <v>33872</v>
      </c>
      <c r="U86" s="1"/>
      <c r="V86" s="5">
        <f t="shared" ref="V86:V100" si="50">IF(T$12=0,0,T86/T$12)</f>
        <v>4.7778776366240675E-3</v>
      </c>
      <c r="W86" s="1"/>
      <c r="X86" s="1">
        <f t="shared" ref="X86:X100" si="51">+P86-T86</f>
        <v>7758.3600000000006</v>
      </c>
      <c r="Y86" s="1"/>
      <c r="Z86" s="5">
        <f t="shared" ref="Z86:Z100" si="52">IF(T86=0,0,X86/T86)</f>
        <v>0.2290493623051488</v>
      </c>
    </row>
    <row r="87" spans="1:26" s="24" customFormat="1" hidden="1" outlineLevel="2" x14ac:dyDescent="0.25">
      <c r="A87" s="25"/>
      <c r="B87" s="11" t="str">
        <f>CONCATENATE("          ", "6314", " - ", "LIABILITY INSURANCE")</f>
        <v xml:space="preserve">          6314 - LIABILITY INSURANCE</v>
      </c>
      <c r="C87" s="11"/>
      <c r="D87" s="6">
        <v>10244.67</v>
      </c>
      <c r="E87" s="2"/>
      <c r="F87" s="7">
        <f t="shared" si="45"/>
        <v>8.5575042169306059E-3</v>
      </c>
      <c r="G87" s="2"/>
      <c r="H87" s="6">
        <v>4234</v>
      </c>
      <c r="I87" s="2"/>
      <c r="J87" s="7">
        <f t="shared" si="46"/>
        <v>3.5722511847741441E-3</v>
      </c>
      <c r="K87" s="2"/>
      <c r="L87" s="6">
        <f t="shared" si="47"/>
        <v>6010.67</v>
      </c>
      <c r="M87" s="2"/>
      <c r="N87" s="7">
        <f t="shared" si="48"/>
        <v>1.4196197449220596</v>
      </c>
      <c r="O87" s="11"/>
      <c r="P87" s="6">
        <v>41630.36</v>
      </c>
      <c r="Q87" s="2"/>
      <c r="R87" s="7">
        <f t="shared" si="49"/>
        <v>6.3920975526806307E-3</v>
      </c>
      <c r="S87" s="2"/>
      <c r="T87" s="6">
        <v>33872</v>
      </c>
      <c r="U87" s="2"/>
      <c r="V87" s="7">
        <f t="shared" si="50"/>
        <v>4.7778776366240675E-3</v>
      </c>
      <c r="W87" s="2"/>
      <c r="X87" s="6">
        <f t="shared" si="51"/>
        <v>7758.3600000000006</v>
      </c>
      <c r="Y87" s="2"/>
      <c r="Z87" s="7">
        <f t="shared" si="52"/>
        <v>0.2290493623051488</v>
      </c>
    </row>
    <row r="88" spans="1:26" s="27" customFormat="1" outlineLevel="1" collapsed="1" x14ac:dyDescent="0.25">
      <c r="A88" s="26"/>
      <c r="B88" s="13" t="str">
        <f>CONCATENATE("     ","Interest                                          ")</f>
        <v xml:space="preserve">     Interest                                          </v>
      </c>
      <c r="C88" s="13"/>
      <c r="D88" s="1">
        <f>SUM(OSRRefD22_13x_0)</f>
        <v>11929</v>
      </c>
      <c r="E88" s="1"/>
      <c r="F88" s="5">
        <f t="shared" si="45"/>
        <v>9.9644466638520515E-3</v>
      </c>
      <c r="G88" s="1"/>
      <c r="H88" s="1">
        <f>SUM(OSRRefH22_13x_0)</f>
        <v>11929</v>
      </c>
      <c r="I88" s="1"/>
      <c r="J88" s="5">
        <f t="shared" si="46"/>
        <v>1.0064568819832491E-2</v>
      </c>
      <c r="K88" s="1"/>
      <c r="L88" s="1">
        <f t="shared" si="47"/>
        <v>0</v>
      </c>
      <c r="M88" s="1"/>
      <c r="N88" s="5">
        <f t="shared" si="48"/>
        <v>0</v>
      </c>
      <c r="O88" s="13"/>
      <c r="P88" s="1">
        <f>SUM(OSRRefP22_13x_0)</f>
        <v>94833</v>
      </c>
      <c r="Q88" s="1"/>
      <c r="R88" s="5">
        <f t="shared" si="49"/>
        <v>1.4561050810354805E-2</v>
      </c>
      <c r="S88" s="1"/>
      <c r="T88" s="1">
        <f>SUM(OSRRefT22_13x_0)</f>
        <v>95432</v>
      </c>
      <c r="U88" s="1"/>
      <c r="V88" s="5">
        <f t="shared" si="50"/>
        <v>1.3461337347021375E-2</v>
      </c>
      <c r="W88" s="1"/>
      <c r="X88" s="1">
        <f t="shared" si="51"/>
        <v>-599</v>
      </c>
      <c r="Y88" s="1"/>
      <c r="Z88" s="5">
        <f t="shared" si="52"/>
        <v>-6.2767205968647837E-3</v>
      </c>
    </row>
    <row r="89" spans="1:26" s="24" customFormat="1" hidden="1" outlineLevel="2" x14ac:dyDescent="0.25">
      <c r="A89" s="25"/>
      <c r="B89" s="11" t="str">
        <f>CONCATENATE("          ", "6401", " - ", "INTEREST EXPENSE")</f>
        <v xml:space="preserve">          6401 - INTEREST EXPENSE</v>
      </c>
      <c r="C89" s="11"/>
      <c r="D89" s="6">
        <v>11929</v>
      </c>
      <c r="E89" s="2"/>
      <c r="F89" s="7">
        <f t="shared" si="45"/>
        <v>9.9644466638520515E-3</v>
      </c>
      <c r="G89" s="2"/>
      <c r="H89" s="6">
        <v>11929</v>
      </c>
      <c r="I89" s="2"/>
      <c r="J89" s="7">
        <f t="shared" si="46"/>
        <v>1.0064568819832491E-2</v>
      </c>
      <c r="K89" s="2"/>
      <c r="L89" s="6">
        <f t="shared" si="47"/>
        <v>0</v>
      </c>
      <c r="M89" s="2"/>
      <c r="N89" s="7">
        <f t="shared" si="48"/>
        <v>0</v>
      </c>
      <c r="O89" s="11"/>
      <c r="P89" s="6">
        <v>94833</v>
      </c>
      <c r="Q89" s="2"/>
      <c r="R89" s="7">
        <f t="shared" si="49"/>
        <v>1.4561050810354805E-2</v>
      </c>
      <c r="S89" s="2"/>
      <c r="T89" s="6">
        <v>95432</v>
      </c>
      <c r="U89" s="2"/>
      <c r="V89" s="7">
        <f t="shared" si="50"/>
        <v>1.3461337347021375E-2</v>
      </c>
      <c r="W89" s="2"/>
      <c r="X89" s="6">
        <f t="shared" si="51"/>
        <v>-599</v>
      </c>
      <c r="Y89" s="2"/>
      <c r="Z89" s="7">
        <f t="shared" si="52"/>
        <v>-6.2767205968647837E-3</v>
      </c>
    </row>
    <row r="90" spans="1:26" s="27" customFormat="1" outlineLevel="1" collapsed="1" x14ac:dyDescent="0.25">
      <c r="A90" s="26"/>
      <c r="B90" s="13" t="str">
        <f>CONCATENATE("     ","Professional Services                             ")</f>
        <v xml:space="preserve">     Professional Services                             </v>
      </c>
      <c r="C90" s="13"/>
      <c r="D90" s="1">
        <f>SUM(OSRRefD22_14x_0)</f>
        <v>0</v>
      </c>
      <c r="E90" s="1"/>
      <c r="F90" s="5">
        <f t="shared" si="45"/>
        <v>0</v>
      </c>
      <c r="G90" s="1"/>
      <c r="H90" s="1">
        <f>SUM(OSRRefH22_14x_0)</f>
        <v>0</v>
      </c>
      <c r="I90" s="1"/>
      <c r="J90" s="5">
        <f t="shared" si="46"/>
        <v>0</v>
      </c>
      <c r="K90" s="1"/>
      <c r="L90" s="1">
        <f t="shared" si="47"/>
        <v>0</v>
      </c>
      <c r="M90" s="1"/>
      <c r="N90" s="5">
        <f t="shared" si="48"/>
        <v>0</v>
      </c>
      <c r="O90" s="13"/>
      <c r="P90" s="1">
        <f>SUM(OSRRefP22_14x_0)</f>
        <v>125</v>
      </c>
      <c r="Q90" s="1"/>
      <c r="R90" s="5">
        <f t="shared" si="49"/>
        <v>1.9193016685060584E-5</v>
      </c>
      <c r="S90" s="1"/>
      <c r="T90" s="1">
        <f>SUM(OSRRefT22_14x_0)</f>
        <v>0</v>
      </c>
      <c r="U90" s="1"/>
      <c r="V90" s="5">
        <f t="shared" si="50"/>
        <v>0</v>
      </c>
      <c r="W90" s="1"/>
      <c r="X90" s="1">
        <f t="shared" si="51"/>
        <v>125</v>
      </c>
      <c r="Y90" s="1"/>
      <c r="Z90" s="5">
        <f t="shared" si="52"/>
        <v>0</v>
      </c>
    </row>
    <row r="91" spans="1:26" s="24" customFormat="1" hidden="1" outlineLevel="2" x14ac:dyDescent="0.25">
      <c r="A91" s="25"/>
      <c r="B91" s="11" t="str">
        <f>CONCATENATE("          ", "6336", " - ", "PROFESSIONAL SERVICES")</f>
        <v xml:space="preserve">          6336 - PROFESSIONAL SERVICES</v>
      </c>
      <c r="C91" s="11"/>
      <c r="D91" s="6"/>
      <c r="E91" s="2"/>
      <c r="F91" s="7">
        <f t="shared" si="45"/>
        <v>0</v>
      </c>
      <c r="G91" s="2"/>
      <c r="H91" s="6"/>
      <c r="I91" s="2"/>
      <c r="J91" s="7">
        <f t="shared" si="46"/>
        <v>0</v>
      </c>
      <c r="K91" s="2"/>
      <c r="L91" s="6">
        <f t="shared" si="47"/>
        <v>0</v>
      </c>
      <c r="M91" s="2"/>
      <c r="N91" s="7">
        <f t="shared" si="48"/>
        <v>0</v>
      </c>
      <c r="O91" s="11"/>
      <c r="P91" s="6">
        <v>125</v>
      </c>
      <c r="Q91" s="2"/>
      <c r="R91" s="7">
        <f t="shared" si="49"/>
        <v>1.9193016685060584E-5</v>
      </c>
      <c r="S91" s="2"/>
      <c r="T91" s="6"/>
      <c r="U91" s="2"/>
      <c r="V91" s="7">
        <f t="shared" si="50"/>
        <v>0</v>
      </c>
      <c r="W91" s="2"/>
      <c r="X91" s="6">
        <f t="shared" si="51"/>
        <v>125</v>
      </c>
      <c r="Y91" s="2"/>
      <c r="Z91" s="7">
        <f t="shared" si="52"/>
        <v>0</v>
      </c>
    </row>
    <row r="92" spans="1:26" s="27" customFormat="1" outlineLevel="1" collapsed="1" x14ac:dyDescent="0.25">
      <c r="A92" s="26"/>
      <c r="B92" s="13" t="str">
        <f>CONCATENATE("     ","R/H Commissions                                   ")</f>
        <v xml:space="preserve">     R/H Commissions                                   </v>
      </c>
      <c r="C92" s="13"/>
      <c r="D92" s="1">
        <f>SUM(OSRRefD22_15x_0)</f>
        <v>0</v>
      </c>
      <c r="E92" s="1"/>
      <c r="F92" s="5">
        <f t="shared" si="45"/>
        <v>0</v>
      </c>
      <c r="G92" s="1"/>
      <c r="H92" s="1">
        <f>SUM(OSRRefH22_15x_0)</f>
        <v>0</v>
      </c>
      <c r="I92" s="1"/>
      <c r="J92" s="5">
        <f t="shared" si="46"/>
        <v>0</v>
      </c>
      <c r="K92" s="1"/>
      <c r="L92" s="1">
        <f t="shared" si="47"/>
        <v>0</v>
      </c>
      <c r="M92" s="1"/>
      <c r="N92" s="5">
        <f t="shared" si="48"/>
        <v>0</v>
      </c>
      <c r="O92" s="13"/>
      <c r="P92" s="1">
        <f>SUM(OSRRefP22_15x_0)</f>
        <v>0</v>
      </c>
      <c r="Q92" s="1"/>
      <c r="R92" s="5">
        <f t="shared" si="49"/>
        <v>0</v>
      </c>
      <c r="S92" s="1"/>
      <c r="T92" s="1">
        <f>SUM(OSRRefT22_15x_0)</f>
        <v>0</v>
      </c>
      <c r="U92" s="1"/>
      <c r="V92" s="5">
        <f t="shared" si="50"/>
        <v>0</v>
      </c>
      <c r="W92" s="1"/>
      <c r="X92" s="1">
        <f t="shared" si="51"/>
        <v>0</v>
      </c>
      <c r="Y92" s="1"/>
      <c r="Z92" s="5">
        <f t="shared" si="52"/>
        <v>0</v>
      </c>
    </row>
    <row r="93" spans="1:26" s="24" customFormat="1" hidden="1" outlineLevel="2" x14ac:dyDescent="0.25">
      <c r="A93" s="25"/>
      <c r="B93" s="11" t="str">
        <f>CONCATENATE("          ", "6387", " - ", "COMMISSION DUE HOUSING")</f>
        <v xml:space="preserve">          6387 - COMMISSION DUE HOUSING</v>
      </c>
      <c r="C93" s="11"/>
      <c r="D93" s="6"/>
      <c r="E93" s="2"/>
      <c r="F93" s="7">
        <f t="shared" si="45"/>
        <v>0</v>
      </c>
      <c r="G93" s="2"/>
      <c r="H93" s="6"/>
      <c r="I93" s="2"/>
      <c r="J93" s="7">
        <f t="shared" si="46"/>
        <v>0</v>
      </c>
      <c r="K93" s="2"/>
      <c r="L93" s="6">
        <f t="shared" si="47"/>
        <v>0</v>
      </c>
      <c r="M93" s="2"/>
      <c r="N93" s="7">
        <f t="shared" si="48"/>
        <v>0</v>
      </c>
      <c r="O93" s="11"/>
      <c r="P93" s="6"/>
      <c r="Q93" s="2"/>
      <c r="R93" s="7">
        <f t="shared" si="49"/>
        <v>0</v>
      </c>
      <c r="S93" s="2"/>
      <c r="T93" s="6">
        <v>0</v>
      </c>
      <c r="U93" s="2"/>
      <c r="V93" s="7">
        <f t="shared" si="50"/>
        <v>0</v>
      </c>
      <c r="W93" s="2"/>
      <c r="X93" s="6">
        <f t="shared" si="51"/>
        <v>0</v>
      </c>
      <c r="Y93" s="2"/>
      <c r="Z93" s="7">
        <f t="shared" si="52"/>
        <v>0</v>
      </c>
    </row>
    <row r="94" spans="1:26" s="27" customFormat="1" outlineLevel="1" collapsed="1" x14ac:dyDescent="0.25">
      <c r="A94" s="26"/>
      <c r="B94" s="13" t="str">
        <f>CONCATENATE("     ","Rent                                              ")</f>
        <v xml:space="preserve">     Rent                                              </v>
      </c>
      <c r="C94" s="13"/>
      <c r="D94" s="1">
        <f>SUM(OSRRefD22_16x_0)</f>
        <v>3000</v>
      </c>
      <c r="E94" s="1"/>
      <c r="F94" s="5">
        <f t="shared" si="45"/>
        <v>2.5059384685687113E-3</v>
      </c>
      <c r="G94" s="1"/>
      <c r="H94" s="1">
        <f>SUM(OSRRefH22_16x_0)</f>
        <v>3000</v>
      </c>
      <c r="I94" s="1"/>
      <c r="J94" s="5">
        <f t="shared" si="46"/>
        <v>2.5311179863775229E-3</v>
      </c>
      <c r="K94" s="1"/>
      <c r="L94" s="1">
        <f t="shared" si="47"/>
        <v>0</v>
      </c>
      <c r="M94" s="1"/>
      <c r="N94" s="5">
        <f t="shared" si="48"/>
        <v>0</v>
      </c>
      <c r="O94" s="13"/>
      <c r="P94" s="1">
        <f>SUM(OSRRefP22_16x_0)</f>
        <v>24000</v>
      </c>
      <c r="Q94" s="1"/>
      <c r="R94" s="5">
        <f t="shared" si="49"/>
        <v>3.6850592035316326E-3</v>
      </c>
      <c r="S94" s="1"/>
      <c r="T94" s="1">
        <f>SUM(OSRRefT22_16x_0)</f>
        <v>24000</v>
      </c>
      <c r="U94" s="1"/>
      <c r="V94" s="5">
        <f t="shared" si="50"/>
        <v>3.3853644095116209E-3</v>
      </c>
      <c r="W94" s="1"/>
      <c r="X94" s="1">
        <f t="shared" si="51"/>
        <v>0</v>
      </c>
      <c r="Y94" s="1"/>
      <c r="Z94" s="5">
        <f t="shared" si="52"/>
        <v>0</v>
      </c>
    </row>
    <row r="95" spans="1:26" s="24" customFormat="1" hidden="1" outlineLevel="2" x14ac:dyDescent="0.25">
      <c r="A95" s="25"/>
      <c r="B95" s="11" t="str">
        <f>CONCATENATE("          ", "6273", " - ", "RENT")</f>
        <v xml:space="preserve">          6273 - RENT</v>
      </c>
      <c r="C95" s="11"/>
      <c r="D95" s="6">
        <v>3000</v>
      </c>
      <c r="E95" s="2"/>
      <c r="F95" s="7">
        <f t="shared" si="45"/>
        <v>2.5059384685687113E-3</v>
      </c>
      <c r="G95" s="2"/>
      <c r="H95" s="6">
        <v>3000</v>
      </c>
      <c r="I95" s="2"/>
      <c r="J95" s="7">
        <f t="shared" si="46"/>
        <v>2.5311179863775229E-3</v>
      </c>
      <c r="K95" s="2"/>
      <c r="L95" s="6">
        <f t="shared" si="47"/>
        <v>0</v>
      </c>
      <c r="M95" s="2"/>
      <c r="N95" s="7">
        <f t="shared" si="48"/>
        <v>0</v>
      </c>
      <c r="O95" s="11"/>
      <c r="P95" s="6">
        <v>24000</v>
      </c>
      <c r="Q95" s="2"/>
      <c r="R95" s="7">
        <f t="shared" si="49"/>
        <v>3.6850592035316326E-3</v>
      </c>
      <c r="S95" s="2"/>
      <c r="T95" s="6">
        <v>24000</v>
      </c>
      <c r="U95" s="2"/>
      <c r="V95" s="7">
        <f t="shared" si="50"/>
        <v>3.3853644095116209E-3</v>
      </c>
      <c r="W95" s="2"/>
      <c r="X95" s="6">
        <f t="shared" si="51"/>
        <v>0</v>
      </c>
      <c r="Y95" s="2"/>
      <c r="Z95" s="7">
        <f t="shared" si="52"/>
        <v>0</v>
      </c>
    </row>
    <row r="96" spans="1:26" s="27" customFormat="1" outlineLevel="1" collapsed="1" x14ac:dyDescent="0.25">
      <c r="A96" s="26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SUM(OSRRefD22_17x_0)</f>
        <v>15644.16</v>
      </c>
      <c r="E96" s="1"/>
      <c r="F96" s="5">
        <f t="shared" si="45"/>
        <v>1.306776745081463E-2</v>
      </c>
      <c r="G96" s="1"/>
      <c r="H96" s="1">
        <f>SUM(OSRRefH22_17x_0)</f>
        <v>31435</v>
      </c>
      <c r="I96" s="1"/>
      <c r="J96" s="5">
        <f t="shared" si="46"/>
        <v>2.6521897967259143E-2</v>
      </c>
      <c r="K96" s="1"/>
      <c r="L96" s="1">
        <f t="shared" si="47"/>
        <v>-15790.84</v>
      </c>
      <c r="M96" s="1"/>
      <c r="N96" s="5">
        <f t="shared" si="48"/>
        <v>-0.50233306823604262</v>
      </c>
      <c r="O96" s="13"/>
      <c r="P96" s="1">
        <f>SUM(OSRRefP22_17x_0)</f>
        <v>207489.49</v>
      </c>
      <c r="Q96" s="1"/>
      <c r="R96" s="5">
        <f t="shared" si="49"/>
        <v>3.1858793948357694E-2</v>
      </c>
      <c r="S96" s="1"/>
      <c r="T96" s="1">
        <f>SUM(OSRRefT22_17x_0)</f>
        <v>193195</v>
      </c>
      <c r="U96" s="1"/>
      <c r="V96" s="5">
        <f t="shared" si="50"/>
        <v>2.7251478212316566E-2</v>
      </c>
      <c r="W96" s="1"/>
      <c r="X96" s="1">
        <f t="shared" si="51"/>
        <v>14294.489999999991</v>
      </c>
      <c r="Y96" s="1"/>
      <c r="Z96" s="5">
        <f t="shared" si="52"/>
        <v>7.3989958332254926E-2</v>
      </c>
    </row>
    <row r="97" spans="1:26" s="24" customFormat="1" hidden="1" outlineLevel="2" x14ac:dyDescent="0.25">
      <c r="A97" s="25"/>
      <c r="B97" s="11" t="str">
        <f>CONCATENATE("          ", "6371", " - ", "COMPUTER SOFTWARE MAINTENANCE")</f>
        <v xml:space="preserve">          6371 - COMPUTER SOFTWARE MAINTENANCE</v>
      </c>
      <c r="C97" s="11"/>
      <c r="D97" s="6"/>
      <c r="E97" s="2"/>
      <c r="F97" s="7">
        <f t="shared" si="45"/>
        <v>0</v>
      </c>
      <c r="G97" s="2"/>
      <c r="H97" s="6">
        <v>550</v>
      </c>
      <c r="I97" s="2"/>
      <c r="J97" s="7">
        <f t="shared" si="46"/>
        <v>4.6403829750254588E-4</v>
      </c>
      <c r="K97" s="2"/>
      <c r="L97" s="6">
        <f t="shared" si="47"/>
        <v>-550</v>
      </c>
      <c r="M97" s="2"/>
      <c r="N97" s="7">
        <f t="shared" si="48"/>
        <v>-1</v>
      </c>
      <c r="O97" s="11"/>
      <c r="P97" s="6">
        <v>12244.62</v>
      </c>
      <c r="Q97" s="2"/>
      <c r="R97" s="7">
        <f t="shared" si="49"/>
        <v>1.8800895676978125E-3</v>
      </c>
      <c r="S97" s="2"/>
      <c r="T97" s="6">
        <v>2350</v>
      </c>
      <c r="U97" s="2"/>
      <c r="V97" s="7">
        <f t="shared" si="50"/>
        <v>3.3148359843134624E-4</v>
      </c>
      <c r="W97" s="2"/>
      <c r="X97" s="6">
        <f t="shared" si="51"/>
        <v>9894.6200000000008</v>
      </c>
      <c r="Y97" s="2"/>
      <c r="Z97" s="7">
        <f t="shared" si="52"/>
        <v>4.210476595744681</v>
      </c>
    </row>
    <row r="98" spans="1:26" s="24" customFormat="1" hidden="1" outlineLevel="2" x14ac:dyDescent="0.25">
      <c r="A98" s="25"/>
      <c r="B98" s="11" t="str">
        <f>CONCATENATE("          ", "6372", " - ", "COMPUTER HARDWARE MAINTENANCE")</f>
        <v xml:space="preserve">          6372 - COMPUTER HARDWARE MAINTENANCE</v>
      </c>
      <c r="C98" s="11"/>
      <c r="D98" s="6"/>
      <c r="E98" s="2"/>
      <c r="F98" s="7">
        <f t="shared" si="45"/>
        <v>0</v>
      </c>
      <c r="G98" s="2"/>
      <c r="H98" s="6"/>
      <c r="I98" s="2"/>
      <c r="J98" s="7">
        <f t="shared" si="46"/>
        <v>0</v>
      </c>
      <c r="K98" s="2"/>
      <c r="L98" s="6">
        <f t="shared" si="47"/>
        <v>0</v>
      </c>
      <c r="M98" s="2"/>
      <c r="N98" s="7">
        <f t="shared" si="48"/>
        <v>0</v>
      </c>
      <c r="O98" s="11"/>
      <c r="P98" s="6">
        <v>-0.01</v>
      </c>
      <c r="Q98" s="2"/>
      <c r="R98" s="7">
        <f t="shared" si="49"/>
        <v>-1.5354413348048469E-9</v>
      </c>
      <c r="S98" s="2"/>
      <c r="T98" s="6">
        <v>200</v>
      </c>
      <c r="U98" s="2"/>
      <c r="V98" s="7">
        <f t="shared" si="50"/>
        <v>2.8211370079263507E-5</v>
      </c>
      <c r="W98" s="2"/>
      <c r="X98" s="6">
        <f t="shared" si="51"/>
        <v>-200.01</v>
      </c>
      <c r="Y98" s="2"/>
      <c r="Z98" s="7">
        <f t="shared" si="52"/>
        <v>-1.0000499999999999</v>
      </c>
    </row>
    <row r="99" spans="1:26" s="24" customFormat="1" hidden="1" outlineLevel="2" x14ac:dyDescent="0.25">
      <c r="A99" s="25"/>
      <c r="B99" s="11" t="str">
        <f>CONCATENATE("          ", "6373", " - ", "MAINTENANCE CONTRACTS")</f>
        <v xml:space="preserve">          6373 - MAINTENANCE CONTRACTS</v>
      </c>
      <c r="C99" s="11"/>
      <c r="D99" s="6">
        <v>6832.25</v>
      </c>
      <c r="E99" s="2"/>
      <c r="F99" s="7">
        <f t="shared" si="45"/>
        <v>5.7070660339595255E-3</v>
      </c>
      <c r="G99" s="2"/>
      <c r="H99" s="6">
        <v>2325</v>
      </c>
      <c r="I99" s="2"/>
      <c r="J99" s="7">
        <f t="shared" si="46"/>
        <v>1.9616164394425802E-3</v>
      </c>
      <c r="K99" s="2"/>
      <c r="L99" s="6">
        <f t="shared" si="47"/>
        <v>4507.25</v>
      </c>
      <c r="M99" s="2"/>
      <c r="N99" s="7">
        <f t="shared" si="48"/>
        <v>1.9386021505376345</v>
      </c>
      <c r="O99" s="11"/>
      <c r="P99" s="6">
        <v>72535.490000000005</v>
      </c>
      <c r="Q99" s="2"/>
      <c r="R99" s="7">
        <f t="shared" si="49"/>
        <v>1.1137398958632362E-2</v>
      </c>
      <c r="S99" s="2"/>
      <c r="T99" s="6">
        <v>18471</v>
      </c>
      <c r="U99" s="2"/>
      <c r="V99" s="7">
        <f t="shared" si="50"/>
        <v>2.6054610836703813E-3</v>
      </c>
      <c r="W99" s="2"/>
      <c r="X99" s="6">
        <f t="shared" si="51"/>
        <v>54064.490000000005</v>
      </c>
      <c r="Y99" s="2"/>
      <c r="Z99" s="7">
        <f t="shared" si="52"/>
        <v>2.9269931243571006</v>
      </c>
    </row>
    <row r="100" spans="1:26" s="24" customFormat="1" hidden="1" outlineLevel="2" x14ac:dyDescent="0.25">
      <c r="A100" s="25"/>
      <c r="B100" s="11" t="str">
        <f>CONCATENATE("          ", "6375", " - ", "OUTSIDE REPAIRS &amp; MAINTENANCE")</f>
        <v xml:space="preserve">          6375 - OUTSIDE REPAIRS &amp; MAINTENANCE</v>
      </c>
      <c r="C100" s="11"/>
      <c r="D100" s="6">
        <v>8811.91</v>
      </c>
      <c r="E100" s="2"/>
      <c r="F100" s="7">
        <f t="shared" si="45"/>
        <v>7.3607014168551041E-3</v>
      </c>
      <c r="G100" s="2"/>
      <c r="H100" s="6">
        <v>28560</v>
      </c>
      <c r="I100" s="2"/>
      <c r="J100" s="7">
        <f t="shared" si="46"/>
        <v>2.4096243230314018E-2</v>
      </c>
      <c r="K100" s="2"/>
      <c r="L100" s="6">
        <f t="shared" si="47"/>
        <v>-19748.09</v>
      </c>
      <c r="M100" s="2"/>
      <c r="N100" s="7">
        <f t="shared" si="48"/>
        <v>-0.69145973389355742</v>
      </c>
      <c r="O100" s="11"/>
      <c r="P100" s="6">
        <v>122709.39</v>
      </c>
      <c r="Q100" s="2"/>
      <c r="R100" s="7">
        <f t="shared" si="49"/>
        <v>1.8841306957468853E-2</v>
      </c>
      <c r="S100" s="2"/>
      <c r="T100" s="6">
        <v>172174</v>
      </c>
      <c r="U100" s="2"/>
      <c r="V100" s="7">
        <f t="shared" si="50"/>
        <v>2.4286322160135574E-2</v>
      </c>
      <c r="W100" s="2"/>
      <c r="X100" s="6">
        <f t="shared" si="51"/>
        <v>-49464.61</v>
      </c>
      <c r="Y100" s="2"/>
      <c r="Z100" s="7">
        <f t="shared" si="52"/>
        <v>-0.2872943069220672</v>
      </c>
    </row>
    <row r="101" spans="1:26" s="27" customFormat="1" outlineLevel="1" collapsed="1" x14ac:dyDescent="0.25">
      <c r="A101" s="26"/>
      <c r="B101" s="13" t="str">
        <f>CONCATENATE("     ","Royalty &amp; Commissions                             ")</f>
        <v xml:space="preserve">     Royalty &amp; Commissions                             </v>
      </c>
      <c r="C101" s="13"/>
      <c r="D101" s="1">
        <f>SUM(OSRRefD22_18x_0)</f>
        <v>57281.539999999994</v>
      </c>
      <c r="E101" s="1"/>
      <c r="F101" s="5">
        <f t="shared" ref="F101:F105" si="53">IF(D$12=0,0,D101/D$12)</f>
        <v>4.784800487495245E-2</v>
      </c>
      <c r="G101" s="1"/>
      <c r="H101" s="1">
        <f>SUM(OSRRefH22_18x_0)</f>
        <v>66774</v>
      </c>
      <c r="I101" s="1"/>
      <c r="J101" s="5">
        <f t="shared" ref="J101:J105" si="54">IF(H$12=0,0,H101/H$12)</f>
        <v>5.633762414079091E-2</v>
      </c>
      <c r="K101" s="1"/>
      <c r="L101" s="1">
        <f t="shared" ref="L101:L105" si="55">+D101-H101</f>
        <v>-9492.4600000000064</v>
      </c>
      <c r="M101" s="1"/>
      <c r="N101" s="5">
        <f t="shared" ref="N101:N105" si="56">IF(H101=0,0,L101/H101)</f>
        <v>-0.14215802557881821</v>
      </c>
      <c r="O101" s="13"/>
      <c r="P101" s="1">
        <f>SUM(OSRRefP22_18x_0)</f>
        <v>232138.44</v>
      </c>
      <c r="Q101" s="1"/>
      <c r="R101" s="5">
        <f t="shared" ref="R101:R105" si="57">IF(P$12=0,0,P101/P$12)</f>
        <v>3.5643495617311484E-2</v>
      </c>
      <c r="S101" s="1"/>
      <c r="T101" s="1">
        <f>SUM(OSRRefT22_18x_0)</f>
        <v>235584</v>
      </c>
      <c r="U101" s="1"/>
      <c r="V101" s="5">
        <f t="shared" ref="V101:V105" si="58">IF(T$12=0,0,T101/T$12)</f>
        <v>3.323073704376607E-2</v>
      </c>
      <c r="W101" s="1"/>
      <c r="X101" s="1">
        <f t="shared" ref="X101:X105" si="59">+P101-T101</f>
        <v>-3445.5599999999977</v>
      </c>
      <c r="Y101" s="1"/>
      <c r="Z101" s="5">
        <f t="shared" ref="Z101:Z105" si="60">IF(T101=0,0,X101/T101)</f>
        <v>-1.4625611246943756E-2</v>
      </c>
    </row>
    <row r="102" spans="1:26" s="24" customFormat="1" hidden="1" outlineLevel="2" x14ac:dyDescent="0.25">
      <c r="A102" s="25"/>
      <c r="B102" s="11" t="str">
        <f>CONCATENATE("          ", "6252", " - ", "ROYALTY DUE CSTV")</f>
        <v xml:space="preserve">          6252 - ROYALTY DUE CSTV</v>
      </c>
      <c r="C102" s="11"/>
      <c r="D102" s="6"/>
      <c r="E102" s="2"/>
      <c r="F102" s="7">
        <f t="shared" si="53"/>
        <v>0</v>
      </c>
      <c r="G102" s="2"/>
      <c r="H102" s="6">
        <v>5400</v>
      </c>
      <c r="I102" s="2"/>
      <c r="J102" s="7">
        <f t="shared" si="54"/>
        <v>4.5560123754795415E-3</v>
      </c>
      <c r="K102" s="2"/>
      <c r="L102" s="6">
        <f t="shared" si="55"/>
        <v>-5400</v>
      </c>
      <c r="M102" s="2"/>
      <c r="N102" s="7">
        <f t="shared" si="56"/>
        <v>-1</v>
      </c>
      <c r="O102" s="11"/>
      <c r="P102" s="6"/>
      <c r="Q102" s="2"/>
      <c r="R102" s="7">
        <f t="shared" si="57"/>
        <v>0</v>
      </c>
      <c r="S102" s="2"/>
      <c r="T102" s="6">
        <v>5400</v>
      </c>
      <c r="U102" s="2"/>
      <c r="V102" s="7">
        <f t="shared" si="58"/>
        <v>7.6170699214011465E-4</v>
      </c>
      <c r="W102" s="2"/>
      <c r="X102" s="6">
        <f t="shared" si="59"/>
        <v>-5400</v>
      </c>
      <c r="Y102" s="2"/>
      <c r="Z102" s="7">
        <f t="shared" si="60"/>
        <v>-1</v>
      </c>
    </row>
    <row r="103" spans="1:26" s="24" customFormat="1" hidden="1" outlineLevel="2" x14ac:dyDescent="0.25">
      <c r="A103" s="25"/>
      <c r="B103" s="11" t="str">
        <f>CONCATENATE("          ", "6253", " - ", "ROYALTY DUE ATHLETICS-LRG")</f>
        <v xml:space="preserve">          6253 - ROYALTY DUE ATHLETICS-LRG</v>
      </c>
      <c r="C103" s="11"/>
      <c r="D103" s="6"/>
      <c r="E103" s="2"/>
      <c r="F103" s="7">
        <f t="shared" si="53"/>
        <v>0</v>
      </c>
      <c r="G103" s="2"/>
      <c r="H103" s="6">
        <v>40000</v>
      </c>
      <c r="I103" s="2"/>
      <c r="J103" s="7">
        <f t="shared" si="54"/>
        <v>3.3748239818366971E-2</v>
      </c>
      <c r="K103" s="2"/>
      <c r="L103" s="6">
        <f t="shared" si="55"/>
        <v>-40000</v>
      </c>
      <c r="M103" s="2"/>
      <c r="N103" s="7">
        <f t="shared" si="56"/>
        <v>-1</v>
      </c>
      <c r="O103" s="11"/>
      <c r="P103" s="6"/>
      <c r="Q103" s="2"/>
      <c r="R103" s="7">
        <f t="shared" si="57"/>
        <v>0</v>
      </c>
      <c r="S103" s="2"/>
      <c r="T103" s="6">
        <v>91000</v>
      </c>
      <c r="U103" s="2"/>
      <c r="V103" s="7">
        <f t="shared" si="58"/>
        <v>1.2836173386064896E-2</v>
      </c>
      <c r="W103" s="2"/>
      <c r="X103" s="6">
        <f t="shared" si="59"/>
        <v>-91000</v>
      </c>
      <c r="Y103" s="2"/>
      <c r="Z103" s="7">
        <f t="shared" si="60"/>
        <v>-1</v>
      </c>
    </row>
    <row r="104" spans="1:26" s="24" customFormat="1" hidden="1" outlineLevel="2" x14ac:dyDescent="0.25">
      <c r="A104" s="25"/>
      <c r="B104" s="11" t="str">
        <f>CONCATENATE("          ", "6254", " - ", "ROYALTY &amp; COMMISSIONS")</f>
        <v xml:space="preserve">          6254 - ROYALTY &amp; COMMISSIONS</v>
      </c>
      <c r="C104" s="11"/>
      <c r="D104" s="6">
        <v>40423.06</v>
      </c>
      <c r="E104" s="2"/>
      <c r="F104" s="7">
        <f t="shared" si="53"/>
        <v>3.3765900357087042E-2</v>
      </c>
      <c r="G104" s="2"/>
      <c r="H104" s="6">
        <v>1000</v>
      </c>
      <c r="I104" s="2"/>
      <c r="J104" s="7">
        <f t="shared" si="54"/>
        <v>8.4370599545917433E-4</v>
      </c>
      <c r="K104" s="2"/>
      <c r="L104" s="6">
        <f t="shared" si="55"/>
        <v>39423.06</v>
      </c>
      <c r="M104" s="2"/>
      <c r="N104" s="7">
        <f t="shared" si="56"/>
        <v>39.42306</v>
      </c>
      <c r="O104" s="11"/>
      <c r="P104" s="6">
        <v>134426.28</v>
      </c>
      <c r="Q104" s="2"/>
      <c r="R104" s="7">
        <f t="shared" si="57"/>
        <v>2.0640366679605008E-2</v>
      </c>
      <c r="S104" s="2"/>
      <c r="T104" s="6">
        <v>6117</v>
      </c>
      <c r="U104" s="2"/>
      <c r="V104" s="7">
        <f t="shared" si="58"/>
        <v>8.628447538742744E-4</v>
      </c>
      <c r="W104" s="2"/>
      <c r="X104" s="6">
        <f t="shared" si="59"/>
        <v>128309.28</v>
      </c>
      <c r="Y104" s="2"/>
      <c r="Z104" s="7">
        <f t="shared" si="60"/>
        <v>20.975850907307503</v>
      </c>
    </row>
    <row r="105" spans="1:26" s="24" customFormat="1" hidden="1" outlineLevel="2" x14ac:dyDescent="0.25">
      <c r="A105" s="25"/>
      <c r="B105" s="11" t="str">
        <f>CONCATENATE("          ", "6259", " - ", "ROYALTY &amp; COMMISSIONS")</f>
        <v xml:space="preserve">          6259 - ROYALTY &amp; COMMISSIONS</v>
      </c>
      <c r="C105" s="11"/>
      <c r="D105" s="6">
        <v>16858.48</v>
      </c>
      <c r="E105" s="2"/>
      <c r="F105" s="7">
        <f t="shared" si="53"/>
        <v>1.4082104517865415E-2</v>
      </c>
      <c r="G105" s="2"/>
      <c r="H105" s="6">
        <v>20374</v>
      </c>
      <c r="I105" s="2"/>
      <c r="J105" s="7">
        <f t="shared" si="54"/>
        <v>1.7189665951485217E-2</v>
      </c>
      <c r="K105" s="2"/>
      <c r="L105" s="6">
        <f t="shared" si="55"/>
        <v>-3515.5200000000004</v>
      </c>
      <c r="M105" s="2"/>
      <c r="N105" s="7">
        <f t="shared" si="56"/>
        <v>-0.17254932757435951</v>
      </c>
      <c r="O105" s="11"/>
      <c r="P105" s="6">
        <v>97712.16</v>
      </c>
      <c r="Q105" s="2"/>
      <c r="R105" s="7">
        <f t="shared" si="57"/>
        <v>1.5003128937706478E-2</v>
      </c>
      <c r="S105" s="2"/>
      <c r="T105" s="6">
        <v>133067</v>
      </c>
      <c r="U105" s="2"/>
      <c r="V105" s="7">
        <f t="shared" si="58"/>
        <v>1.8770011911686785E-2</v>
      </c>
      <c r="W105" s="2"/>
      <c r="X105" s="6">
        <f t="shared" si="59"/>
        <v>-35354.839999999997</v>
      </c>
      <c r="Y105" s="2"/>
      <c r="Z105" s="7">
        <f t="shared" si="60"/>
        <v>-0.26569201980956958</v>
      </c>
    </row>
    <row r="106" spans="1:26" s="27" customFormat="1" outlineLevel="1" collapsed="1" x14ac:dyDescent="0.25">
      <c r="A106" s="26"/>
      <c r="B106" s="13" t="str">
        <f>CONCATENATE("     ","Services                                          ")</f>
        <v xml:space="preserve">     Services                                          </v>
      </c>
      <c r="C106" s="13"/>
      <c r="D106" s="1">
        <f>SUM(OSRRefD22_19x_0)</f>
        <v>26218.52</v>
      </c>
      <c r="E106" s="1"/>
      <c r="F106" s="5">
        <f t="shared" ref="F106:F112" si="61">IF(D$12=0,0,D106/D$12)</f>
        <v>2.1900665952312708E-2</v>
      </c>
      <c r="G106" s="1"/>
      <c r="H106" s="1">
        <f>SUM(OSRRefH22_19x_0)</f>
        <v>24692</v>
      </c>
      <c r="I106" s="1"/>
      <c r="J106" s="5">
        <f t="shared" ref="J106:J112" si="62">IF(H$12=0,0,H106/H$12)</f>
        <v>2.0832788439877934E-2</v>
      </c>
      <c r="K106" s="1"/>
      <c r="L106" s="1">
        <f t="shared" ref="L106:L112" si="63">+D106-H106</f>
        <v>1526.5200000000004</v>
      </c>
      <c r="M106" s="1"/>
      <c r="N106" s="5">
        <f t="shared" ref="N106:N112" si="64">IF(H106=0,0,L106/H106)</f>
        <v>6.1822452616231996E-2</v>
      </c>
      <c r="O106" s="13"/>
      <c r="P106" s="1">
        <f>SUM(OSRRefP22_19x_0)</f>
        <v>195807.24</v>
      </c>
      <c r="Q106" s="1"/>
      <c r="R106" s="5">
        <f t="shared" ref="R106:R112" si="65">IF(P$12=0,0,P106/P$12)</f>
        <v>3.0065052995005299E-2</v>
      </c>
      <c r="S106" s="1"/>
      <c r="T106" s="1">
        <f>SUM(OSRRefT22_19x_0)</f>
        <v>186244</v>
      </c>
      <c r="U106" s="1"/>
      <c r="V106" s="5">
        <f t="shared" ref="V106:V112" si="66">IF(T$12=0,0,T106/T$12)</f>
        <v>2.6270992045211765E-2</v>
      </c>
      <c r="W106" s="1"/>
      <c r="X106" s="1">
        <f t="shared" ref="X106:X112" si="67">+P106-T106</f>
        <v>9563.2399999999907</v>
      </c>
      <c r="Y106" s="1"/>
      <c r="Z106" s="5">
        <f t="shared" ref="Z106:Z112" si="68">IF(T106=0,0,X106/T106)</f>
        <v>5.1347909194390105E-2</v>
      </c>
    </row>
    <row r="107" spans="1:26" s="24" customFormat="1" hidden="1" outlineLevel="2" x14ac:dyDescent="0.25">
      <c r="A107" s="25"/>
      <c r="B107" s="11" t="str">
        <f>CONCATENATE("          ", "6281", " - ", "STORAGE FEE")</f>
        <v xml:space="preserve">          6281 - STORAGE FEE</v>
      </c>
      <c r="C107" s="11"/>
      <c r="D107" s="6"/>
      <c r="E107" s="2"/>
      <c r="F107" s="7">
        <f t="shared" si="61"/>
        <v>0</v>
      </c>
      <c r="G107" s="2"/>
      <c r="H107" s="6"/>
      <c r="I107" s="2"/>
      <c r="J107" s="7">
        <f t="shared" si="62"/>
        <v>0</v>
      </c>
      <c r="K107" s="2"/>
      <c r="L107" s="6">
        <f t="shared" si="63"/>
        <v>0</v>
      </c>
      <c r="M107" s="2"/>
      <c r="N107" s="7">
        <f t="shared" si="64"/>
        <v>0</v>
      </c>
      <c r="O107" s="11"/>
      <c r="P107" s="6"/>
      <c r="Q107" s="2"/>
      <c r="R107" s="7">
        <f t="shared" si="65"/>
        <v>0</v>
      </c>
      <c r="S107" s="2"/>
      <c r="T107" s="6">
        <v>0</v>
      </c>
      <c r="U107" s="2"/>
      <c r="V107" s="7">
        <f t="shared" si="66"/>
        <v>0</v>
      </c>
      <c r="W107" s="2"/>
      <c r="X107" s="6">
        <f t="shared" si="67"/>
        <v>0</v>
      </c>
      <c r="Y107" s="2"/>
      <c r="Z107" s="7">
        <f t="shared" si="68"/>
        <v>0</v>
      </c>
    </row>
    <row r="108" spans="1:26" s="24" customFormat="1" hidden="1" outlineLevel="2" x14ac:dyDescent="0.25">
      <c r="A108" s="25"/>
      <c r="B108" s="11" t="str">
        <f>CONCATENATE("          ", "6282", " - ", "JANITORIAL/EXTERMINATOR EXPENS")</f>
        <v xml:space="preserve">          6282 - JANITORIAL/EXTERMINATOR EXPENS</v>
      </c>
      <c r="C108" s="11"/>
      <c r="D108" s="6">
        <v>2406.5500000000002</v>
      </c>
      <c r="E108" s="2"/>
      <c r="F108" s="7">
        <f t="shared" si="61"/>
        <v>2.0102220738446776E-3</v>
      </c>
      <c r="G108" s="2"/>
      <c r="H108" s="6">
        <v>1923</v>
      </c>
      <c r="I108" s="2"/>
      <c r="J108" s="7">
        <f t="shared" si="62"/>
        <v>1.6224466292679921E-3</v>
      </c>
      <c r="K108" s="2"/>
      <c r="L108" s="6">
        <f t="shared" si="63"/>
        <v>483.55000000000018</v>
      </c>
      <c r="M108" s="2"/>
      <c r="N108" s="7">
        <f t="shared" si="64"/>
        <v>0.25145605824232981</v>
      </c>
      <c r="O108" s="11"/>
      <c r="P108" s="6">
        <v>16935.939999999999</v>
      </c>
      <c r="Q108" s="2"/>
      <c r="R108" s="7">
        <f t="shared" si="65"/>
        <v>2.6004142319774794E-3</v>
      </c>
      <c r="S108" s="2"/>
      <c r="T108" s="6">
        <v>14371</v>
      </c>
      <c r="U108" s="2"/>
      <c r="V108" s="7">
        <f t="shared" si="66"/>
        <v>2.0271279970454793E-3</v>
      </c>
      <c r="W108" s="2"/>
      <c r="X108" s="6">
        <f t="shared" si="67"/>
        <v>2564.9399999999987</v>
      </c>
      <c r="Y108" s="2"/>
      <c r="Z108" s="7">
        <f t="shared" si="68"/>
        <v>0.17848027277155373</v>
      </c>
    </row>
    <row r="109" spans="1:26" s="24" customFormat="1" hidden="1" outlineLevel="2" x14ac:dyDescent="0.25">
      <c r="A109" s="25"/>
      <c r="B109" s="11" t="str">
        <f>CONCATENATE("          ", "6283", " - ", "PLANT SERVICE")</f>
        <v xml:space="preserve">          6283 - PLANT SERVICE</v>
      </c>
      <c r="C109" s="11"/>
      <c r="D109" s="6">
        <v>199.78</v>
      </c>
      <c r="E109" s="2"/>
      <c r="F109" s="7">
        <f t="shared" si="61"/>
        <v>1.6687879575021905E-4</v>
      </c>
      <c r="G109" s="2"/>
      <c r="H109" s="6">
        <v>185</v>
      </c>
      <c r="I109" s="2"/>
      <c r="J109" s="7">
        <f t="shared" si="62"/>
        <v>1.5608560915994726E-4</v>
      </c>
      <c r="K109" s="2"/>
      <c r="L109" s="6">
        <f t="shared" si="63"/>
        <v>14.780000000000001</v>
      </c>
      <c r="M109" s="2"/>
      <c r="N109" s="7">
        <f t="shared" si="64"/>
        <v>7.98918918918919E-2</v>
      </c>
      <c r="O109" s="11"/>
      <c r="P109" s="6">
        <v>998.9</v>
      </c>
      <c r="Q109" s="2"/>
      <c r="R109" s="7">
        <f t="shared" si="65"/>
        <v>1.5337523493365616E-4</v>
      </c>
      <c r="S109" s="2"/>
      <c r="T109" s="6">
        <v>1445</v>
      </c>
      <c r="U109" s="2"/>
      <c r="V109" s="7">
        <f t="shared" si="66"/>
        <v>2.0382714882267883E-4</v>
      </c>
      <c r="W109" s="2"/>
      <c r="X109" s="6">
        <f t="shared" si="67"/>
        <v>-446.1</v>
      </c>
      <c r="Y109" s="2"/>
      <c r="Z109" s="7">
        <f t="shared" si="68"/>
        <v>-0.30871972318339103</v>
      </c>
    </row>
    <row r="110" spans="1:26" s="24" customFormat="1" hidden="1" outlineLevel="2" x14ac:dyDescent="0.25">
      <c r="A110" s="25"/>
      <c r="B110" s="11" t="str">
        <f>CONCATENATE("          ", "6284", " - ", "TRASH REMOVAL EXPENSE")</f>
        <v xml:space="preserve">          6284 - TRASH REMOVAL EXPENSE</v>
      </c>
      <c r="C110" s="11"/>
      <c r="D110" s="6">
        <v>5419</v>
      </c>
      <c r="E110" s="2"/>
      <c r="F110" s="7">
        <f t="shared" si="61"/>
        <v>4.5265601870579488E-3</v>
      </c>
      <c r="G110" s="2"/>
      <c r="H110" s="6">
        <v>3665</v>
      </c>
      <c r="I110" s="2"/>
      <c r="J110" s="7">
        <f t="shared" si="62"/>
        <v>3.0921824733578739E-3</v>
      </c>
      <c r="K110" s="2"/>
      <c r="L110" s="6">
        <f t="shared" si="63"/>
        <v>1754</v>
      </c>
      <c r="M110" s="2"/>
      <c r="N110" s="7">
        <f t="shared" si="64"/>
        <v>0.47858117326057298</v>
      </c>
      <c r="O110" s="11"/>
      <c r="P110" s="6">
        <v>35464</v>
      </c>
      <c r="Q110" s="2"/>
      <c r="R110" s="7">
        <f t="shared" si="65"/>
        <v>5.4452891497519086E-3</v>
      </c>
      <c r="S110" s="2"/>
      <c r="T110" s="6">
        <v>29320</v>
      </c>
      <c r="U110" s="2"/>
      <c r="V110" s="7">
        <f t="shared" si="66"/>
        <v>4.1357868536200304E-3</v>
      </c>
      <c r="W110" s="2"/>
      <c r="X110" s="6">
        <f t="shared" si="67"/>
        <v>6144</v>
      </c>
      <c r="Y110" s="2"/>
      <c r="Z110" s="7">
        <f t="shared" si="68"/>
        <v>0.20954979536152796</v>
      </c>
    </row>
    <row r="111" spans="1:26" s="24" customFormat="1" hidden="1" outlineLevel="2" x14ac:dyDescent="0.25">
      <c r="A111" s="25"/>
      <c r="B111" s="11" t="str">
        <f>CONCATENATE("          ", "6285", " - ", "JANITORIAL SERVICES")</f>
        <v xml:space="preserve">          6285 - JANITORIAL SERVICES</v>
      </c>
      <c r="C111" s="11"/>
      <c r="D111" s="6">
        <v>14271.92</v>
      </c>
      <c r="E111" s="2"/>
      <c r="F111" s="7">
        <f t="shared" si="61"/>
        <v>1.1921517782778387E-2</v>
      </c>
      <c r="G111" s="2"/>
      <c r="H111" s="6">
        <v>13422</v>
      </c>
      <c r="I111" s="2"/>
      <c r="J111" s="7">
        <f t="shared" si="62"/>
        <v>1.1324221871053038E-2</v>
      </c>
      <c r="K111" s="2"/>
      <c r="L111" s="6">
        <f t="shared" si="63"/>
        <v>849.92000000000007</v>
      </c>
      <c r="M111" s="2"/>
      <c r="N111" s="7">
        <f t="shared" si="64"/>
        <v>6.3322902697064531E-2</v>
      </c>
      <c r="O111" s="11"/>
      <c r="P111" s="6">
        <v>110873.98000000001</v>
      </c>
      <c r="Q111" s="2"/>
      <c r="R111" s="7">
        <f t="shared" si="65"/>
        <v>1.702404918463259E-2</v>
      </c>
      <c r="S111" s="2"/>
      <c r="T111" s="6">
        <v>107304</v>
      </c>
      <c r="U111" s="2"/>
      <c r="V111" s="7">
        <f t="shared" si="66"/>
        <v>1.5135964274926457E-2</v>
      </c>
      <c r="W111" s="2"/>
      <c r="X111" s="6">
        <f t="shared" si="67"/>
        <v>3569.9800000000105</v>
      </c>
      <c r="Y111" s="2"/>
      <c r="Z111" s="7">
        <f t="shared" si="68"/>
        <v>3.3269775590844798E-2</v>
      </c>
    </row>
    <row r="112" spans="1:26" s="24" customFormat="1" hidden="1" outlineLevel="2" x14ac:dyDescent="0.25">
      <c r="A112" s="25"/>
      <c r="B112" s="11" t="str">
        <f>CONCATENATE("          ", "6286", " - ", "LAUNDRY EXPENSE")</f>
        <v xml:space="preserve">          6286 - LAUNDRY EXPENSE</v>
      </c>
      <c r="C112" s="11"/>
      <c r="D112" s="6">
        <v>3921.27</v>
      </c>
      <c r="E112" s="2"/>
      <c r="F112" s="7">
        <f t="shared" si="61"/>
        <v>3.2754871128814768E-3</v>
      </c>
      <c r="G112" s="2"/>
      <c r="H112" s="6">
        <v>5497</v>
      </c>
      <c r="I112" s="2"/>
      <c r="J112" s="7">
        <f t="shared" si="62"/>
        <v>4.6378518570390813E-3</v>
      </c>
      <c r="K112" s="2"/>
      <c r="L112" s="6">
        <f t="shared" si="63"/>
        <v>-1575.73</v>
      </c>
      <c r="M112" s="2"/>
      <c r="N112" s="7">
        <f t="shared" si="64"/>
        <v>-0.28665271966527195</v>
      </c>
      <c r="O112" s="11"/>
      <c r="P112" s="6">
        <v>31534.42</v>
      </c>
      <c r="Q112" s="2"/>
      <c r="R112" s="7">
        <f t="shared" si="65"/>
        <v>4.8419251937096659E-3</v>
      </c>
      <c r="S112" s="2"/>
      <c r="T112" s="6">
        <v>33804</v>
      </c>
      <c r="U112" s="2"/>
      <c r="V112" s="7">
        <f t="shared" si="66"/>
        <v>4.7682857707971177E-3</v>
      </c>
      <c r="W112" s="2"/>
      <c r="X112" s="6">
        <f t="shared" si="67"/>
        <v>-2269.5800000000017</v>
      </c>
      <c r="Y112" s="2"/>
      <c r="Z112" s="7">
        <f t="shared" si="68"/>
        <v>-6.7139391787954139E-2</v>
      </c>
    </row>
    <row r="113" spans="1:26" s="27" customFormat="1" outlineLevel="1" collapsed="1" x14ac:dyDescent="0.25">
      <c r="A113" s="26"/>
      <c r="B113" s="13" t="str">
        <f>CONCATENATE("     ","Subscriptions &amp; Dues                              ")</f>
        <v xml:space="preserve">     Subscriptions &amp; Dues                              </v>
      </c>
      <c r="C113" s="13"/>
      <c r="D113" s="1">
        <f>SUM(OSRRefD22_20x_0)</f>
        <v>450.13000000000005</v>
      </c>
      <c r="E113" s="1"/>
      <c r="F113" s="5">
        <f t="shared" ref="F113:F115" si="69">IF(D$12=0,0,D113/D$12)</f>
        <v>3.7599936095227801E-4</v>
      </c>
      <c r="G113" s="1"/>
      <c r="H113" s="1">
        <f>SUM(OSRRefH22_20x_0)</f>
        <v>874</v>
      </c>
      <c r="I113" s="1"/>
      <c r="J113" s="5">
        <f t="shared" ref="J113:J115" si="70">IF(H$12=0,0,H113/H$12)</f>
        <v>7.3739904003131834E-4</v>
      </c>
      <c r="K113" s="1"/>
      <c r="L113" s="1">
        <f t="shared" ref="L113:L115" si="71">+D113-H113</f>
        <v>-423.86999999999995</v>
      </c>
      <c r="M113" s="1"/>
      <c r="N113" s="5">
        <f t="shared" ref="N113:N115" si="72">IF(H113=0,0,L113/H113)</f>
        <v>-0.48497711670480542</v>
      </c>
      <c r="O113" s="13"/>
      <c r="P113" s="1">
        <f>SUM(OSRRefP22_20x_0)</f>
        <v>8545.51</v>
      </c>
      <c r="Q113" s="1"/>
      <c r="R113" s="5">
        <f t="shared" ref="R113:R115" si="73">IF(P$12=0,0,P113/P$12)</f>
        <v>1.3121129280988168E-3</v>
      </c>
      <c r="S113" s="1"/>
      <c r="T113" s="1">
        <f>SUM(OSRRefT22_20x_0)</f>
        <v>4717</v>
      </c>
      <c r="U113" s="1"/>
      <c r="V113" s="5">
        <f t="shared" ref="V113:V115" si="74">IF(T$12=0,0,T113/T$12)</f>
        <v>6.6536516331942982E-4</v>
      </c>
      <c r="W113" s="1"/>
      <c r="X113" s="1">
        <f t="shared" ref="X113:X115" si="75">+P113-T113</f>
        <v>3828.51</v>
      </c>
      <c r="Y113" s="1"/>
      <c r="Z113" s="5">
        <f t="shared" ref="Z113:Z115" si="76">IF(T113=0,0,X113/T113)</f>
        <v>0.81164087343650626</v>
      </c>
    </row>
    <row r="114" spans="1:26" s="24" customFormat="1" hidden="1" outlineLevel="2" x14ac:dyDescent="0.25">
      <c r="A114" s="25"/>
      <c r="B114" s="11" t="str">
        <f>CONCATENATE("          ", "6258", " - ", "MEMBERSHIP DUES")</f>
        <v xml:space="preserve">          6258 - MEMBERSHIP DUES</v>
      </c>
      <c r="C114" s="11"/>
      <c r="D114" s="6">
        <v>-131.19999999999999</v>
      </c>
      <c r="E114" s="2"/>
      <c r="F114" s="7">
        <f t="shared" si="69"/>
        <v>-1.0959304235873829E-4</v>
      </c>
      <c r="G114" s="2"/>
      <c r="H114" s="6">
        <v>300</v>
      </c>
      <c r="I114" s="2"/>
      <c r="J114" s="7">
        <f t="shared" si="70"/>
        <v>2.5311179863775232E-4</v>
      </c>
      <c r="K114" s="2"/>
      <c r="L114" s="6">
        <f t="shared" si="71"/>
        <v>-431.2</v>
      </c>
      <c r="M114" s="2"/>
      <c r="N114" s="7">
        <f t="shared" si="72"/>
        <v>-1.4373333333333334</v>
      </c>
      <c r="O114" s="11"/>
      <c r="P114" s="6">
        <v>3730</v>
      </c>
      <c r="Q114" s="2"/>
      <c r="R114" s="7">
        <f t="shared" si="73"/>
        <v>5.7271961788220793E-4</v>
      </c>
      <c r="S114" s="2"/>
      <c r="T114" s="6">
        <v>300</v>
      </c>
      <c r="U114" s="2"/>
      <c r="V114" s="7">
        <f t="shared" si="74"/>
        <v>4.2317055118895262E-5</v>
      </c>
      <c r="W114" s="2"/>
      <c r="X114" s="6">
        <f t="shared" si="75"/>
        <v>3430</v>
      </c>
      <c r="Y114" s="2"/>
      <c r="Z114" s="7">
        <f t="shared" si="76"/>
        <v>11.433333333333334</v>
      </c>
    </row>
    <row r="115" spans="1:26" s="24" customFormat="1" hidden="1" outlineLevel="2" x14ac:dyDescent="0.25">
      <c r="A115" s="25"/>
      <c r="B115" s="11" t="str">
        <f>CONCATENATE("          ", "6275", " - ", "SUBSCRIPTIONS")</f>
        <v xml:space="preserve">          6275 - SUBSCRIPTIONS</v>
      </c>
      <c r="C115" s="11"/>
      <c r="D115" s="6">
        <v>581.33000000000004</v>
      </c>
      <c r="E115" s="2"/>
      <c r="F115" s="7">
        <f t="shared" si="69"/>
        <v>4.8559240331101633E-4</v>
      </c>
      <c r="G115" s="2"/>
      <c r="H115" s="6">
        <v>574</v>
      </c>
      <c r="I115" s="2"/>
      <c r="J115" s="7">
        <f t="shared" si="70"/>
        <v>4.8428724139356607E-4</v>
      </c>
      <c r="K115" s="2"/>
      <c r="L115" s="6">
        <f t="shared" si="71"/>
        <v>7.3300000000000409</v>
      </c>
      <c r="M115" s="2"/>
      <c r="N115" s="7">
        <f t="shared" si="72"/>
        <v>1.2770034843205645E-2</v>
      </c>
      <c r="O115" s="11"/>
      <c r="P115" s="6">
        <v>4815.51</v>
      </c>
      <c r="Q115" s="2"/>
      <c r="R115" s="7">
        <f t="shared" si="73"/>
        <v>7.3939331021660888E-4</v>
      </c>
      <c r="S115" s="2"/>
      <c r="T115" s="6">
        <v>4417</v>
      </c>
      <c r="U115" s="2"/>
      <c r="V115" s="7">
        <f t="shared" si="74"/>
        <v>6.2304810820053454E-4</v>
      </c>
      <c r="W115" s="2"/>
      <c r="X115" s="6">
        <f t="shared" si="75"/>
        <v>398.51000000000022</v>
      </c>
      <c r="Y115" s="2"/>
      <c r="Z115" s="7">
        <f t="shared" si="76"/>
        <v>9.0221870047543631E-2</v>
      </c>
    </row>
    <row r="116" spans="1:26" s="27" customFormat="1" outlineLevel="1" collapsed="1" x14ac:dyDescent="0.25">
      <c r="A116" s="26"/>
      <c r="B116" s="13" t="str">
        <f>CONCATENATE("     ","Supplies                                          ")</f>
        <v xml:space="preserve">     Supplies                                          </v>
      </c>
      <c r="C116" s="13"/>
      <c r="D116" s="1">
        <f>SUM(OSRRefD22_21x_0)</f>
        <v>30053.699999999997</v>
      </c>
      <c r="E116" s="1"/>
      <c r="F116" s="5">
        <f t="shared" ref="F116:F126" si="77">IF(D$12=0,0,D116/D$12)</f>
        <v>2.5104240984274488E-2</v>
      </c>
      <c r="G116" s="1"/>
      <c r="H116" s="1">
        <f>SUM(OSRRefH22_21x_0)</f>
        <v>19393.3</v>
      </c>
      <c r="I116" s="1"/>
      <c r="J116" s="5">
        <f t="shared" ref="J116:J126" si="78">IF(H$12=0,0,H116/H$12)</f>
        <v>1.6362243481738405E-2</v>
      </c>
      <c r="K116" s="1"/>
      <c r="L116" s="1">
        <f t="shared" ref="L116:L126" si="79">+D116-H116</f>
        <v>10660.399999999998</v>
      </c>
      <c r="M116" s="1"/>
      <c r="N116" s="5">
        <f t="shared" ref="N116:N126" si="80">IF(H116=0,0,L116/H116)</f>
        <v>0.54969499775695718</v>
      </c>
      <c r="O116" s="13"/>
      <c r="P116" s="1">
        <f>SUM(OSRRefP22_21x_0)</f>
        <v>202485.24999999997</v>
      </c>
      <c r="Q116" s="1"/>
      <c r="R116" s="5">
        <f t="shared" ref="R116:R126" si="81">IF(P$12=0,0,P116/P$12)</f>
        <v>3.1090422253829308E-2</v>
      </c>
      <c r="S116" s="1"/>
      <c r="T116" s="1">
        <f>SUM(OSRRefT22_21x_0)</f>
        <v>150889.80000000002</v>
      </c>
      <c r="U116" s="1"/>
      <c r="V116" s="5">
        <f t="shared" ref="V116:V126" si="82">IF(T$12=0,0,T116/T$12)</f>
        <v>2.1284039944930278E-2</v>
      </c>
      <c r="W116" s="1"/>
      <c r="X116" s="1">
        <f t="shared" ref="X116:X126" si="83">+P116-T116</f>
        <v>51595.449999999953</v>
      </c>
      <c r="Y116" s="1"/>
      <c r="Z116" s="5">
        <f t="shared" ref="Z116:Z126" si="84">IF(T116=0,0,X116/T116)</f>
        <v>0.3419412710468166</v>
      </c>
    </row>
    <row r="117" spans="1:26" s="24" customFormat="1" hidden="1" outlineLevel="2" x14ac:dyDescent="0.25">
      <c r="A117" s="25"/>
      <c r="B117" s="11" t="str">
        <f>CONCATENATE("          ", "6234", " - ", "EXPENDABLE SUPPLIES &amp; EQUIPMEN")</f>
        <v xml:space="preserve">          6234 - EXPENDABLE SUPPLIES &amp; EQUIPMEN</v>
      </c>
      <c r="C117" s="11"/>
      <c r="D117" s="6">
        <v>360.61</v>
      </c>
      <c r="E117" s="2"/>
      <c r="F117" s="7">
        <f t="shared" si="77"/>
        <v>3.0122215705018766E-4</v>
      </c>
      <c r="G117" s="2"/>
      <c r="H117" s="6">
        <v>500</v>
      </c>
      <c r="I117" s="2"/>
      <c r="J117" s="7">
        <f t="shared" si="78"/>
        <v>4.2185299772958717E-4</v>
      </c>
      <c r="K117" s="2"/>
      <c r="L117" s="6">
        <f t="shared" si="79"/>
        <v>-139.38999999999999</v>
      </c>
      <c r="M117" s="2"/>
      <c r="N117" s="7">
        <f t="shared" si="80"/>
        <v>-0.27877999999999997</v>
      </c>
      <c r="O117" s="11"/>
      <c r="P117" s="6">
        <v>14664.58</v>
      </c>
      <c r="Q117" s="2"/>
      <c r="R117" s="7">
        <f t="shared" si="81"/>
        <v>2.2516602289552462E-3</v>
      </c>
      <c r="S117" s="2"/>
      <c r="T117" s="6">
        <v>7650</v>
      </c>
      <c r="U117" s="2"/>
      <c r="V117" s="7">
        <f t="shared" si="82"/>
        <v>1.0790849055318291E-3</v>
      </c>
      <c r="W117" s="2"/>
      <c r="X117" s="6">
        <f t="shared" si="83"/>
        <v>7014.58</v>
      </c>
      <c r="Y117" s="2"/>
      <c r="Z117" s="7">
        <f t="shared" si="84"/>
        <v>0.91693856209150326</v>
      </c>
    </row>
    <row r="118" spans="1:26" s="24" customFormat="1" hidden="1" outlineLevel="2" x14ac:dyDescent="0.25">
      <c r="A118" s="25"/>
      <c r="B118" s="11" t="str">
        <f>CONCATENATE("          ", "6237", " - ", "JANITORIAL SUPPLIES")</f>
        <v xml:space="preserve">          6237 - JANITORIAL SUPPLIES</v>
      </c>
      <c r="C118" s="11"/>
      <c r="D118" s="6">
        <v>7792.95</v>
      </c>
      <c r="E118" s="2"/>
      <c r="F118" s="7">
        <f t="shared" si="77"/>
        <v>6.5095510628775128E-3</v>
      </c>
      <c r="G118" s="2"/>
      <c r="H118" s="6">
        <v>3611</v>
      </c>
      <c r="I118" s="2"/>
      <c r="J118" s="7">
        <f t="shared" si="78"/>
        <v>3.0466223496030784E-3</v>
      </c>
      <c r="K118" s="2"/>
      <c r="L118" s="6">
        <f t="shared" si="79"/>
        <v>4181.95</v>
      </c>
      <c r="M118" s="2"/>
      <c r="N118" s="7">
        <f t="shared" si="80"/>
        <v>1.1581140958183329</v>
      </c>
      <c r="O118" s="11"/>
      <c r="P118" s="6">
        <v>47088.87</v>
      </c>
      <c r="Q118" s="2"/>
      <c r="R118" s="7">
        <f t="shared" si="81"/>
        <v>7.2302197407251917E-3</v>
      </c>
      <c r="S118" s="2"/>
      <c r="T118" s="6">
        <v>35618</v>
      </c>
      <c r="U118" s="2"/>
      <c r="V118" s="7">
        <f t="shared" si="82"/>
        <v>5.0241628974160377E-3</v>
      </c>
      <c r="W118" s="2"/>
      <c r="X118" s="6">
        <f t="shared" si="83"/>
        <v>11470.870000000003</v>
      </c>
      <c r="Y118" s="2"/>
      <c r="Z118" s="7">
        <f t="shared" si="84"/>
        <v>0.3220526138469314</v>
      </c>
    </row>
    <row r="119" spans="1:26" s="24" customFormat="1" hidden="1" outlineLevel="2" x14ac:dyDescent="0.25">
      <c r="A119" s="25"/>
      <c r="B119" s="11" t="str">
        <f>CONCATENATE("          ", "6239", " - ", "KITCHEN SUPPLIES")</f>
        <v xml:space="preserve">          6239 - KITCHEN SUPPLIES</v>
      </c>
      <c r="C119" s="11"/>
      <c r="D119" s="6">
        <v>8084.83</v>
      </c>
      <c r="E119" s="2"/>
      <c r="F119" s="7">
        <f t="shared" si="77"/>
        <v>6.7533621696127914E-3</v>
      </c>
      <c r="G119" s="2"/>
      <c r="H119" s="6">
        <v>4610</v>
      </c>
      <c r="I119" s="2"/>
      <c r="J119" s="7">
        <f t="shared" si="78"/>
        <v>3.8894846390667938E-3</v>
      </c>
      <c r="K119" s="2"/>
      <c r="L119" s="6">
        <f t="shared" si="79"/>
        <v>3474.83</v>
      </c>
      <c r="M119" s="2"/>
      <c r="N119" s="7">
        <f t="shared" si="80"/>
        <v>0.75375921908893706</v>
      </c>
      <c r="O119" s="11"/>
      <c r="P119" s="6">
        <v>43997.15</v>
      </c>
      <c r="Q119" s="2"/>
      <c r="R119" s="7">
        <f t="shared" si="81"/>
        <v>6.7555042723609071E-3</v>
      </c>
      <c r="S119" s="2"/>
      <c r="T119" s="6">
        <v>26074.710000000003</v>
      </c>
      <c r="U119" s="2"/>
      <c r="V119" s="7">
        <f t="shared" si="82"/>
        <v>3.678016467597365E-3</v>
      </c>
      <c r="W119" s="2"/>
      <c r="X119" s="6">
        <f t="shared" si="83"/>
        <v>17922.439999999999</v>
      </c>
      <c r="Y119" s="2"/>
      <c r="Z119" s="7">
        <f t="shared" si="84"/>
        <v>0.6873495429095855</v>
      </c>
    </row>
    <row r="120" spans="1:26" s="24" customFormat="1" hidden="1" outlineLevel="2" x14ac:dyDescent="0.25">
      <c r="A120" s="25"/>
      <c r="B120" s="11" t="str">
        <f>CONCATENATE("          ", "6241", " - ", "OFFICE EXPENSE")</f>
        <v xml:space="preserve">          6241 - OFFICE EXPENSE</v>
      </c>
      <c r="C120" s="11"/>
      <c r="D120" s="6">
        <v>360.84</v>
      </c>
      <c r="E120" s="2"/>
      <c r="F120" s="7">
        <f t="shared" si="77"/>
        <v>3.0141427899944454E-4</v>
      </c>
      <c r="G120" s="2"/>
      <c r="H120" s="6">
        <v>1440</v>
      </c>
      <c r="I120" s="2"/>
      <c r="J120" s="7">
        <f t="shared" si="78"/>
        <v>1.214936633461211E-3</v>
      </c>
      <c r="K120" s="2"/>
      <c r="L120" s="6">
        <f t="shared" si="79"/>
        <v>-1079.1600000000001</v>
      </c>
      <c r="M120" s="2"/>
      <c r="N120" s="7">
        <f t="shared" si="80"/>
        <v>-0.74941666666666673</v>
      </c>
      <c r="O120" s="11"/>
      <c r="P120" s="6">
        <v>17802.72</v>
      </c>
      <c r="Q120" s="2"/>
      <c r="R120" s="7">
        <f t="shared" si="81"/>
        <v>2.7335032159956944E-3</v>
      </c>
      <c r="S120" s="2"/>
      <c r="T120" s="6">
        <v>7841.25</v>
      </c>
      <c r="U120" s="2"/>
      <c r="V120" s="7">
        <f t="shared" si="82"/>
        <v>1.106062028170125E-3</v>
      </c>
      <c r="W120" s="2"/>
      <c r="X120" s="6">
        <f t="shared" si="83"/>
        <v>9961.4700000000012</v>
      </c>
      <c r="Y120" s="2"/>
      <c r="Z120" s="7">
        <f t="shared" si="84"/>
        <v>1.2703931133428983</v>
      </c>
    </row>
    <row r="121" spans="1:26" s="24" customFormat="1" hidden="1" outlineLevel="2" x14ac:dyDescent="0.25">
      <c r="A121" s="25"/>
      <c r="B121" s="11" t="str">
        <f>CONCATENATE("          ", "6243", " - ", "PAPER SUPPLIES")</f>
        <v xml:space="preserve">          6243 - PAPER SUPPLIES</v>
      </c>
      <c r="C121" s="11"/>
      <c r="D121" s="6">
        <v>4556.83</v>
      </c>
      <c r="E121" s="2"/>
      <c r="F121" s="7">
        <f t="shared" si="77"/>
        <v>3.8063785305759868E-3</v>
      </c>
      <c r="G121" s="2"/>
      <c r="H121" s="6">
        <v>4605</v>
      </c>
      <c r="I121" s="2"/>
      <c r="J121" s="7">
        <f t="shared" si="78"/>
        <v>3.8852661090894979E-3</v>
      </c>
      <c r="K121" s="2"/>
      <c r="L121" s="6">
        <f t="shared" si="79"/>
        <v>-48.170000000000073</v>
      </c>
      <c r="M121" s="2"/>
      <c r="N121" s="7">
        <f t="shared" si="80"/>
        <v>-1.0460369163952241E-2</v>
      </c>
      <c r="O121" s="11"/>
      <c r="P121" s="6">
        <v>32198.899999999998</v>
      </c>
      <c r="Q121" s="2"/>
      <c r="R121" s="7">
        <f t="shared" si="81"/>
        <v>4.9439521995247784E-3</v>
      </c>
      <c r="S121" s="2"/>
      <c r="T121" s="6">
        <v>31039.52</v>
      </c>
      <c r="U121" s="2"/>
      <c r="V121" s="7">
        <f t="shared" si="82"/>
        <v>4.3783369290135059E-3</v>
      </c>
      <c r="W121" s="2"/>
      <c r="X121" s="6">
        <f t="shared" si="83"/>
        <v>1159.3799999999974</v>
      </c>
      <c r="Y121" s="2"/>
      <c r="Z121" s="7">
        <f t="shared" si="84"/>
        <v>3.7351737398000913E-2</v>
      </c>
    </row>
    <row r="122" spans="1:26" s="24" customFormat="1" hidden="1" outlineLevel="2" x14ac:dyDescent="0.25">
      <c r="A122" s="25"/>
      <c r="B122" s="11" t="str">
        <f>CONCATENATE("          ", "6244", " - ", "SAFETY SUPPLY EXPENSE")</f>
        <v xml:space="preserve">          6244 - SAFETY SUPPLY EXPENSE</v>
      </c>
      <c r="C122" s="11"/>
      <c r="D122" s="6"/>
      <c r="E122" s="2"/>
      <c r="F122" s="7">
        <f t="shared" si="77"/>
        <v>0</v>
      </c>
      <c r="G122" s="2"/>
      <c r="H122" s="6">
        <v>110</v>
      </c>
      <c r="I122" s="2"/>
      <c r="J122" s="7">
        <f t="shared" si="78"/>
        <v>9.280765950050917E-5</v>
      </c>
      <c r="K122" s="2"/>
      <c r="L122" s="6">
        <f t="shared" si="79"/>
        <v>-110</v>
      </c>
      <c r="M122" s="2"/>
      <c r="N122" s="7">
        <f t="shared" si="80"/>
        <v>-1</v>
      </c>
      <c r="O122" s="11"/>
      <c r="P122" s="6"/>
      <c r="Q122" s="2"/>
      <c r="R122" s="7">
        <f t="shared" si="81"/>
        <v>0</v>
      </c>
      <c r="S122" s="2"/>
      <c r="T122" s="6">
        <v>910</v>
      </c>
      <c r="U122" s="2"/>
      <c r="V122" s="7">
        <f t="shared" si="82"/>
        <v>1.2836173386064897E-4</v>
      </c>
      <c r="W122" s="2"/>
      <c r="X122" s="6">
        <f t="shared" si="83"/>
        <v>-910</v>
      </c>
      <c r="Y122" s="2"/>
      <c r="Z122" s="7">
        <f t="shared" si="84"/>
        <v>-1</v>
      </c>
    </row>
    <row r="123" spans="1:26" s="24" customFormat="1" hidden="1" outlineLevel="2" x14ac:dyDescent="0.25">
      <c r="A123" s="25"/>
      <c r="B123" s="11" t="str">
        <f>CONCATENATE("          ", "6245", " - ", "PRINTING")</f>
        <v xml:space="preserve">          6245 - PRINTING</v>
      </c>
      <c r="C123" s="11"/>
      <c r="D123" s="6"/>
      <c r="E123" s="2"/>
      <c r="F123" s="7">
        <f t="shared" si="77"/>
        <v>0</v>
      </c>
      <c r="G123" s="2"/>
      <c r="H123" s="6">
        <v>50</v>
      </c>
      <c r="I123" s="2"/>
      <c r="J123" s="7">
        <f t="shared" si="78"/>
        <v>4.2185299772958718E-5</v>
      </c>
      <c r="K123" s="2"/>
      <c r="L123" s="6">
        <f t="shared" si="79"/>
        <v>-50</v>
      </c>
      <c r="M123" s="2"/>
      <c r="N123" s="7">
        <f t="shared" si="80"/>
        <v>-1</v>
      </c>
      <c r="O123" s="11"/>
      <c r="P123" s="6">
        <v>613.02</v>
      </c>
      <c r="Q123" s="2"/>
      <c r="R123" s="7">
        <f t="shared" si="81"/>
        <v>9.4125624706206724E-5</v>
      </c>
      <c r="S123" s="2"/>
      <c r="T123" s="6">
        <v>2000</v>
      </c>
      <c r="U123" s="2"/>
      <c r="V123" s="7">
        <f t="shared" si="82"/>
        <v>2.8211370079263509E-4</v>
      </c>
      <c r="W123" s="2"/>
      <c r="X123" s="6">
        <f t="shared" si="83"/>
        <v>-1386.98</v>
      </c>
      <c r="Y123" s="2"/>
      <c r="Z123" s="7">
        <f t="shared" si="84"/>
        <v>-0.69349000000000005</v>
      </c>
    </row>
    <row r="124" spans="1:26" s="24" customFormat="1" hidden="1" outlineLevel="2" x14ac:dyDescent="0.25">
      <c r="A124" s="25"/>
      <c r="B124" s="11" t="str">
        <f>CONCATENATE("          ", "6246", " - ", "REPLACEMENTS")</f>
        <v xml:space="preserve">          6246 - REPLACEMENTS</v>
      </c>
      <c r="C124" s="11"/>
      <c r="D124" s="6">
        <v>25.87</v>
      </c>
      <c r="E124" s="2"/>
      <c r="F124" s="7">
        <f t="shared" si="77"/>
        <v>2.1609542727290853E-5</v>
      </c>
      <c r="G124" s="2"/>
      <c r="H124" s="6"/>
      <c r="I124" s="2"/>
      <c r="J124" s="7">
        <f t="shared" si="78"/>
        <v>0</v>
      </c>
      <c r="K124" s="2"/>
      <c r="L124" s="6">
        <f t="shared" si="79"/>
        <v>25.87</v>
      </c>
      <c r="M124" s="2"/>
      <c r="N124" s="7">
        <f t="shared" si="80"/>
        <v>0</v>
      </c>
      <c r="O124" s="11"/>
      <c r="P124" s="6">
        <v>25.87</v>
      </c>
      <c r="Q124" s="2"/>
      <c r="R124" s="7">
        <f t="shared" si="81"/>
        <v>3.972186733140139E-6</v>
      </c>
      <c r="S124" s="2"/>
      <c r="T124" s="6">
        <v>2400</v>
      </c>
      <c r="U124" s="2"/>
      <c r="V124" s="7">
        <f t="shared" si="82"/>
        <v>3.385364409511621E-4</v>
      </c>
      <c r="W124" s="2"/>
      <c r="X124" s="6">
        <f t="shared" si="83"/>
        <v>-2374.13</v>
      </c>
      <c r="Y124" s="2"/>
      <c r="Z124" s="7">
        <f t="shared" si="84"/>
        <v>-0.98922083333333333</v>
      </c>
    </row>
    <row r="125" spans="1:26" s="24" customFormat="1" hidden="1" outlineLevel="2" x14ac:dyDescent="0.25">
      <c r="A125" s="25"/>
      <c r="B125" s="11" t="str">
        <f>CONCATENATE("          ", "6247", " - ", "STORE SUPPLIES")</f>
        <v xml:space="preserve">          6247 - STORE SUPPLIES</v>
      </c>
      <c r="C125" s="11"/>
      <c r="D125" s="6">
        <v>8413.7000000000007</v>
      </c>
      <c r="E125" s="2"/>
      <c r="F125" s="7">
        <f t="shared" si="77"/>
        <v>7.0280714976655228E-3</v>
      </c>
      <c r="G125" s="2"/>
      <c r="H125" s="6">
        <v>4217.3</v>
      </c>
      <c r="I125" s="2"/>
      <c r="J125" s="7">
        <f t="shared" si="78"/>
        <v>3.5581612946499761E-3</v>
      </c>
      <c r="K125" s="2"/>
      <c r="L125" s="6">
        <f t="shared" si="79"/>
        <v>4196.4000000000005</v>
      </c>
      <c r="M125" s="2"/>
      <c r="N125" s="7">
        <f t="shared" si="80"/>
        <v>0.9950442226068813</v>
      </c>
      <c r="O125" s="11"/>
      <c r="P125" s="6">
        <v>41753.369999999995</v>
      </c>
      <c r="Q125" s="2"/>
      <c r="R125" s="7">
        <f t="shared" si="81"/>
        <v>6.4109850165400646E-3</v>
      </c>
      <c r="S125" s="2"/>
      <c r="T125" s="6">
        <v>27456.32</v>
      </c>
      <c r="U125" s="2"/>
      <c r="V125" s="7">
        <f t="shared" si="82"/>
        <v>3.872902022673421E-3</v>
      </c>
      <c r="W125" s="2"/>
      <c r="X125" s="6">
        <f t="shared" si="83"/>
        <v>14297.049999999996</v>
      </c>
      <c r="Y125" s="2"/>
      <c r="Z125" s="7">
        <f t="shared" si="84"/>
        <v>0.520719819699071</v>
      </c>
    </row>
    <row r="126" spans="1:26" s="24" customFormat="1" hidden="1" outlineLevel="2" x14ac:dyDescent="0.25">
      <c r="A126" s="25"/>
      <c r="B126" s="11" t="str">
        <f>CONCATENATE("          ", "6248", " - ", "UNIFORMS")</f>
        <v xml:space="preserve">          6248 - UNIFORMS</v>
      </c>
      <c r="C126" s="11"/>
      <c r="D126" s="6">
        <v>458.07</v>
      </c>
      <c r="E126" s="2"/>
      <c r="F126" s="7">
        <f t="shared" si="77"/>
        <v>3.8263174476575653E-4</v>
      </c>
      <c r="G126" s="2"/>
      <c r="H126" s="6">
        <v>250</v>
      </c>
      <c r="I126" s="2"/>
      <c r="J126" s="7">
        <f t="shared" si="78"/>
        <v>2.1092649886479358E-4</v>
      </c>
      <c r="K126" s="2"/>
      <c r="L126" s="6">
        <f t="shared" si="79"/>
        <v>208.07</v>
      </c>
      <c r="M126" s="2"/>
      <c r="N126" s="7">
        <f t="shared" si="80"/>
        <v>0.83228000000000002</v>
      </c>
      <c r="O126" s="11"/>
      <c r="P126" s="6">
        <v>4340.7700000000004</v>
      </c>
      <c r="Q126" s="2"/>
      <c r="R126" s="7">
        <f t="shared" si="81"/>
        <v>6.6649976828808363E-4</v>
      </c>
      <c r="S126" s="2"/>
      <c r="T126" s="6">
        <v>9900</v>
      </c>
      <c r="U126" s="2"/>
      <c r="V126" s="7">
        <f t="shared" si="82"/>
        <v>1.3964628189235436E-3</v>
      </c>
      <c r="W126" s="2"/>
      <c r="X126" s="6">
        <f t="shared" si="83"/>
        <v>-5559.23</v>
      </c>
      <c r="Y126" s="2"/>
      <c r="Z126" s="7">
        <f t="shared" si="84"/>
        <v>-0.56153838383838384</v>
      </c>
    </row>
    <row r="127" spans="1:26" s="27" customFormat="1" outlineLevel="1" collapsed="1" x14ac:dyDescent="0.25">
      <c r="A127" s="26"/>
      <c r="B127" s="13" t="str">
        <f>CONCATENATE("     ","Telephone/Data Lines                              ")</f>
        <v xml:space="preserve">     Telephone/Data Lines                              </v>
      </c>
      <c r="C127" s="13"/>
      <c r="D127" s="1">
        <f>SUM(OSRRefD22_22x_0)</f>
        <v>2005.01</v>
      </c>
      <c r="E127" s="1"/>
      <c r="F127" s="5">
        <f t="shared" ref="F127:F129" si="85">IF(D$12=0,0,D127/D$12)</f>
        <v>1.6748105629549839E-3</v>
      </c>
      <c r="G127" s="1"/>
      <c r="H127" s="1">
        <f>SUM(OSRRefH22_22x_0)</f>
        <v>2351</v>
      </c>
      <c r="I127" s="1"/>
      <c r="J127" s="5">
        <f t="shared" ref="J127:J129" si="86">IF(H$12=0,0,H127/H$12)</f>
        <v>1.9835527953245189E-3</v>
      </c>
      <c r="K127" s="1"/>
      <c r="L127" s="1">
        <f t="shared" ref="L127:L129" si="87">+D127-H127</f>
        <v>-345.99</v>
      </c>
      <c r="M127" s="1"/>
      <c r="N127" s="5">
        <f t="shared" ref="N127:N129" si="88">IF(H127=0,0,L127/H127)</f>
        <v>-0.14716716290940027</v>
      </c>
      <c r="O127" s="13"/>
      <c r="P127" s="1">
        <f>SUM(OSRRefP22_22x_0)</f>
        <v>17856.66</v>
      </c>
      <c r="Q127" s="1"/>
      <c r="R127" s="5">
        <f t="shared" ref="R127:R129" si="89">IF(P$12=0,0,P127/P$12)</f>
        <v>2.7417853865556317E-3</v>
      </c>
      <c r="S127" s="1"/>
      <c r="T127" s="1">
        <f>SUM(OSRRefT22_22x_0)</f>
        <v>17939</v>
      </c>
      <c r="U127" s="1"/>
      <c r="V127" s="5">
        <f t="shared" ref="V127:V129" si="90">IF(T$12=0,0,T127/T$12)</f>
        <v>2.5304188392595403E-3</v>
      </c>
      <c r="W127" s="1"/>
      <c r="X127" s="1">
        <f t="shared" ref="X127:X129" si="91">+P127-T127</f>
        <v>-82.340000000000146</v>
      </c>
      <c r="Y127" s="1"/>
      <c r="Z127" s="5">
        <f t="shared" ref="Z127:Z129" si="92">IF(T127=0,0,X127/T127)</f>
        <v>-4.5899994425553344E-3</v>
      </c>
    </row>
    <row r="128" spans="1:26" s="24" customFormat="1" hidden="1" outlineLevel="2" x14ac:dyDescent="0.25">
      <c r="A128" s="25"/>
      <c r="B128" s="11" t="str">
        <f>CONCATENATE("          ", "6303", " - ", "DATA PHONE LINES")</f>
        <v xml:space="preserve">          6303 - DATA PHONE LINES</v>
      </c>
      <c r="C128" s="11"/>
      <c r="D128" s="6"/>
      <c r="E128" s="2"/>
      <c r="F128" s="7">
        <f t="shared" si="85"/>
        <v>0</v>
      </c>
      <c r="G128" s="2"/>
      <c r="H128" s="6">
        <v>696</v>
      </c>
      <c r="I128" s="2"/>
      <c r="J128" s="7">
        <f t="shared" si="86"/>
        <v>5.8721937283958531E-4</v>
      </c>
      <c r="K128" s="2"/>
      <c r="L128" s="6">
        <f t="shared" si="87"/>
        <v>-696</v>
      </c>
      <c r="M128" s="2"/>
      <c r="N128" s="7">
        <f t="shared" si="88"/>
        <v>-1</v>
      </c>
      <c r="O128" s="11"/>
      <c r="P128" s="6"/>
      <c r="Q128" s="2"/>
      <c r="R128" s="7">
        <f t="shared" si="89"/>
        <v>0</v>
      </c>
      <c r="S128" s="2"/>
      <c r="T128" s="6">
        <v>4774</v>
      </c>
      <c r="U128" s="2"/>
      <c r="V128" s="7">
        <f t="shared" si="90"/>
        <v>6.7340540379201997E-4</v>
      </c>
      <c r="W128" s="2"/>
      <c r="X128" s="6">
        <f t="shared" si="91"/>
        <v>-4774</v>
      </c>
      <c r="Y128" s="2"/>
      <c r="Z128" s="7">
        <f t="shared" si="92"/>
        <v>-1</v>
      </c>
    </row>
    <row r="129" spans="1:26" s="24" customFormat="1" hidden="1" outlineLevel="2" x14ac:dyDescent="0.25">
      <c r="A129" s="25"/>
      <c r="B129" s="11" t="str">
        <f>CONCATENATE("          ", "6309", " - ", "TELEPHONE")</f>
        <v xml:space="preserve">          6309 - TELEPHONE</v>
      </c>
      <c r="C129" s="11"/>
      <c r="D129" s="6">
        <v>2005.01</v>
      </c>
      <c r="E129" s="2"/>
      <c r="F129" s="7">
        <f t="shared" si="85"/>
        <v>1.6748105629549839E-3</v>
      </c>
      <c r="G129" s="2"/>
      <c r="H129" s="6">
        <v>1655</v>
      </c>
      <c r="I129" s="2"/>
      <c r="J129" s="7">
        <f t="shared" si="86"/>
        <v>1.3963334224849336E-3</v>
      </c>
      <c r="K129" s="2"/>
      <c r="L129" s="6">
        <f t="shared" si="87"/>
        <v>350.01</v>
      </c>
      <c r="M129" s="2"/>
      <c r="N129" s="7">
        <f t="shared" si="88"/>
        <v>0.21148640483383685</v>
      </c>
      <c r="O129" s="11"/>
      <c r="P129" s="6">
        <v>17856.66</v>
      </c>
      <c r="Q129" s="2"/>
      <c r="R129" s="7">
        <f t="shared" si="89"/>
        <v>2.7417853865556317E-3</v>
      </c>
      <c r="S129" s="2"/>
      <c r="T129" s="6">
        <v>13165</v>
      </c>
      <c r="U129" s="2"/>
      <c r="V129" s="7">
        <f t="shared" si="90"/>
        <v>1.8570134354675204E-3</v>
      </c>
      <c r="W129" s="2"/>
      <c r="X129" s="6">
        <f t="shared" si="91"/>
        <v>4691.66</v>
      </c>
      <c r="Y129" s="2"/>
      <c r="Z129" s="7">
        <f t="shared" si="92"/>
        <v>0.35637371819217623</v>
      </c>
    </row>
    <row r="130" spans="1:26" s="27" customFormat="1" outlineLevel="1" collapsed="1" x14ac:dyDescent="0.25">
      <c r="A130" s="26"/>
      <c r="B130" s="13" t="str">
        <f>CONCATENATE("     ","Training                                          ")</f>
        <v xml:space="preserve">     Training                                          </v>
      </c>
      <c r="C130" s="13"/>
      <c r="D130" s="1">
        <f>SUM(OSRRefD22_23x_0)</f>
        <v>105.51</v>
      </c>
      <c r="E130" s="1"/>
      <c r="F130" s="5">
        <f t="shared" ref="F130:F135" si="93">IF(D$12=0,0,D130/D$12)</f>
        <v>8.8133855939561583E-5</v>
      </c>
      <c r="G130" s="1"/>
      <c r="H130" s="1">
        <f>SUM(OSRRefH22_23x_0)</f>
        <v>1000</v>
      </c>
      <c r="I130" s="1"/>
      <c r="J130" s="5">
        <f t="shared" ref="J130:J135" si="94">IF(H$12=0,0,H130/H$12)</f>
        <v>8.4370599545917433E-4</v>
      </c>
      <c r="K130" s="1"/>
      <c r="L130" s="1">
        <f t="shared" ref="L130:L135" si="95">+D130-H130</f>
        <v>-894.49</v>
      </c>
      <c r="M130" s="1"/>
      <c r="N130" s="5">
        <f t="shared" ref="N130:N135" si="96">IF(H130=0,0,L130/H130)</f>
        <v>-0.89449000000000001</v>
      </c>
      <c r="O130" s="13"/>
      <c r="P130" s="1">
        <f>SUM(OSRRefP22_23x_0)</f>
        <v>2013.01</v>
      </c>
      <c r="Q130" s="1"/>
      <c r="R130" s="5">
        <f t="shared" ref="R130:R135" si="97">IF(P$12=0,0,P130/P$12)</f>
        <v>3.0908587613755049E-4</v>
      </c>
      <c r="S130" s="1"/>
      <c r="T130" s="1">
        <f>SUM(OSRRefT22_23x_0)</f>
        <v>9880</v>
      </c>
      <c r="U130" s="1"/>
      <c r="V130" s="5">
        <f t="shared" ref="V130:V135" si="98">IF(T$12=0,0,T130/T$12)</f>
        <v>1.3936416819156172E-3</v>
      </c>
      <c r="W130" s="1"/>
      <c r="X130" s="1">
        <f t="shared" ref="X130:X135" si="99">+P130-T130</f>
        <v>-7866.99</v>
      </c>
      <c r="Y130" s="1"/>
      <c r="Z130" s="5">
        <f t="shared" ref="Z130:Z135" si="100">IF(T130=0,0,X130/T130)</f>
        <v>-0.79625404858299598</v>
      </c>
    </row>
    <row r="131" spans="1:26" s="24" customFormat="1" hidden="1" outlineLevel="2" x14ac:dyDescent="0.25">
      <c r="A131" s="25"/>
      <c r="B131" s="11" t="str">
        <f>CONCATENATE("          ", "6376", " - ", "TRAINING")</f>
        <v xml:space="preserve">          6376 - TRAINING</v>
      </c>
      <c r="C131" s="11"/>
      <c r="D131" s="6">
        <v>105.51</v>
      </c>
      <c r="E131" s="2"/>
      <c r="F131" s="7">
        <f t="shared" si="93"/>
        <v>8.8133855939561583E-5</v>
      </c>
      <c r="G131" s="2"/>
      <c r="H131" s="6">
        <v>1000</v>
      </c>
      <c r="I131" s="2"/>
      <c r="J131" s="7">
        <f t="shared" si="94"/>
        <v>8.4370599545917433E-4</v>
      </c>
      <c r="K131" s="2"/>
      <c r="L131" s="6">
        <f t="shared" si="95"/>
        <v>-894.49</v>
      </c>
      <c r="M131" s="2"/>
      <c r="N131" s="7">
        <f t="shared" si="96"/>
        <v>-0.89449000000000001</v>
      </c>
      <c r="O131" s="11"/>
      <c r="P131" s="6">
        <v>2013.01</v>
      </c>
      <c r="Q131" s="2"/>
      <c r="R131" s="7">
        <f t="shared" si="97"/>
        <v>3.0908587613755049E-4</v>
      </c>
      <c r="S131" s="2"/>
      <c r="T131" s="6">
        <v>9880</v>
      </c>
      <c r="U131" s="2"/>
      <c r="V131" s="7">
        <f t="shared" si="98"/>
        <v>1.3936416819156172E-3</v>
      </c>
      <c r="W131" s="2"/>
      <c r="X131" s="6">
        <f t="shared" si="99"/>
        <v>-7866.99</v>
      </c>
      <c r="Y131" s="2"/>
      <c r="Z131" s="7">
        <f t="shared" si="100"/>
        <v>-0.79625404858299598</v>
      </c>
    </row>
    <row r="132" spans="1:26" s="27" customFormat="1" outlineLevel="1" collapsed="1" x14ac:dyDescent="0.25">
      <c r="A132" s="26"/>
      <c r="B132" s="13" t="str">
        <f>CONCATENATE("     ","Travel                                            ")</f>
        <v xml:space="preserve">     Travel                                            </v>
      </c>
      <c r="C132" s="13"/>
      <c r="D132" s="1">
        <f>SUM(OSRRefD22_24x_0)</f>
        <v>145.49</v>
      </c>
      <c r="E132" s="1"/>
      <c r="F132" s="5">
        <f t="shared" si="93"/>
        <v>1.2152966259735393E-4</v>
      </c>
      <c r="G132" s="1"/>
      <c r="H132" s="1">
        <f>SUM(OSRRefH22_24x_0)</f>
        <v>2700</v>
      </c>
      <c r="I132" s="1"/>
      <c r="J132" s="5">
        <f t="shared" si="94"/>
        <v>2.2780061877397707E-3</v>
      </c>
      <c r="K132" s="1"/>
      <c r="L132" s="1">
        <f t="shared" si="95"/>
        <v>-2554.5100000000002</v>
      </c>
      <c r="M132" s="1"/>
      <c r="N132" s="5">
        <f t="shared" si="96"/>
        <v>-0.94611481481481485</v>
      </c>
      <c r="O132" s="13"/>
      <c r="P132" s="1">
        <f>SUM(OSRRefP22_24x_0)</f>
        <v>3214.8399999999997</v>
      </c>
      <c r="Q132" s="1"/>
      <c r="R132" s="5">
        <f t="shared" si="97"/>
        <v>4.9361982207840138E-4</v>
      </c>
      <c r="S132" s="1"/>
      <c r="T132" s="1">
        <f>SUM(OSRRefT22_24x_0)</f>
        <v>12400</v>
      </c>
      <c r="U132" s="1"/>
      <c r="V132" s="5">
        <f t="shared" si="98"/>
        <v>1.7491049449143376E-3</v>
      </c>
      <c r="W132" s="1"/>
      <c r="X132" s="1">
        <f t="shared" si="99"/>
        <v>-9185.16</v>
      </c>
      <c r="Y132" s="1"/>
      <c r="Z132" s="5">
        <f t="shared" si="100"/>
        <v>-0.74073870967741939</v>
      </c>
    </row>
    <row r="133" spans="1:26" s="24" customFormat="1" hidden="1" outlineLevel="2" x14ac:dyDescent="0.25">
      <c r="A133" s="25"/>
      <c r="B133" s="11" t="str">
        <f>CONCATENATE("          ", "6292", " - ", "TRAVEL/CONFERENCE")</f>
        <v xml:space="preserve">          6292 - TRAVEL/CONFERENCE</v>
      </c>
      <c r="C133" s="11"/>
      <c r="D133" s="6">
        <v>88.83</v>
      </c>
      <c r="E133" s="2"/>
      <c r="F133" s="7">
        <f t="shared" si="93"/>
        <v>7.4200838054319532E-5</v>
      </c>
      <c r="G133" s="2"/>
      <c r="H133" s="6">
        <v>2700</v>
      </c>
      <c r="I133" s="2"/>
      <c r="J133" s="7">
        <f t="shared" si="94"/>
        <v>2.2780061877397707E-3</v>
      </c>
      <c r="K133" s="2"/>
      <c r="L133" s="6">
        <f t="shared" si="95"/>
        <v>-2611.17</v>
      </c>
      <c r="M133" s="2"/>
      <c r="N133" s="7">
        <f t="shared" si="96"/>
        <v>-0.96710000000000007</v>
      </c>
      <c r="O133" s="11"/>
      <c r="P133" s="6">
        <v>2235.87</v>
      </c>
      <c r="Q133" s="2"/>
      <c r="R133" s="7">
        <f t="shared" si="97"/>
        <v>3.433047217250113E-4</v>
      </c>
      <c r="S133" s="2"/>
      <c r="T133" s="6">
        <v>12400</v>
      </c>
      <c r="U133" s="2"/>
      <c r="V133" s="7">
        <f t="shared" si="98"/>
        <v>1.7491049449143376E-3</v>
      </c>
      <c r="W133" s="2"/>
      <c r="X133" s="6">
        <f t="shared" si="99"/>
        <v>-10164.130000000001</v>
      </c>
      <c r="Y133" s="2"/>
      <c r="Z133" s="7">
        <f t="shared" si="100"/>
        <v>-0.81968790322580654</v>
      </c>
    </row>
    <row r="134" spans="1:26" s="24" customFormat="1" hidden="1" outlineLevel="2" x14ac:dyDescent="0.25">
      <c r="A134" s="25"/>
      <c r="B134" s="11" t="str">
        <f>CONCATENATE("          ", "6294", " - ", "TRAVEL OPERATIONAL")</f>
        <v xml:space="preserve">          6294 - TRAVEL OPERATIONAL</v>
      </c>
      <c r="C134" s="11"/>
      <c r="D134" s="6"/>
      <c r="E134" s="2"/>
      <c r="F134" s="7">
        <f t="shared" si="93"/>
        <v>0</v>
      </c>
      <c r="G134" s="2"/>
      <c r="H134" s="6"/>
      <c r="I134" s="2"/>
      <c r="J134" s="7">
        <f t="shared" si="94"/>
        <v>0</v>
      </c>
      <c r="K134" s="2"/>
      <c r="L134" s="6">
        <f t="shared" si="95"/>
        <v>0</v>
      </c>
      <c r="M134" s="2"/>
      <c r="N134" s="7">
        <f t="shared" si="96"/>
        <v>0</v>
      </c>
      <c r="O134" s="11"/>
      <c r="P134" s="6">
        <v>45.49</v>
      </c>
      <c r="Q134" s="2"/>
      <c r="R134" s="7">
        <f t="shared" si="97"/>
        <v>6.9847226320272484E-6</v>
      </c>
      <c r="S134" s="2"/>
      <c r="T134" s="6"/>
      <c r="U134" s="2"/>
      <c r="V134" s="7">
        <f t="shared" si="98"/>
        <v>0</v>
      </c>
      <c r="W134" s="2"/>
      <c r="X134" s="6">
        <f t="shared" si="99"/>
        <v>45.49</v>
      </c>
      <c r="Y134" s="2"/>
      <c r="Z134" s="7">
        <f t="shared" si="100"/>
        <v>0</v>
      </c>
    </row>
    <row r="135" spans="1:26" s="24" customFormat="1" hidden="1" outlineLevel="2" x14ac:dyDescent="0.25">
      <c r="A135" s="25"/>
      <c r="B135" s="11" t="str">
        <f>CONCATENATE("          ", "6298", " - ", "VEHICLE MILEAGE")</f>
        <v xml:space="preserve">          6298 - VEHICLE MILEAGE</v>
      </c>
      <c r="C135" s="11"/>
      <c r="D135" s="6">
        <v>56.66</v>
      </c>
      <c r="E135" s="2"/>
      <c r="F135" s="7">
        <f t="shared" si="93"/>
        <v>4.7328824543034387E-5</v>
      </c>
      <c r="G135" s="2"/>
      <c r="H135" s="6">
        <v>0</v>
      </c>
      <c r="I135" s="2"/>
      <c r="J135" s="7">
        <f t="shared" si="94"/>
        <v>0</v>
      </c>
      <c r="K135" s="2"/>
      <c r="L135" s="6">
        <f t="shared" si="95"/>
        <v>56.66</v>
      </c>
      <c r="M135" s="2"/>
      <c r="N135" s="7">
        <f t="shared" si="96"/>
        <v>0</v>
      </c>
      <c r="O135" s="11"/>
      <c r="P135" s="6">
        <v>933.48</v>
      </c>
      <c r="Q135" s="2"/>
      <c r="R135" s="7">
        <f t="shared" si="97"/>
        <v>1.4333037772136284E-4</v>
      </c>
      <c r="S135" s="2"/>
      <c r="T135" s="6">
        <v>0</v>
      </c>
      <c r="U135" s="2"/>
      <c r="V135" s="7">
        <f t="shared" si="98"/>
        <v>0</v>
      </c>
      <c r="W135" s="2"/>
      <c r="X135" s="6">
        <f t="shared" si="99"/>
        <v>933.48</v>
      </c>
      <c r="Y135" s="2"/>
      <c r="Z135" s="7">
        <f t="shared" si="100"/>
        <v>0</v>
      </c>
    </row>
    <row r="136" spans="1:26" s="27" customFormat="1" outlineLevel="1" collapsed="1" x14ac:dyDescent="0.25">
      <c r="A136" s="26"/>
      <c r="B136" s="13" t="str">
        <f>CONCATENATE("     ","Utilities                                         ")</f>
        <v xml:space="preserve">     Utilities                                         </v>
      </c>
      <c r="C136" s="13"/>
      <c r="D136" s="1">
        <f>SUM(OSRRefD22_25x_0)</f>
        <v>16709</v>
      </c>
      <c r="E136" s="1"/>
      <c r="F136" s="5">
        <f t="shared" ref="F136:F137" si="101">IF(D$12=0,0,D136/D$12)</f>
        <v>1.3957241957104865E-2</v>
      </c>
      <c r="G136" s="1"/>
      <c r="H136" s="1">
        <f>SUM(OSRRefH22_25x_0)</f>
        <v>18590</v>
      </c>
      <c r="I136" s="1"/>
      <c r="J136" s="5">
        <f t="shared" ref="J136:J137" si="102">IF(H$12=0,0,H136/H$12)</f>
        <v>1.5684494455586052E-2</v>
      </c>
      <c r="K136" s="1"/>
      <c r="L136" s="1">
        <f t="shared" ref="L136:L137" si="103">+D136-H136</f>
        <v>-1881</v>
      </c>
      <c r="M136" s="1"/>
      <c r="N136" s="5">
        <f t="shared" ref="N136:N137" si="104">IF(H136=0,0,L136/H136)</f>
        <v>-0.10118343195266272</v>
      </c>
      <c r="O136" s="13"/>
      <c r="P136" s="1">
        <f>SUM(OSRRefP22_25x_0)</f>
        <v>135734.12</v>
      </c>
      <c r="Q136" s="1"/>
      <c r="R136" s="5">
        <f t="shared" ref="R136:R137" si="105">IF(P$12=0,0,P136/P$12)</f>
        <v>2.0841177839136124E-2</v>
      </c>
      <c r="S136" s="1"/>
      <c r="T136" s="1">
        <f>SUM(OSRRefT22_25x_0)</f>
        <v>163628</v>
      </c>
      <c r="U136" s="1"/>
      <c r="V136" s="5">
        <f t="shared" ref="V136:V137" si="106">IF(T$12=0,0,T136/T$12)</f>
        <v>2.3080850316648645E-2</v>
      </c>
      <c r="W136" s="1"/>
      <c r="X136" s="1">
        <f t="shared" ref="X136:X137" si="107">+P136-T136</f>
        <v>-27893.880000000005</v>
      </c>
      <c r="Y136" s="1"/>
      <c r="Z136" s="5">
        <f t="shared" ref="Z136:Z137" si="108">IF(T136=0,0,X136/T136)</f>
        <v>-0.17047131297821891</v>
      </c>
    </row>
    <row r="137" spans="1:26" s="24" customFormat="1" hidden="1" outlineLevel="2" x14ac:dyDescent="0.25">
      <c r="A137" s="25"/>
      <c r="B137" s="11" t="str">
        <f>CONCATENATE("          ", "6274", " - ", "UTILITIES")</f>
        <v xml:space="preserve">          6274 - UTILITIES</v>
      </c>
      <c r="C137" s="11"/>
      <c r="D137" s="6">
        <v>16709</v>
      </c>
      <c r="E137" s="2"/>
      <c r="F137" s="7">
        <f t="shared" si="101"/>
        <v>1.3957241957104865E-2</v>
      </c>
      <c r="G137" s="2"/>
      <c r="H137" s="6">
        <v>18590</v>
      </c>
      <c r="I137" s="2"/>
      <c r="J137" s="7">
        <f t="shared" si="102"/>
        <v>1.5684494455586052E-2</v>
      </c>
      <c r="K137" s="2"/>
      <c r="L137" s="6">
        <f t="shared" si="103"/>
        <v>-1881</v>
      </c>
      <c r="M137" s="2"/>
      <c r="N137" s="7">
        <f t="shared" si="104"/>
        <v>-0.10118343195266272</v>
      </c>
      <c r="O137" s="11"/>
      <c r="P137" s="6">
        <v>135734.12</v>
      </c>
      <c r="Q137" s="2"/>
      <c r="R137" s="7">
        <f t="shared" si="105"/>
        <v>2.0841177839136124E-2</v>
      </c>
      <c r="S137" s="2"/>
      <c r="T137" s="6">
        <v>163628</v>
      </c>
      <c r="U137" s="2"/>
      <c r="V137" s="7">
        <f t="shared" si="106"/>
        <v>2.3080850316648645E-2</v>
      </c>
      <c r="W137" s="2"/>
      <c r="X137" s="6">
        <f t="shared" si="107"/>
        <v>-27893.880000000005</v>
      </c>
      <c r="Y137" s="2"/>
      <c r="Z137" s="7">
        <f t="shared" si="108"/>
        <v>-0.17047131297821891</v>
      </c>
    </row>
    <row r="138" spans="1:26" s="53" customFormat="1" x14ac:dyDescent="0.25">
      <c r="A138" s="36"/>
      <c r="B138" s="36"/>
      <c r="C138" s="36"/>
      <c r="D138" s="1"/>
      <c r="E138" s="1"/>
      <c r="F138" s="5"/>
      <c r="G138" s="1"/>
      <c r="H138" s="1"/>
      <c r="I138" s="1"/>
      <c r="J138" s="5"/>
      <c r="K138" s="1"/>
      <c r="L138" s="1"/>
      <c r="M138" s="1"/>
      <c r="N138" s="5"/>
      <c r="O138" s="36"/>
      <c r="P138" s="1"/>
      <c r="Q138" s="1"/>
      <c r="R138" s="5"/>
      <c r="S138" s="1"/>
      <c r="T138" s="1"/>
      <c r="U138" s="1"/>
      <c r="V138" s="5"/>
      <c r="W138" s="1"/>
      <c r="X138" s="1"/>
      <c r="Y138" s="1"/>
      <c r="Z138" s="5"/>
    </row>
    <row r="139" spans="1:26" s="23" customFormat="1" collapsed="1" x14ac:dyDescent="0.25">
      <c r="A139" s="10"/>
      <c r="B139" s="29" t="s">
        <v>0</v>
      </c>
      <c r="C139" s="10"/>
      <c r="D139" s="4">
        <f>SUM(OSRRefD25x_0)</f>
        <v>26842.02</v>
      </c>
      <c r="E139" s="4"/>
      <c r="F139" s="12">
        <f t="shared" ref="F139:F143" si="109">IF(D$12=0,0,D139/D$12)</f>
        <v>2.2421483497363573E-2</v>
      </c>
      <c r="G139" s="4"/>
      <c r="H139" s="4">
        <f>SUM(OSRRefH25x_0)</f>
        <v>31797</v>
      </c>
      <c r="I139" s="4"/>
      <c r="J139" s="12">
        <f t="shared" ref="J139:J143" si="110">IF(H$12=0,0,H139/H$12)</f>
        <v>2.6827319537615368E-2</v>
      </c>
      <c r="K139" s="4"/>
      <c r="L139" s="4">
        <f t="shared" ref="L139:L143" si="111">+D139-H139</f>
        <v>-4954.9799999999996</v>
      </c>
      <c r="M139" s="4"/>
      <c r="N139" s="12">
        <f t="shared" ref="N139:N143" si="112">IF(H139=0,0,L139/H139)</f>
        <v>-0.15583168223417301</v>
      </c>
      <c r="O139" s="10"/>
      <c r="P139" s="4">
        <f>SUM(OSRRefP25x_0)</f>
        <v>606786.93999999994</v>
      </c>
      <c r="Q139" s="4"/>
      <c r="R139" s="12">
        <f t="shared" ref="R139:R143" si="113">IF(P$12=0,0,P139/P$12)</f>
        <v>9.316857490957485E-2</v>
      </c>
      <c r="S139" s="4"/>
      <c r="T139" s="4">
        <f>SUM(OSRRefT25x_0)</f>
        <v>523521</v>
      </c>
      <c r="U139" s="4"/>
      <c r="V139" s="12">
        <f t="shared" ref="V139:V143" si="114">IF(T$12=0,0,T139/T$12)</f>
        <v>7.3846223376330553E-2</v>
      </c>
      <c r="W139" s="4"/>
      <c r="X139" s="4">
        <f t="shared" ref="X139:X143" si="115">+P139-T139</f>
        <v>83265.939999999944</v>
      </c>
      <c r="Y139" s="4"/>
      <c r="Z139" s="12">
        <f t="shared" ref="Z139:Z143" si="116">IF(T139=0,0,X139/T139)</f>
        <v>0.15904985664376395</v>
      </c>
    </row>
    <row r="140" spans="1:26" s="24" customFormat="1" hidden="1" outlineLevel="1" x14ac:dyDescent="0.25">
      <c r="A140" s="44"/>
      <c r="B140" s="11" t="str">
        <f>CONCATENATE("          ", "9150", " - ", "MISC. INCOME")</f>
        <v xml:space="preserve">          9150 - MISC. INCOME</v>
      </c>
      <c r="C140" s="11"/>
      <c r="D140" s="2">
        <f>--17750.66</f>
        <v>17750.66</v>
      </c>
      <c r="E140" s="2"/>
      <c r="F140" s="19">
        <f t="shared" si="109"/>
        <v>1.4827353912161292E-2</v>
      </c>
      <c r="G140" s="2"/>
      <c r="H140" s="2">
        <v>22996</v>
      </c>
      <c r="I140" s="2"/>
      <c r="J140" s="19">
        <f t="shared" si="110"/>
        <v>1.9401863071579172E-2</v>
      </c>
      <c r="K140" s="2"/>
      <c r="L140" s="2">
        <f t="shared" si="111"/>
        <v>-5245.34</v>
      </c>
      <c r="M140" s="2"/>
      <c r="N140" s="19">
        <f t="shared" si="112"/>
        <v>-0.22809793007479562</v>
      </c>
      <c r="O140" s="11"/>
      <c r="P140" s="2">
        <f>--247882.52</f>
        <v>247882.52</v>
      </c>
      <c r="Q140" s="2"/>
      <c r="R140" s="19">
        <f t="shared" si="113"/>
        <v>3.8060906738358914E-2</v>
      </c>
      <c r="S140" s="2"/>
      <c r="T140" s="2">
        <v>237977</v>
      </c>
      <c r="U140" s="2"/>
      <c r="V140" s="19">
        <f t="shared" si="114"/>
        <v>3.3568286086764459E-2</v>
      </c>
      <c r="W140" s="2"/>
      <c r="X140" s="2">
        <f t="shared" si="115"/>
        <v>9905.5199999999895</v>
      </c>
      <c r="Y140" s="2"/>
      <c r="Z140" s="19">
        <f t="shared" si="116"/>
        <v>4.1623854406098025E-2</v>
      </c>
    </row>
    <row r="141" spans="1:26" s="24" customFormat="1" hidden="1" outlineLevel="1" x14ac:dyDescent="0.25">
      <c r="A141" s="44"/>
      <c r="B141" s="11" t="str">
        <f>CONCATENATE("          ", "9151", " - ", "MISC. INCOME")</f>
        <v xml:space="preserve">          9151 - MISC. INCOME</v>
      </c>
      <c r="C141" s="11"/>
      <c r="D141" s="2">
        <f>0</f>
        <v>0</v>
      </c>
      <c r="E141" s="2"/>
      <c r="F141" s="19">
        <f t="shared" si="109"/>
        <v>0</v>
      </c>
      <c r="G141" s="2"/>
      <c r="H141" s="2">
        <v>8801</v>
      </c>
      <c r="I141" s="2"/>
      <c r="J141" s="19">
        <f t="shared" si="110"/>
        <v>7.4254564660361936E-3</v>
      </c>
      <c r="K141" s="2"/>
      <c r="L141" s="2">
        <f t="shared" si="111"/>
        <v>-8801</v>
      </c>
      <c r="M141" s="2"/>
      <c r="N141" s="19">
        <f t="shared" si="112"/>
        <v>-1</v>
      </c>
      <c r="O141" s="11"/>
      <c r="P141" s="2">
        <f>0</f>
        <v>0</v>
      </c>
      <c r="Q141" s="2"/>
      <c r="R141" s="19">
        <f t="shared" si="113"/>
        <v>0</v>
      </c>
      <c r="S141" s="2"/>
      <c r="T141" s="2">
        <v>285544</v>
      </c>
      <c r="U141" s="2"/>
      <c r="V141" s="19">
        <f t="shared" si="114"/>
        <v>4.0277937289566093E-2</v>
      </c>
      <c r="W141" s="2"/>
      <c r="X141" s="2">
        <f t="shared" si="115"/>
        <v>-285544</v>
      </c>
      <c r="Y141" s="2"/>
      <c r="Z141" s="19">
        <f t="shared" si="116"/>
        <v>-1</v>
      </c>
    </row>
    <row r="142" spans="1:26" s="24" customFormat="1" hidden="1" outlineLevel="1" x14ac:dyDescent="0.25">
      <c r="A142" s="44"/>
      <c r="B142" s="11" t="str">
        <f>CONCATENATE("          ", "9160", " - ", "MISC. INCOME")</f>
        <v xml:space="preserve">          9160 - MISC. INCOME</v>
      </c>
      <c r="C142" s="11"/>
      <c r="D142" s="2">
        <f>--7692.32</f>
        <v>7692.32</v>
      </c>
      <c r="E142" s="2"/>
      <c r="F142" s="19">
        <f t="shared" si="109"/>
        <v>6.4254935335134895E-3</v>
      </c>
      <c r="G142" s="2"/>
      <c r="H142" s="2"/>
      <c r="I142" s="2"/>
      <c r="J142" s="19">
        <f t="shared" si="110"/>
        <v>0</v>
      </c>
      <c r="K142" s="2"/>
      <c r="L142" s="2">
        <f t="shared" si="111"/>
        <v>7692.32</v>
      </c>
      <c r="M142" s="2"/>
      <c r="N142" s="19">
        <f t="shared" si="112"/>
        <v>0</v>
      </c>
      <c r="O142" s="11"/>
      <c r="P142" s="2">
        <f>--130089.32</f>
        <v>130089.32</v>
      </c>
      <c r="Q142" s="2"/>
      <c r="R142" s="19">
        <f t="shared" si="113"/>
        <v>1.9974451914465487E-2</v>
      </c>
      <c r="S142" s="2"/>
      <c r="T142" s="2"/>
      <c r="U142" s="2"/>
      <c r="V142" s="19">
        <f t="shared" si="114"/>
        <v>0</v>
      </c>
      <c r="W142" s="2"/>
      <c r="X142" s="2">
        <f t="shared" si="115"/>
        <v>130089.32</v>
      </c>
      <c r="Y142" s="2"/>
      <c r="Z142" s="19">
        <f t="shared" si="116"/>
        <v>0</v>
      </c>
    </row>
    <row r="143" spans="1:26" s="24" customFormat="1" hidden="1" outlineLevel="1" x14ac:dyDescent="0.25">
      <c r="A143" s="44"/>
      <c r="B143" s="11" t="str">
        <f>CONCATENATE("          ", "9165", " - ", "OTHER INCOME")</f>
        <v xml:space="preserve">          9165 - OTHER INCOME</v>
      </c>
      <c r="C143" s="11"/>
      <c r="D143" s="2">
        <f>--1399.04</f>
        <v>1399.04</v>
      </c>
      <c r="E143" s="2"/>
      <c r="F143" s="19">
        <f t="shared" si="109"/>
        <v>1.1686360516887898E-3</v>
      </c>
      <c r="G143" s="2"/>
      <c r="H143" s="2"/>
      <c r="I143" s="2"/>
      <c r="J143" s="19">
        <f t="shared" si="110"/>
        <v>0</v>
      </c>
      <c r="K143" s="2"/>
      <c r="L143" s="2">
        <f t="shared" si="111"/>
        <v>1399.04</v>
      </c>
      <c r="M143" s="2"/>
      <c r="N143" s="19">
        <f t="shared" si="112"/>
        <v>0</v>
      </c>
      <c r="O143" s="11"/>
      <c r="P143" s="2">
        <f>--228815.1</f>
        <v>228815.1</v>
      </c>
      <c r="Q143" s="2"/>
      <c r="R143" s="19">
        <f t="shared" si="113"/>
        <v>3.5133216256750449E-2</v>
      </c>
      <c r="S143" s="2"/>
      <c r="T143" s="2"/>
      <c r="U143" s="2"/>
      <c r="V143" s="19">
        <f t="shared" si="114"/>
        <v>0</v>
      </c>
      <c r="W143" s="2"/>
      <c r="X143" s="2">
        <f t="shared" si="115"/>
        <v>228815.1</v>
      </c>
      <c r="Y143" s="2"/>
      <c r="Z143" s="19">
        <f t="shared" si="116"/>
        <v>0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10"/>
      <c r="B145" s="28" t="s">
        <v>3</v>
      </c>
      <c r="C145" s="28"/>
      <c r="D145" s="21">
        <f>+D37-D39+D139</f>
        <v>100243.03000000025</v>
      </c>
      <c r="E145" s="14"/>
      <c r="F145" s="22">
        <f>IF(D$12=0,0,D145/D$12)</f>
        <v>8.3734288360962666E-2</v>
      </c>
      <c r="G145" s="14"/>
      <c r="H145" s="21">
        <f>+H37-H39+H139</f>
        <v>135151.11705894885</v>
      </c>
      <c r="I145" s="14"/>
      <c r="J145" s="22">
        <f>IF(H$12=0,0,H145/H$12)</f>
        <v>0.11402780775563984</v>
      </c>
      <c r="K145" s="15"/>
      <c r="L145" s="21">
        <f>+D145-H145</f>
        <v>-34908.0870589486</v>
      </c>
      <c r="M145" s="15"/>
      <c r="N145" s="22">
        <f>IF(H145=0,0,L145/H145)</f>
        <v>-0.25828929733316774</v>
      </c>
      <c r="O145" s="29"/>
      <c r="P145" s="21">
        <f>+P37-P39+P139</f>
        <v>-150694.98000000138</v>
      </c>
      <c r="Q145" s="14"/>
      <c r="R145" s="22">
        <f>IF(P$12=0,0,P145/P$12)</f>
        <v>-2.3138330123959182E-2</v>
      </c>
      <c r="S145" s="14"/>
      <c r="T145" s="21">
        <f>+T37-T39+T139</f>
        <v>452606.34511129279</v>
      </c>
      <c r="U145" s="14"/>
      <c r="V145" s="22">
        <f>IF(T$12=0,0,T145/T$12)</f>
        <v>6.3843225510787693E-2</v>
      </c>
      <c r="W145" s="15"/>
      <c r="X145" s="21">
        <f>+P145-T145</f>
        <v>-603301.32511129417</v>
      </c>
      <c r="Y145" s="15"/>
      <c r="Z145" s="22">
        <f>IF(T145=0,0,X145/T145)</f>
        <v>-1.3329493314172309</v>
      </c>
    </row>
    <row r="146" spans="1:26" x14ac:dyDescent="0.25">
      <c r="A146" s="9"/>
      <c r="B146" s="10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25">
      <c r="A147" s="52"/>
      <c r="B147" s="10" t="s">
        <v>14</v>
      </c>
      <c r="C147" s="10"/>
      <c r="D147" s="4">
        <v>109436.81</v>
      </c>
      <c r="E147" s="4"/>
      <c r="F147" s="12">
        <f>IF(D$12=0,0,D147/D$12)</f>
        <v>9.1413970685481669E-2</v>
      </c>
      <c r="G147" s="4"/>
      <c r="H147" s="4">
        <v>125561.99999999999</v>
      </c>
      <c r="I147" s="4"/>
      <c r="J147" s="12">
        <f>IF(H$12=0,0,H147/H$12)</f>
        <v>0.10593741220184484</v>
      </c>
      <c r="K147" s="4"/>
      <c r="L147" s="4">
        <f>+D147-H147</f>
        <v>-16125.189999999988</v>
      </c>
      <c r="M147" s="4"/>
      <c r="N147" s="12">
        <f>IF(H147=0,0,L147/H147)</f>
        <v>-0.12842412513340015</v>
      </c>
      <c r="O147" s="10"/>
      <c r="P147" s="4">
        <v>663781.64</v>
      </c>
      <c r="Q147" s="4"/>
      <c r="R147" s="12">
        <f>IF(P$12=0,0,P147/P$12)</f>
        <v>0.10191977673405503</v>
      </c>
      <c r="S147" s="4"/>
      <c r="T147" s="4">
        <v>852498</v>
      </c>
      <c r="U147" s="4"/>
      <c r="V147" s="12">
        <f>IF(T$12=0,0,T147/T$12)</f>
        <v>0.12025068284915991</v>
      </c>
      <c r="W147" s="4"/>
      <c r="X147" s="4">
        <f>+P147-T147</f>
        <v>-188716.36</v>
      </c>
      <c r="Y147" s="4"/>
      <c r="Z147" s="12">
        <f>IF(T147=0,0,X147/T147)</f>
        <v>-0.22136868356289396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8" t="s">
        <v>4</v>
      </c>
      <c r="C149" s="28"/>
      <c r="D149" s="31">
        <f>+D145-D147</f>
        <v>-9193.7799999997515</v>
      </c>
      <c r="E149" s="14"/>
      <c r="F149" s="32">
        <f>IF(D$12=0,0,D149/D$12)</f>
        <v>-7.6796823245190073E-3</v>
      </c>
      <c r="G149" s="14"/>
      <c r="H149" s="31">
        <f>+H145-H147</f>
        <v>9589.1170589488611</v>
      </c>
      <c r="I149" s="14"/>
      <c r="J149" s="32">
        <f>IF(H$12=0,0,H149/H$12)</f>
        <v>8.0903955537949997E-3</v>
      </c>
      <c r="K149" s="15"/>
      <c r="L149" s="31">
        <f>D149-H149</f>
        <v>-18782.897058948613</v>
      </c>
      <c r="M149" s="15"/>
      <c r="N149" s="32">
        <f>IF(H149=0,0,L149/H149)</f>
        <v>-1.9587723190238699</v>
      </c>
      <c r="O149" s="29"/>
      <c r="P149" s="31">
        <f>+P145-P147</f>
        <v>-814476.62000000139</v>
      </c>
      <c r="Q149" s="14"/>
      <c r="R149" s="32">
        <f>IF(P$12=0,0,P149/P$12)</f>
        <v>-0.12505810685801422</v>
      </c>
      <c r="S149" s="14"/>
      <c r="T149" s="31">
        <f>+T145-T147</f>
        <v>-399891.65488870721</v>
      </c>
      <c r="U149" s="14"/>
      <c r="V149" s="32">
        <f>IF(T$12=0,0,T149/T$12)</f>
        <v>-5.6407457338372213E-2</v>
      </c>
      <c r="W149" s="15"/>
      <c r="X149" s="31">
        <f>P149-T149</f>
        <v>-414584.96511129418</v>
      </c>
      <c r="Y149" s="15"/>
      <c r="Z149" s="32">
        <f>IF(T149=0,0,X149/T149)</f>
        <v>1.0367432279292657</v>
      </c>
    </row>
    <row r="150" spans="1:26" ht="15.75" thickTop="1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x14ac:dyDescent="0.25">
      <c r="A151" s="9"/>
      <c r="B151" s="9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8" t="s">
        <v>5</v>
      </c>
      <c r="C152" s="28"/>
      <c r="D152" s="33">
        <f>SUM(D149:D151)</f>
        <v>-9193.7799999997515</v>
      </c>
      <c r="E152" s="14"/>
      <c r="F152" s="30">
        <f>IF(D$12=0,0,D152/D$12)</f>
        <v>-7.6796823245190073E-3</v>
      </c>
      <c r="G152" s="14"/>
      <c r="H152" s="33">
        <f>SUM(H149:H151)</f>
        <v>9589.1170589488611</v>
      </c>
      <c r="I152" s="14"/>
      <c r="J152" s="30">
        <f>IF(H$12=0,0,H152/H$12)</f>
        <v>8.0903955537949997E-3</v>
      </c>
      <c r="K152" s="15"/>
      <c r="L152" s="33">
        <f>+D152-H152</f>
        <v>-18782.897058948613</v>
      </c>
      <c r="M152" s="15"/>
      <c r="N152" s="30">
        <f>IF(H152=0,0,L152/H152)</f>
        <v>-1.9587723190238699</v>
      </c>
      <c r="O152" s="29"/>
      <c r="P152" s="33">
        <f>SUM(P149:P151)</f>
        <v>-814476.62000000139</v>
      </c>
      <c r="Q152" s="14"/>
      <c r="R152" s="30">
        <f>IF(P$12=0,0,P152/P$12)</f>
        <v>-0.12505810685801422</v>
      </c>
      <c r="S152" s="14"/>
      <c r="T152" s="33">
        <f>SUM(T149:T151)</f>
        <v>-399891.65488870721</v>
      </c>
      <c r="U152" s="14"/>
      <c r="V152" s="30">
        <f>IF(T$12=0,0,T152/T$12)</f>
        <v>-5.6407457338372213E-2</v>
      </c>
      <c r="W152" s="15"/>
      <c r="X152" s="33">
        <f>+P152-T152</f>
        <v>-414584.96511129418</v>
      </c>
      <c r="Y152" s="15"/>
      <c r="Z152" s="30">
        <f>IF(T152=0,0,X152/T152)</f>
        <v>1.0367432279292657</v>
      </c>
    </row>
    <row r="153" spans="1:26" ht="15.75" thickTop="1" x14ac:dyDescent="0.25">
      <c r="A153" s="9"/>
      <c r="C153" s="9"/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  <row r="154" spans="1:26" x14ac:dyDescent="0.25">
      <c r="A154" s="9"/>
      <c r="B154" s="59">
        <v>43908.494224803238</v>
      </c>
      <c r="D154" s="17"/>
      <c r="E154" s="17"/>
      <c r="G154" s="17"/>
      <c r="H154" s="17"/>
      <c r="I154" s="17"/>
      <c r="J154" s="43"/>
      <c r="K154" s="17"/>
      <c r="L154" s="17"/>
      <c r="M154" s="17"/>
      <c r="P154" s="17"/>
      <c r="Q154" s="17"/>
      <c r="R154" s="43"/>
      <c r="S154" s="17"/>
      <c r="T154" s="17"/>
      <c r="U154" s="17"/>
      <c r="V154" s="43"/>
      <c r="W154" s="17"/>
      <c r="X154" s="17"/>
    </row>
    <row r="155" spans="1:26" x14ac:dyDescent="0.25">
      <c r="A155" s="9"/>
      <c r="B155" s="63" t="s">
        <v>314</v>
      </c>
      <c r="D155" s="17"/>
      <c r="E155" s="17"/>
      <c r="G155" s="17"/>
      <c r="H155" s="17"/>
      <c r="I155" s="17"/>
      <c r="J155" s="43"/>
      <c r="K155" s="17"/>
      <c r="L155" s="17"/>
      <c r="M155" s="17"/>
      <c r="P155" s="17"/>
      <c r="Q155" s="17"/>
      <c r="R155" s="43"/>
      <c r="S155" s="17"/>
      <c r="T155" s="17"/>
      <c r="U155" s="17"/>
      <c r="V155" s="43"/>
      <c r="W155" s="17"/>
      <c r="X155" s="17"/>
    </row>
    <row r="156" spans="1:26" x14ac:dyDescent="0.25">
      <c r="A156" s="9"/>
      <c r="B156" s="57"/>
      <c r="D156" s="17"/>
      <c r="E156" s="17"/>
      <c r="G156" s="17"/>
      <c r="H156" s="17"/>
      <c r="I156" s="17"/>
      <c r="J156" s="43"/>
      <c r="K156" s="17"/>
      <c r="L156" s="17"/>
      <c r="M156" s="17"/>
      <c r="P156" s="17"/>
      <c r="Q156" s="17"/>
      <c r="R156" s="43"/>
      <c r="S156" s="17"/>
      <c r="T156" s="17"/>
      <c r="U156" s="17"/>
      <c r="V156" s="43"/>
      <c r="W156" s="17"/>
      <c r="X156" s="17"/>
    </row>
    <row r="157" spans="1:26" x14ac:dyDescent="0.25">
      <c r="D157" s="17"/>
      <c r="E157" s="17"/>
      <c r="G157" s="17"/>
      <c r="H157" s="17"/>
      <c r="I157" s="17"/>
      <c r="J157" s="43"/>
      <c r="K157" s="17"/>
      <c r="L157" s="17"/>
      <c r="M157" s="17"/>
      <c r="P157" s="17"/>
      <c r="Q157" s="17"/>
      <c r="R157" s="43"/>
      <c r="S157" s="17"/>
      <c r="T157" s="17"/>
      <c r="U157" s="17"/>
      <c r="V157" s="43"/>
      <c r="W157" s="17"/>
      <c r="X157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803079.99000000011</v>
      </c>
      <c r="E12" s="4"/>
      <c r="F12" s="12"/>
      <c r="G12" s="4"/>
      <c r="H12" s="4">
        <f>SUM(OSRRefH13x_0)</f>
        <v>814388</v>
      </c>
      <c r="I12" s="4"/>
      <c r="J12" s="12"/>
      <c r="K12" s="4"/>
      <c r="L12" s="4">
        <f t="shared" ref="L12:L24" si="0">+D12-H12</f>
        <v>-11308.009999999893</v>
      </c>
      <c r="M12" s="4"/>
      <c r="N12" s="12">
        <f t="shared" ref="N12:N24" si="1">IF(H12=0,0,L12/H12)</f>
        <v>-1.3885285637803961E-2</v>
      </c>
      <c r="O12" s="10"/>
      <c r="P12" s="4">
        <f>SUM(OSRRefP13x_0)</f>
        <v>4310725.4499999993</v>
      </c>
      <c r="Q12" s="4"/>
      <c r="R12" s="12"/>
      <c r="S12" s="4"/>
      <c r="T12" s="4">
        <f>SUM(OSRRefT13x_0)</f>
        <v>4911922</v>
      </c>
      <c r="U12" s="4"/>
      <c r="V12" s="12"/>
      <c r="W12" s="4"/>
      <c r="X12" s="4">
        <f t="shared" ref="X12:X24" si="2">+P12-T12</f>
        <v>-601196.55000000075</v>
      </c>
      <c r="Y12" s="4"/>
      <c r="Z12" s="12">
        <f t="shared" ref="Z12:Z24" si="3">IF(T12=0,0,X12/T12)</f>
        <v>-0.12239537802106808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364838</v>
      </c>
      <c r="I13" s="2"/>
      <c r="J13" s="19"/>
      <c r="K13" s="2"/>
      <c r="L13" s="2">
        <f t="shared" si="0"/>
        <v>-364838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2381587</v>
      </c>
      <c r="U13" s="2"/>
      <c r="V13" s="19"/>
      <c r="W13" s="2"/>
      <c r="X13" s="2">
        <f t="shared" si="2"/>
        <v>-2381587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--68008.29</f>
        <v>68008.289999999994</v>
      </c>
      <c r="E14" s="2"/>
      <c r="F14" s="19"/>
      <c r="G14" s="2"/>
      <c r="H14" s="2"/>
      <c r="I14" s="2"/>
      <c r="J14" s="19"/>
      <c r="K14" s="2"/>
      <c r="L14" s="2">
        <f t="shared" si="0"/>
        <v>68008.289999999994</v>
      </c>
      <c r="M14" s="2"/>
      <c r="N14" s="19">
        <f t="shared" si="1"/>
        <v>0</v>
      </c>
      <c r="O14" s="11"/>
      <c r="P14" s="2">
        <f>--426270.45</f>
        <v>426270.45</v>
      </c>
      <c r="Q14" s="2"/>
      <c r="R14" s="19"/>
      <c r="S14" s="2"/>
      <c r="T14" s="2"/>
      <c r="U14" s="2"/>
      <c r="V14" s="19"/>
      <c r="W14" s="2"/>
      <c r="X14" s="2">
        <f t="shared" si="2"/>
        <v>426270.45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--131149.86</f>
        <v>131149.85999999999</v>
      </c>
      <c r="E15" s="2"/>
      <c r="F15" s="19"/>
      <c r="G15" s="2"/>
      <c r="H15" s="2"/>
      <c r="I15" s="2"/>
      <c r="J15" s="19"/>
      <c r="K15" s="2"/>
      <c r="L15" s="2">
        <f t="shared" si="0"/>
        <v>131149.85999999999</v>
      </c>
      <c r="M15" s="2"/>
      <c r="N15" s="19">
        <f t="shared" si="1"/>
        <v>0</v>
      </c>
      <c r="O15" s="11"/>
      <c r="P15" s="2">
        <f>--788152.3</f>
        <v>788152.3</v>
      </c>
      <c r="Q15" s="2"/>
      <c r="R15" s="19"/>
      <c r="S15" s="2"/>
      <c r="T15" s="2"/>
      <c r="U15" s="2"/>
      <c r="V15" s="19"/>
      <c r="W15" s="2"/>
      <c r="X15" s="2">
        <f t="shared" si="2"/>
        <v>788152.3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--126446.77</f>
        <v>126446.77</v>
      </c>
      <c r="E16" s="2"/>
      <c r="F16" s="19"/>
      <c r="G16" s="2"/>
      <c r="H16" s="2"/>
      <c r="I16" s="2"/>
      <c r="J16" s="19"/>
      <c r="K16" s="2"/>
      <c r="L16" s="2">
        <f t="shared" si="0"/>
        <v>126446.77</v>
      </c>
      <c r="M16" s="2"/>
      <c r="N16" s="19">
        <f t="shared" si="1"/>
        <v>0</v>
      </c>
      <c r="O16" s="11"/>
      <c r="P16" s="2">
        <f>--222320</f>
        <v>222320</v>
      </c>
      <c r="Q16" s="2"/>
      <c r="R16" s="19"/>
      <c r="S16" s="2"/>
      <c r="T16" s="2"/>
      <c r="U16" s="2"/>
      <c r="V16" s="19"/>
      <c r="W16" s="2"/>
      <c r="X16" s="2">
        <f t="shared" si="2"/>
        <v>222320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--54029.26</f>
        <v>54029.26</v>
      </c>
      <c r="E17" s="2"/>
      <c r="F17" s="19"/>
      <c r="G17" s="2"/>
      <c r="H17" s="2"/>
      <c r="I17" s="2"/>
      <c r="J17" s="19"/>
      <c r="K17" s="2"/>
      <c r="L17" s="2">
        <f t="shared" si="0"/>
        <v>54029.26</v>
      </c>
      <c r="M17" s="2"/>
      <c r="N17" s="19">
        <f t="shared" si="1"/>
        <v>0</v>
      </c>
      <c r="O17" s="11"/>
      <c r="P17" s="2">
        <f>--357243.21</f>
        <v>357243.21</v>
      </c>
      <c r="Q17" s="2"/>
      <c r="R17" s="19"/>
      <c r="S17" s="2"/>
      <c r="T17" s="2"/>
      <c r="U17" s="2"/>
      <c r="V17" s="19"/>
      <c r="W17" s="2"/>
      <c r="X17" s="2">
        <f t="shared" si="2"/>
        <v>357243.21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--15335.14</f>
        <v>15335.14</v>
      </c>
      <c r="E18" s="2"/>
      <c r="F18" s="19"/>
      <c r="G18" s="2"/>
      <c r="H18" s="2"/>
      <c r="I18" s="2"/>
      <c r="J18" s="19"/>
      <c r="K18" s="2"/>
      <c r="L18" s="2">
        <f t="shared" si="0"/>
        <v>15335.14</v>
      </c>
      <c r="M18" s="2"/>
      <c r="N18" s="19">
        <f t="shared" si="1"/>
        <v>0</v>
      </c>
      <c r="O18" s="11"/>
      <c r="P18" s="2">
        <f>--110971.24</f>
        <v>110971.24</v>
      </c>
      <c r="Q18" s="2"/>
      <c r="R18" s="19"/>
      <c r="S18" s="2"/>
      <c r="T18" s="2"/>
      <c r="U18" s="2"/>
      <c r="V18" s="19"/>
      <c r="W18" s="2"/>
      <c r="X18" s="2">
        <f t="shared" si="2"/>
        <v>110971.24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449550</v>
      </c>
      <c r="I19" s="2"/>
      <c r="J19" s="19"/>
      <c r="K19" s="2"/>
      <c r="L19" s="2">
        <f t="shared" si="0"/>
        <v>-449550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2530335</v>
      </c>
      <c r="U19" s="2"/>
      <c r="V19" s="19"/>
      <c r="W19" s="2"/>
      <c r="X19" s="2">
        <f t="shared" si="2"/>
        <v>-2530335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--221459.23</f>
        <v>221459.23</v>
      </c>
      <c r="E20" s="2"/>
      <c r="F20" s="19"/>
      <c r="G20" s="2"/>
      <c r="H20" s="2"/>
      <c r="I20" s="2"/>
      <c r="J20" s="19"/>
      <c r="K20" s="2"/>
      <c r="L20" s="2">
        <f t="shared" si="0"/>
        <v>221459.23</v>
      </c>
      <c r="M20" s="2"/>
      <c r="N20" s="19">
        <f t="shared" si="1"/>
        <v>0</v>
      </c>
      <c r="O20" s="11"/>
      <c r="P20" s="2">
        <f>--1273390.1</f>
        <v>1273390.1000000001</v>
      </c>
      <c r="Q20" s="2"/>
      <c r="R20" s="19"/>
      <c r="S20" s="2"/>
      <c r="T20" s="2"/>
      <c r="U20" s="2"/>
      <c r="V20" s="19"/>
      <c r="W20" s="2"/>
      <c r="X20" s="2">
        <f t="shared" si="2"/>
        <v>1273390.1000000001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--8298.17</f>
        <v>8298.17</v>
      </c>
      <c r="E21" s="2"/>
      <c r="F21" s="19"/>
      <c r="G21" s="2"/>
      <c r="H21" s="2"/>
      <c r="I21" s="2"/>
      <c r="J21" s="19"/>
      <c r="K21" s="2"/>
      <c r="L21" s="2">
        <f t="shared" si="0"/>
        <v>8298.17</v>
      </c>
      <c r="M21" s="2"/>
      <c r="N21" s="19">
        <f t="shared" si="1"/>
        <v>0</v>
      </c>
      <c r="O21" s="11"/>
      <c r="P21" s="2">
        <f>--47727.07</f>
        <v>47727.07</v>
      </c>
      <c r="Q21" s="2"/>
      <c r="R21" s="19"/>
      <c r="S21" s="2"/>
      <c r="T21" s="2"/>
      <c r="U21" s="2"/>
      <c r="V21" s="19"/>
      <c r="W21" s="2"/>
      <c r="X21" s="2">
        <f t="shared" si="2"/>
        <v>47727.07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-194.29</f>
        <v>-194.29</v>
      </c>
      <c r="E22" s="2"/>
      <c r="F22" s="19"/>
      <c r="G22" s="2"/>
      <c r="H22" s="2"/>
      <c r="I22" s="2"/>
      <c r="J22" s="19"/>
      <c r="K22" s="2"/>
      <c r="L22" s="2">
        <f t="shared" si="0"/>
        <v>-194.29</v>
      </c>
      <c r="M22" s="2"/>
      <c r="N22" s="19">
        <f t="shared" si="1"/>
        <v>0</v>
      </c>
      <c r="O22" s="11"/>
      <c r="P22" s="2">
        <f>-194.29</f>
        <v>-194.29</v>
      </c>
      <c r="Q22" s="2"/>
      <c r="R22" s="19"/>
      <c r="S22" s="2"/>
      <c r="T22" s="2"/>
      <c r="U22" s="2"/>
      <c r="V22" s="19"/>
      <c r="W22" s="2"/>
      <c r="X22" s="2">
        <f t="shared" si="2"/>
        <v>-194.29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--100290.43</f>
        <v>100290.43</v>
      </c>
      <c r="E23" s="2"/>
      <c r="F23" s="19"/>
      <c r="G23" s="2"/>
      <c r="H23" s="2"/>
      <c r="I23" s="2"/>
      <c r="J23" s="19"/>
      <c r="K23" s="2"/>
      <c r="L23" s="2">
        <f t="shared" si="0"/>
        <v>100290.43</v>
      </c>
      <c r="M23" s="2"/>
      <c r="N23" s="19">
        <f t="shared" si="1"/>
        <v>0</v>
      </c>
      <c r="O23" s="11"/>
      <c r="P23" s="2">
        <f>--643451.59</f>
        <v>643451.59</v>
      </c>
      <c r="Q23" s="2"/>
      <c r="R23" s="19"/>
      <c r="S23" s="2"/>
      <c r="T23" s="2"/>
      <c r="U23" s="2"/>
      <c r="V23" s="19"/>
      <c r="W23" s="2"/>
      <c r="X23" s="2">
        <f t="shared" si="2"/>
        <v>643451.59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--78257.13</f>
        <v>78257.13</v>
      </c>
      <c r="E24" s="2"/>
      <c r="F24" s="19"/>
      <c r="G24" s="2"/>
      <c r="H24" s="2"/>
      <c r="I24" s="2"/>
      <c r="J24" s="19"/>
      <c r="K24" s="2"/>
      <c r="L24" s="2">
        <f t="shared" si="0"/>
        <v>78257.13</v>
      </c>
      <c r="M24" s="2"/>
      <c r="N24" s="19">
        <f t="shared" si="1"/>
        <v>0</v>
      </c>
      <c r="O24" s="11"/>
      <c r="P24" s="2">
        <f>--441393.78</f>
        <v>441393.78</v>
      </c>
      <c r="Q24" s="2"/>
      <c r="R24" s="19"/>
      <c r="S24" s="2"/>
      <c r="T24" s="2"/>
      <c r="U24" s="2"/>
      <c r="V24" s="19"/>
      <c r="W24" s="2"/>
      <c r="X24" s="2">
        <f t="shared" si="2"/>
        <v>441393.78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259235.07000000004</v>
      </c>
      <c r="E26" s="4"/>
      <c r="F26" s="12">
        <f t="shared" ref="F26:F29" si="4">IF(D$12=0,0,D26/D$12)</f>
        <v>0.32280105746377769</v>
      </c>
      <c r="G26" s="4"/>
      <c r="H26" s="4">
        <f>SUM(OSRRefH16x_0)</f>
        <v>248776</v>
      </c>
      <c r="I26" s="4"/>
      <c r="J26" s="12">
        <f t="shared" ref="J26:J29" si="5">IF(H$12=0,0,H26/H$12)</f>
        <v>0.30547601389018503</v>
      </c>
      <c r="K26" s="4"/>
      <c r="L26" s="4">
        <f t="shared" ref="L26:L29" si="6">+D26-H26</f>
        <v>10459.070000000036</v>
      </c>
      <c r="M26" s="4"/>
      <c r="N26" s="12">
        <f t="shared" ref="N26:N29" si="7">IF(H26=0,0,L26/H26)</f>
        <v>4.2042118210760024E-2</v>
      </c>
      <c r="O26" s="10"/>
      <c r="P26" s="4">
        <f>SUM(OSRRefP16x_0)</f>
        <v>1435265.1500000001</v>
      </c>
      <c r="Q26" s="4"/>
      <c r="R26" s="12">
        <f t="shared" ref="R26:R29" si="8">IF(P$12=0,0,P26/P$12)</f>
        <v>0.33295211366337429</v>
      </c>
      <c r="S26" s="4"/>
      <c r="T26" s="4">
        <f>SUM(OSRRefT16x_0)</f>
        <v>1516796</v>
      </c>
      <c r="U26" s="4"/>
      <c r="V26" s="12">
        <f t="shared" ref="V26:V29" si="9">IF(T$12=0,0,T26/T$12)</f>
        <v>0.30879887750660534</v>
      </c>
      <c r="W26" s="4"/>
      <c r="X26" s="4">
        <f t="shared" ref="X26:X29" si="10">+P26-T26</f>
        <v>-81530.84999999986</v>
      </c>
      <c r="Y26" s="4"/>
      <c r="Z26" s="12">
        <f t="shared" ref="Z26:Z29" si="11">IF(T26=0,0,X26/T26)</f>
        <v>-5.375202070680557E-2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248776</v>
      </c>
      <c r="I27" s="2"/>
      <c r="J27" s="19">
        <f t="shared" si="5"/>
        <v>0.30547601389018503</v>
      </c>
      <c r="K27" s="2"/>
      <c r="L27" s="2">
        <f t="shared" si="6"/>
        <v>-248776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1516796</v>
      </c>
      <c r="U27" s="2"/>
      <c r="V27" s="19">
        <f t="shared" si="9"/>
        <v>0.30879887750660534</v>
      </c>
      <c r="W27" s="2"/>
      <c r="X27" s="2">
        <f t="shared" si="10"/>
        <v>-1516796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256882.09000000003</v>
      </c>
      <c r="E28" s="2"/>
      <c r="F28" s="19">
        <f t="shared" si="4"/>
        <v>0.3198711127144383</v>
      </c>
      <c r="G28" s="2"/>
      <c r="H28" s="2"/>
      <c r="I28" s="2"/>
      <c r="J28" s="19">
        <f t="shared" si="5"/>
        <v>0</v>
      </c>
      <c r="K28" s="2"/>
      <c r="L28" s="2">
        <f t="shared" si="6"/>
        <v>256882.09000000003</v>
      </c>
      <c r="M28" s="2"/>
      <c r="N28" s="19">
        <f t="shared" si="7"/>
        <v>0</v>
      </c>
      <c r="O28" s="11"/>
      <c r="P28" s="2">
        <v>1465271.1600000001</v>
      </c>
      <c r="Q28" s="2"/>
      <c r="R28" s="19">
        <f t="shared" si="8"/>
        <v>0.33991289331590357</v>
      </c>
      <c r="S28" s="2"/>
      <c r="T28" s="2"/>
      <c r="U28" s="2"/>
      <c r="V28" s="19">
        <f t="shared" si="9"/>
        <v>0</v>
      </c>
      <c r="W28" s="2"/>
      <c r="X28" s="2">
        <f t="shared" si="10"/>
        <v>1465271.1600000001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2352.98</v>
      </c>
      <c r="E29" s="2"/>
      <c r="F29" s="19">
        <f t="shared" si="4"/>
        <v>2.9299447493393526E-3</v>
      </c>
      <c r="G29" s="2"/>
      <c r="H29" s="2"/>
      <c r="I29" s="2"/>
      <c r="J29" s="19">
        <f t="shared" si="5"/>
        <v>0</v>
      </c>
      <c r="K29" s="2"/>
      <c r="L29" s="2">
        <f t="shared" si="6"/>
        <v>2352.98</v>
      </c>
      <c r="M29" s="2"/>
      <c r="N29" s="19">
        <f t="shared" si="7"/>
        <v>0</v>
      </c>
      <c r="O29" s="11"/>
      <c r="P29" s="2">
        <v>-30006.01</v>
      </c>
      <c r="Q29" s="2"/>
      <c r="R29" s="19">
        <f t="shared" si="8"/>
        <v>-6.9607796525292523E-3</v>
      </c>
      <c r="S29" s="2"/>
      <c r="T29" s="2"/>
      <c r="U29" s="2"/>
      <c r="V29" s="19">
        <f t="shared" si="9"/>
        <v>0</v>
      </c>
      <c r="W29" s="2"/>
      <c r="X29" s="2">
        <f t="shared" si="10"/>
        <v>-30006.01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1">
        <f>D12-D26</f>
        <v>543844.92000000004</v>
      </c>
      <c r="E31" s="14"/>
      <c r="F31" s="22">
        <f>IF(D$12=0,0,D31/D$12)</f>
        <v>0.67719894253622226</v>
      </c>
      <c r="G31" s="14"/>
      <c r="H31" s="21">
        <f>H12-H26</f>
        <v>565612</v>
      </c>
      <c r="I31" s="14"/>
      <c r="J31" s="22">
        <f>IF(H$12=0,0,H31/H$12)</f>
        <v>0.69452398610981503</v>
      </c>
      <c r="K31" s="15"/>
      <c r="L31" s="21">
        <f>+D31-H31</f>
        <v>-21767.079999999958</v>
      </c>
      <c r="M31" s="15"/>
      <c r="N31" s="22">
        <f>IF(H31=0,0,L31/H31)</f>
        <v>-3.8484119856014298E-2</v>
      </c>
      <c r="O31" s="29"/>
      <c r="P31" s="21">
        <f>P12-P26</f>
        <v>2875460.2999999989</v>
      </c>
      <c r="Q31" s="14"/>
      <c r="R31" s="22">
        <f>IF(P$12=0,0,P31/P$12)</f>
        <v>0.6670478863366256</v>
      </c>
      <c r="S31" s="14"/>
      <c r="T31" s="21">
        <f>T12-T26</f>
        <v>3395126</v>
      </c>
      <c r="U31" s="14"/>
      <c r="V31" s="22">
        <f>IF(T$12=0,0,T31/T$12)</f>
        <v>0.6912011224933946</v>
      </c>
      <c r="W31" s="15"/>
      <c r="X31" s="21">
        <f>+P31-T31</f>
        <v>-519665.70000000112</v>
      </c>
      <c r="Y31" s="15"/>
      <c r="Z31" s="22">
        <f>IF(T31=0,0,X31/T31)</f>
        <v>-0.1530622722102217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0">
        <f>SUM(OSRRefD22x_0)</f>
        <v>559841.37</v>
      </c>
      <c r="E33" s="20"/>
      <c r="F33" s="34">
        <f t="shared" ref="F33:F44" si="12">IF(D$12=0,0,D33/D$12)</f>
        <v>0.69711781761615044</v>
      </c>
      <c r="G33" s="20"/>
      <c r="H33" s="20">
        <f>SUM(OSRRefH22x_0)</f>
        <v>532476.13974580343</v>
      </c>
      <c r="I33" s="20"/>
      <c r="J33" s="34">
        <f t="shared" ref="J33:J44" si="13">IF(H$12=0,0,H33/H$12)</f>
        <v>0.65383593538436646</v>
      </c>
      <c r="K33" s="4"/>
      <c r="L33" s="20">
        <f t="shared" ref="L33:L44" si="14">+D33-H33</f>
        <v>27365.230254196562</v>
      </c>
      <c r="M33" s="4"/>
      <c r="N33" s="34">
        <f t="shared" ref="N33:N44" si="15">IF(H33=0,0,L33/H33)</f>
        <v>5.1392406554142192E-2</v>
      </c>
      <c r="O33" s="10"/>
      <c r="P33" s="20">
        <f>SUM(OSRRefP22x_0)</f>
        <v>3935080.9900000007</v>
      </c>
      <c r="Q33" s="20"/>
      <c r="R33" s="34">
        <f t="shared" ref="R33:R44" si="16">IF(P$12=0,0,P33/P$12)</f>
        <v>0.9128581802861051</v>
      </c>
      <c r="S33" s="20"/>
      <c r="T33" s="20">
        <f>SUM(OSRRefT22x_0)</f>
        <v>3760226.8602197515</v>
      </c>
      <c r="U33" s="20"/>
      <c r="V33" s="34">
        <f t="shared" ref="V33:V44" si="17">IF(T$12=0,0,T33/T$12)</f>
        <v>0.7655306538295501</v>
      </c>
      <c r="W33" s="4"/>
      <c r="X33" s="20">
        <f t="shared" ref="X33:X44" si="18">+P33-T33</f>
        <v>174854.1297802492</v>
      </c>
      <c r="Y33" s="4"/>
      <c r="Z33" s="34">
        <f t="shared" ref="Z33:Z44" si="19">IF(T33=0,0,X33/T33)</f>
        <v>4.6500952277658734E-2</v>
      </c>
    </row>
    <row r="34" spans="1:26" s="27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71149.709999999992</v>
      </c>
      <c r="E34" s="1"/>
      <c r="F34" s="5">
        <f t="shared" si="12"/>
        <v>8.8596043838671645E-2</v>
      </c>
      <c r="G34" s="1"/>
      <c r="H34" s="1">
        <f>SUM(OSRRefH22_0x_0)</f>
        <v>63330.482422726476</v>
      </c>
      <c r="I34" s="1"/>
      <c r="J34" s="5">
        <f t="shared" si="13"/>
        <v>7.7764508345808725E-2</v>
      </c>
      <c r="K34" s="1"/>
      <c r="L34" s="1">
        <f t="shared" si="14"/>
        <v>7819.2275772735156</v>
      </c>
      <c r="M34" s="1"/>
      <c r="N34" s="5">
        <f t="shared" si="15"/>
        <v>0.12346704585448641</v>
      </c>
      <c r="O34" s="13"/>
      <c r="P34" s="1">
        <f>SUM(OSRRefP22_0x_0)</f>
        <v>547536.40999999992</v>
      </c>
      <c r="Q34" s="1"/>
      <c r="R34" s="5">
        <f t="shared" si="16"/>
        <v>0.12701723093963221</v>
      </c>
      <c r="S34" s="1"/>
      <c r="T34" s="1">
        <f>SUM(OSRRefT22_0x_0)</f>
        <v>529237.27484282828</v>
      </c>
      <c r="U34" s="1"/>
      <c r="V34" s="5">
        <f t="shared" si="17"/>
        <v>0.10774545582011039</v>
      </c>
      <c r="W34" s="1"/>
      <c r="X34" s="1">
        <f t="shared" si="18"/>
        <v>18299.135157171637</v>
      </c>
      <c r="Y34" s="1"/>
      <c r="Z34" s="5">
        <f t="shared" si="19"/>
        <v>3.4576429187845988E-2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6">
        <v>13520.77</v>
      </c>
      <c r="E35" s="2"/>
      <c r="F35" s="7">
        <f t="shared" si="12"/>
        <v>1.6836143557754438E-2</v>
      </c>
      <c r="G35" s="2"/>
      <c r="H35" s="6">
        <v>9931.0922390095438</v>
      </c>
      <c r="I35" s="2"/>
      <c r="J35" s="7">
        <f t="shared" si="13"/>
        <v>1.2194546382080217E-2</v>
      </c>
      <c r="K35" s="2"/>
      <c r="L35" s="6">
        <f t="shared" si="14"/>
        <v>3589.6777609904566</v>
      </c>
      <c r="M35" s="2"/>
      <c r="N35" s="7">
        <f t="shared" si="15"/>
        <v>0.36145850573113453</v>
      </c>
      <c r="O35" s="11"/>
      <c r="P35" s="6">
        <v>104740.33</v>
      </c>
      <c r="Q35" s="2"/>
      <c r="R35" s="7">
        <f t="shared" si="16"/>
        <v>2.4297610974041508E-2</v>
      </c>
      <c r="S35" s="2"/>
      <c r="T35" s="6">
        <v>87723.416153877479</v>
      </c>
      <c r="U35" s="2"/>
      <c r="V35" s="7">
        <f t="shared" si="17"/>
        <v>1.785928525613344E-2</v>
      </c>
      <c r="W35" s="2"/>
      <c r="X35" s="6">
        <f t="shared" si="18"/>
        <v>17016.913846122523</v>
      </c>
      <c r="Y35" s="2"/>
      <c r="Z35" s="7">
        <f t="shared" si="19"/>
        <v>0.1939837114445338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6">
        <v>9834.0499999999993</v>
      </c>
      <c r="E36" s="2"/>
      <c r="F36" s="7">
        <f t="shared" si="12"/>
        <v>1.2245417794558669E-2</v>
      </c>
      <c r="G36" s="2"/>
      <c r="H36" s="6">
        <v>8968.8156830338412</v>
      </c>
      <c r="I36" s="2"/>
      <c r="J36" s="7">
        <f t="shared" si="13"/>
        <v>1.1012951668042555E-2</v>
      </c>
      <c r="K36" s="2"/>
      <c r="L36" s="6">
        <f t="shared" si="14"/>
        <v>865.23431696615808</v>
      </c>
      <c r="M36" s="2"/>
      <c r="N36" s="7">
        <f t="shared" si="15"/>
        <v>9.647141245224912E-2</v>
      </c>
      <c r="O36" s="11"/>
      <c r="P36" s="6">
        <v>54321.72</v>
      </c>
      <c r="Q36" s="2"/>
      <c r="R36" s="7">
        <f t="shared" si="16"/>
        <v>1.2601526269783664E-2</v>
      </c>
      <c r="S36" s="2"/>
      <c r="T36" s="6">
        <v>67230.586911586142</v>
      </c>
      <c r="U36" s="2"/>
      <c r="V36" s="7">
        <f t="shared" si="17"/>
        <v>1.3687226082088872E-2</v>
      </c>
      <c r="W36" s="2"/>
      <c r="X36" s="6">
        <f t="shared" si="18"/>
        <v>-12908.866911586141</v>
      </c>
      <c r="Y36" s="2"/>
      <c r="Z36" s="7">
        <f t="shared" si="19"/>
        <v>-0.19200883860440462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6">
        <v>24757.3</v>
      </c>
      <c r="E37" s="2"/>
      <c r="F37" s="7">
        <f t="shared" si="12"/>
        <v>3.0827937824724032E-2</v>
      </c>
      <c r="G37" s="2"/>
      <c r="H37" s="6">
        <v>22070.269230769238</v>
      </c>
      <c r="I37" s="2"/>
      <c r="J37" s="7">
        <f t="shared" si="13"/>
        <v>2.7100435211188326E-2</v>
      </c>
      <c r="K37" s="2"/>
      <c r="L37" s="6">
        <f t="shared" si="14"/>
        <v>2687.0307692307615</v>
      </c>
      <c r="M37" s="2"/>
      <c r="N37" s="7">
        <f t="shared" si="15"/>
        <v>0.12174888947365631</v>
      </c>
      <c r="O37" s="11"/>
      <c r="P37" s="6">
        <v>179167.32</v>
      </c>
      <c r="Q37" s="2"/>
      <c r="R37" s="7">
        <f t="shared" si="16"/>
        <v>4.1563148031151007E-2</v>
      </c>
      <c r="S37" s="2"/>
      <c r="T37" s="6">
        <v>175704.71346153851</v>
      </c>
      <c r="U37" s="2"/>
      <c r="V37" s="7">
        <f t="shared" si="17"/>
        <v>3.5771071580847275E-2</v>
      </c>
      <c r="W37" s="2"/>
      <c r="X37" s="6">
        <f t="shared" si="18"/>
        <v>3462.6065384614922</v>
      </c>
      <c r="Y37" s="2"/>
      <c r="Z37" s="7">
        <f t="shared" si="19"/>
        <v>1.970696443052139E-2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6">
        <v>702.36</v>
      </c>
      <c r="E38" s="2"/>
      <c r="F38" s="7">
        <f t="shared" si="12"/>
        <v>8.7458286689474094E-4</v>
      </c>
      <c r="G38" s="2"/>
      <c r="H38" s="6">
        <v>654.39427576000003</v>
      </c>
      <c r="I38" s="2"/>
      <c r="J38" s="7">
        <f t="shared" si="13"/>
        <v>8.0354115699150775E-4</v>
      </c>
      <c r="K38" s="2"/>
      <c r="L38" s="6">
        <f t="shared" si="14"/>
        <v>47.965724239999986</v>
      </c>
      <c r="M38" s="2"/>
      <c r="N38" s="7">
        <f t="shared" si="15"/>
        <v>7.3297897027435915E-2</v>
      </c>
      <c r="O38" s="11"/>
      <c r="P38" s="6">
        <v>4855.3900000000003</v>
      </c>
      <c r="Q38" s="2"/>
      <c r="R38" s="7">
        <f t="shared" si="16"/>
        <v>1.1263510182491444E-3</v>
      </c>
      <c r="S38" s="2"/>
      <c r="T38" s="6">
        <v>4848.0950929800001</v>
      </c>
      <c r="U38" s="2"/>
      <c r="V38" s="7">
        <f t="shared" si="17"/>
        <v>9.8700571649549813E-4</v>
      </c>
      <c r="W38" s="2"/>
      <c r="X38" s="6">
        <f t="shared" si="18"/>
        <v>7.2949070200002097</v>
      </c>
      <c r="Y38" s="2"/>
      <c r="Z38" s="7">
        <f t="shared" si="19"/>
        <v>1.504695530944344E-3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6">
        <v>6777.37</v>
      </c>
      <c r="E39" s="2"/>
      <c r="F39" s="7">
        <f t="shared" si="12"/>
        <v>8.4392216023213319E-3</v>
      </c>
      <c r="G39" s="2"/>
      <c r="H39" s="6">
        <v>6790.4317276923139</v>
      </c>
      <c r="I39" s="2"/>
      <c r="J39" s="7">
        <f t="shared" si="13"/>
        <v>8.3380793033447365E-3</v>
      </c>
      <c r="K39" s="2"/>
      <c r="L39" s="6">
        <f t="shared" si="14"/>
        <v>-13.06172769231398</v>
      </c>
      <c r="M39" s="2"/>
      <c r="N39" s="7">
        <f t="shared" si="15"/>
        <v>-1.9235489312183877E-3</v>
      </c>
      <c r="O39" s="11"/>
      <c r="P39" s="6">
        <v>59345.77</v>
      </c>
      <c r="Q39" s="2"/>
      <c r="R39" s="7">
        <f t="shared" si="16"/>
        <v>1.3767002953064433E-2</v>
      </c>
      <c r="S39" s="2"/>
      <c r="T39" s="6">
        <v>59416.277617307736</v>
      </c>
      <c r="U39" s="2"/>
      <c r="V39" s="7">
        <f t="shared" si="17"/>
        <v>1.2096339806965123E-2</v>
      </c>
      <c r="W39" s="2"/>
      <c r="X39" s="6">
        <f t="shared" si="18"/>
        <v>-70.507617307739565</v>
      </c>
      <c r="Y39" s="2"/>
      <c r="Z39" s="7">
        <f t="shared" si="19"/>
        <v>-1.1866717360160066E-3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16000</v>
      </c>
      <c r="U40" s="2"/>
      <c r="V40" s="7">
        <f t="shared" si="17"/>
        <v>3.2573807157361212E-3</v>
      </c>
      <c r="W40" s="2"/>
      <c r="X40" s="6">
        <f t="shared" si="18"/>
        <v>-16000</v>
      </c>
      <c r="Y40" s="2"/>
      <c r="Z40" s="7">
        <f t="shared" si="19"/>
        <v>-1</v>
      </c>
    </row>
    <row r="41" spans="1:26" s="24" customFormat="1" hidden="1" outlineLevel="2" x14ac:dyDescent="0.25">
      <c r="A41" s="25"/>
      <c r="B41" s="11" t="str">
        <f>CONCATENATE("          ", "6117", " - ", "RETIREMENT STAFF HOURLY")</f>
        <v xml:space="preserve">          6117 - RETIREMENT STAFF HOURLY</v>
      </c>
      <c r="C41" s="11"/>
      <c r="D41" s="6">
        <v>154.87</v>
      </c>
      <c r="E41" s="2"/>
      <c r="F41" s="7">
        <f t="shared" si="12"/>
        <v>1.928450489720208E-4</v>
      </c>
      <c r="G41" s="2"/>
      <c r="H41" s="6"/>
      <c r="I41" s="2"/>
      <c r="J41" s="7">
        <f t="shared" si="13"/>
        <v>0</v>
      </c>
      <c r="K41" s="2"/>
      <c r="L41" s="6">
        <f t="shared" si="14"/>
        <v>154.87</v>
      </c>
      <c r="M41" s="2"/>
      <c r="N41" s="7">
        <f t="shared" si="15"/>
        <v>0</v>
      </c>
      <c r="O41" s="11"/>
      <c r="P41" s="6">
        <v>712.85</v>
      </c>
      <c r="Q41" s="2"/>
      <c r="R41" s="7">
        <f t="shared" si="16"/>
        <v>1.6536659740183643E-4</v>
      </c>
      <c r="S41" s="2"/>
      <c r="T41" s="6"/>
      <c r="U41" s="2"/>
      <c r="V41" s="7">
        <f t="shared" si="17"/>
        <v>0</v>
      </c>
      <c r="W41" s="2"/>
      <c r="X41" s="6">
        <f t="shared" si="18"/>
        <v>712.85</v>
      </c>
      <c r="Y41" s="2"/>
      <c r="Z41" s="7">
        <f t="shared" si="19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6">
        <v>6652.34</v>
      </c>
      <c r="E42" s="2"/>
      <c r="F42" s="7">
        <f t="shared" si="12"/>
        <v>8.2835334995708196E-3</v>
      </c>
      <c r="G42" s="2"/>
      <c r="H42" s="6">
        <v>5256.0144076923052</v>
      </c>
      <c r="I42" s="2"/>
      <c r="J42" s="7">
        <f t="shared" si="13"/>
        <v>6.4539438298357853E-3</v>
      </c>
      <c r="K42" s="2"/>
      <c r="L42" s="6">
        <f t="shared" si="14"/>
        <v>1396.3255923076949</v>
      </c>
      <c r="M42" s="2"/>
      <c r="N42" s="7">
        <f t="shared" si="15"/>
        <v>0.26566243621100777</v>
      </c>
      <c r="O42" s="11"/>
      <c r="P42" s="6">
        <v>58503.859999999993</v>
      </c>
      <c r="Q42" s="2"/>
      <c r="R42" s="7">
        <f t="shared" si="16"/>
        <v>1.357169707943242E-2</v>
      </c>
      <c r="S42" s="2"/>
      <c r="T42" s="6">
        <v>45484.015567307666</v>
      </c>
      <c r="U42" s="2"/>
      <c r="V42" s="7">
        <f t="shared" si="17"/>
        <v>9.2599221989493451E-3</v>
      </c>
      <c r="W42" s="2"/>
      <c r="X42" s="6">
        <f t="shared" si="18"/>
        <v>13019.844432692327</v>
      </c>
      <c r="Y42" s="2"/>
      <c r="Z42" s="7">
        <f t="shared" si="19"/>
        <v>0.28625098884300226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6">
        <v>5155.93</v>
      </c>
      <c r="E43" s="2"/>
      <c r="F43" s="7">
        <f t="shared" si="12"/>
        <v>6.4201948301563332E-3</v>
      </c>
      <c r="G43" s="2"/>
      <c r="H43" s="6">
        <v>7934.4648587692327</v>
      </c>
      <c r="I43" s="2"/>
      <c r="J43" s="7">
        <f t="shared" si="13"/>
        <v>9.7428558116883258E-3</v>
      </c>
      <c r="K43" s="2"/>
      <c r="L43" s="6">
        <f t="shared" si="14"/>
        <v>-2778.5348587692324</v>
      </c>
      <c r="M43" s="2"/>
      <c r="N43" s="7">
        <f t="shared" si="15"/>
        <v>-0.35018553969627503</v>
      </c>
      <c r="O43" s="11"/>
      <c r="P43" s="6">
        <v>63031.55999999999</v>
      </c>
      <c r="Q43" s="2"/>
      <c r="R43" s="7">
        <f t="shared" si="16"/>
        <v>1.4622030730349575E-2</v>
      </c>
      <c r="S43" s="2"/>
      <c r="T43" s="6">
        <v>59030.170038230768</v>
      </c>
      <c r="U43" s="2"/>
      <c r="V43" s="7">
        <f t="shared" si="17"/>
        <v>1.2017733595572318E-2</v>
      </c>
      <c r="W43" s="2"/>
      <c r="X43" s="6">
        <f t="shared" si="18"/>
        <v>4001.3899617692223</v>
      </c>
      <c r="Y43" s="2"/>
      <c r="Z43" s="7">
        <f t="shared" si="19"/>
        <v>6.7785506278869437E-2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6">
        <v>3594.72</v>
      </c>
      <c r="E44" s="2"/>
      <c r="F44" s="7">
        <f t="shared" si="12"/>
        <v>4.4761668137192649E-3</v>
      </c>
      <c r="G44" s="2"/>
      <c r="H44" s="6">
        <v>1725</v>
      </c>
      <c r="I44" s="2"/>
      <c r="J44" s="7">
        <f t="shared" si="13"/>
        <v>2.1181549826372686E-3</v>
      </c>
      <c r="K44" s="2"/>
      <c r="L44" s="6">
        <f t="shared" si="14"/>
        <v>1869.7199999999998</v>
      </c>
      <c r="M44" s="2"/>
      <c r="N44" s="7">
        <f t="shared" si="15"/>
        <v>1.0838956521739129</v>
      </c>
      <c r="O44" s="11"/>
      <c r="P44" s="6">
        <v>22857.609999999997</v>
      </c>
      <c r="Q44" s="2"/>
      <c r="R44" s="7">
        <f t="shared" si="16"/>
        <v>5.3024972861586443E-3</v>
      </c>
      <c r="S44" s="2"/>
      <c r="T44" s="6">
        <v>13800</v>
      </c>
      <c r="U44" s="2"/>
      <c r="V44" s="7">
        <f t="shared" si="17"/>
        <v>2.8094908673224044E-3</v>
      </c>
      <c r="W44" s="2"/>
      <c r="X44" s="6">
        <f t="shared" si="18"/>
        <v>9057.6099999999969</v>
      </c>
      <c r="Y44" s="2"/>
      <c r="Z44" s="7">
        <f t="shared" si="19"/>
        <v>0.65634855072463749</v>
      </c>
    </row>
    <row r="45" spans="1:26" s="27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261505.06999999998</v>
      </c>
      <c r="E45" s="1"/>
      <c r="F45" s="5">
        <f t="shared" ref="F45:F55" si="20">IF(D$12=0,0,D45/D$12)</f>
        <v>0.32562767502151302</v>
      </c>
      <c r="G45" s="1"/>
      <c r="H45" s="1">
        <f>SUM(OSRRefH22_1x_0)</f>
        <v>235398.35732307693</v>
      </c>
      <c r="I45" s="1"/>
      <c r="J45" s="5">
        <f t="shared" ref="J45:J55" si="21">IF(H$12=0,0,H45/H$12)</f>
        <v>0.28904939331507457</v>
      </c>
      <c r="K45" s="1"/>
      <c r="L45" s="1">
        <f t="shared" ref="L45:L55" si="22">+D45-H45</f>
        <v>26106.712676923053</v>
      </c>
      <c r="M45" s="1"/>
      <c r="N45" s="5">
        <f t="shared" ref="N45:N55" si="23">IF(H45=0,0,L45/H45)</f>
        <v>0.1109043961640412</v>
      </c>
      <c r="O45" s="13"/>
      <c r="P45" s="1">
        <f>SUM(OSRRefP22_1x_0)</f>
        <v>1788226.4900000002</v>
      </c>
      <c r="Q45" s="1"/>
      <c r="R45" s="5">
        <f t="shared" ref="R45:R55" si="24">IF(P$12=0,0,P45/P$12)</f>
        <v>0.41483191419671611</v>
      </c>
      <c r="S45" s="1"/>
      <c r="T45" s="1">
        <f>SUM(OSRRefT22_1x_0)</f>
        <v>1734487.7853769232</v>
      </c>
      <c r="U45" s="1"/>
      <c r="V45" s="5">
        <f t="shared" ref="V45:V55" si="25">IF(T$12=0,0,T45/T$12)</f>
        <v>0.35311794148541509</v>
      </c>
      <c r="W45" s="1"/>
      <c r="X45" s="1">
        <f t="shared" ref="X45:X55" si="26">+P45-T45</f>
        <v>53738.704623077065</v>
      </c>
      <c r="Y45" s="1"/>
      <c r="Z45" s="5">
        <f t="shared" ref="Z45:Z55" si="27">IF(T45=0,0,X45/T45)</f>
        <v>3.0982463570015314E-2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6">
        <v>18246.47</v>
      </c>
      <c r="E46" s="2"/>
      <c r="F46" s="7">
        <f t="shared" si="20"/>
        <v>2.2720613422331688E-2</v>
      </c>
      <c r="G46" s="2"/>
      <c r="H46" s="6">
        <v>20213.021076923069</v>
      </c>
      <c r="I46" s="2"/>
      <c r="J46" s="7">
        <f t="shared" si="21"/>
        <v>2.4819890613470567E-2</v>
      </c>
      <c r="K46" s="2"/>
      <c r="L46" s="6">
        <f t="shared" si="22"/>
        <v>-1966.5510769230677</v>
      </c>
      <c r="M46" s="2"/>
      <c r="N46" s="7">
        <f t="shared" si="23"/>
        <v>-9.7291298981934587E-2</v>
      </c>
      <c r="O46" s="11"/>
      <c r="P46" s="6">
        <v>143245.21</v>
      </c>
      <c r="Q46" s="2"/>
      <c r="R46" s="7">
        <f t="shared" si="24"/>
        <v>3.3229954368817441E-2</v>
      </c>
      <c r="S46" s="2"/>
      <c r="T46" s="6">
        <v>176863.93442307692</v>
      </c>
      <c r="U46" s="2"/>
      <c r="V46" s="7">
        <f t="shared" si="25"/>
        <v>3.6007073081184296E-2</v>
      </c>
      <c r="W46" s="2"/>
      <c r="X46" s="6">
        <f t="shared" si="26"/>
        <v>-33618.724423076928</v>
      </c>
      <c r="Y46" s="2"/>
      <c r="Z46" s="7">
        <f t="shared" si="27"/>
        <v>-0.19008241862729031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6">
        <v>58756.579999999994</v>
      </c>
      <c r="E47" s="2"/>
      <c r="F47" s="7">
        <f t="shared" si="20"/>
        <v>7.3164044343826798E-2</v>
      </c>
      <c r="G47" s="2"/>
      <c r="H47" s="6">
        <v>51367.801646153872</v>
      </c>
      <c r="I47" s="2"/>
      <c r="J47" s="7">
        <f t="shared" si="21"/>
        <v>6.3075342031260126E-2</v>
      </c>
      <c r="K47" s="2"/>
      <c r="L47" s="6">
        <f t="shared" si="22"/>
        <v>7388.7783538461226</v>
      </c>
      <c r="M47" s="2"/>
      <c r="N47" s="7">
        <f t="shared" si="23"/>
        <v>0.1438406573196101</v>
      </c>
      <c r="O47" s="11"/>
      <c r="P47" s="6">
        <v>497403.39999999997</v>
      </c>
      <c r="Q47" s="2"/>
      <c r="R47" s="7">
        <f t="shared" si="24"/>
        <v>0.11538739958491211</v>
      </c>
      <c r="S47" s="2"/>
      <c r="T47" s="6">
        <v>449468.26440384623</v>
      </c>
      <c r="U47" s="2"/>
      <c r="V47" s="7">
        <f t="shared" si="25"/>
        <v>9.1505578550279548E-2</v>
      </c>
      <c r="W47" s="2"/>
      <c r="X47" s="6">
        <f t="shared" si="26"/>
        <v>47935.135596153734</v>
      </c>
      <c r="Y47" s="2"/>
      <c r="Z47" s="7">
        <f t="shared" si="27"/>
        <v>0.10664854316184628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6">
        <v>27872.69</v>
      </c>
      <c r="E49" s="2"/>
      <c r="F49" s="7">
        <f t="shared" si="20"/>
        <v>3.470724005961099E-2</v>
      </c>
      <c r="G49" s="2"/>
      <c r="H49" s="6">
        <v>48355.448599999996</v>
      </c>
      <c r="I49" s="2"/>
      <c r="J49" s="7">
        <f t="shared" si="21"/>
        <v>5.9376425733188597E-2</v>
      </c>
      <c r="K49" s="2"/>
      <c r="L49" s="6">
        <f t="shared" si="22"/>
        <v>-20482.758599999997</v>
      </c>
      <c r="M49" s="2"/>
      <c r="N49" s="7">
        <f t="shared" si="23"/>
        <v>-0.42358739693296937</v>
      </c>
      <c r="O49" s="11"/>
      <c r="P49" s="6">
        <v>173708.77</v>
      </c>
      <c r="Q49" s="2"/>
      <c r="R49" s="7">
        <f t="shared" si="24"/>
        <v>4.0296876248521005E-2</v>
      </c>
      <c r="S49" s="2"/>
      <c r="T49" s="6">
        <v>385321.60204999999</v>
      </c>
      <c r="U49" s="2"/>
      <c r="V49" s="7">
        <f t="shared" si="25"/>
        <v>7.844619724213861E-2</v>
      </c>
      <c r="W49" s="2"/>
      <c r="X49" s="6">
        <f t="shared" si="26"/>
        <v>-211612.83205</v>
      </c>
      <c r="Y49" s="2"/>
      <c r="Z49" s="7">
        <f t="shared" si="27"/>
        <v>-0.54918496893029312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>
        <v>59049.080000000009</v>
      </c>
      <c r="E50" s="2"/>
      <c r="F50" s="7">
        <f t="shared" si="20"/>
        <v>7.3528267090803748E-2</v>
      </c>
      <c r="G50" s="2"/>
      <c r="H50" s="6">
        <v>31886.092000000004</v>
      </c>
      <c r="I50" s="2"/>
      <c r="J50" s="7">
        <f t="shared" si="21"/>
        <v>3.9153440374858184E-2</v>
      </c>
      <c r="K50" s="2"/>
      <c r="L50" s="6">
        <f t="shared" si="22"/>
        <v>27162.988000000005</v>
      </c>
      <c r="M50" s="2"/>
      <c r="N50" s="7">
        <f t="shared" si="23"/>
        <v>0.85187573315663778</v>
      </c>
      <c r="O50" s="11"/>
      <c r="P50" s="6">
        <v>367361.71</v>
      </c>
      <c r="Q50" s="2"/>
      <c r="R50" s="7">
        <f t="shared" si="24"/>
        <v>8.5220391384471045E-2</v>
      </c>
      <c r="S50" s="2"/>
      <c r="T50" s="6">
        <v>232706.34399999998</v>
      </c>
      <c r="U50" s="2"/>
      <c r="V50" s="7">
        <f t="shared" si="25"/>
        <v>4.7375822335941002E-2</v>
      </c>
      <c r="W50" s="2"/>
      <c r="X50" s="6">
        <f t="shared" si="26"/>
        <v>134655.36600000004</v>
      </c>
      <c r="Y50" s="2"/>
      <c r="Z50" s="7">
        <f t="shared" si="27"/>
        <v>0.57864931262896746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>
        <v>526.11</v>
      </c>
      <c r="E51" s="2"/>
      <c r="F51" s="7">
        <f t="shared" si="20"/>
        <v>6.5511531422915914E-4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526.11</v>
      </c>
      <c r="M51" s="2"/>
      <c r="N51" s="7">
        <f t="shared" si="23"/>
        <v>0</v>
      </c>
      <c r="O51" s="11"/>
      <c r="P51" s="6">
        <v>11237.01</v>
      </c>
      <c r="Q51" s="2"/>
      <c r="R51" s="7">
        <f t="shared" si="24"/>
        <v>2.606756131963821E-3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11237.01</v>
      </c>
      <c r="Y51" s="2"/>
      <c r="Z51" s="7">
        <f t="shared" si="27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>
        <v>90844.56</v>
      </c>
      <c r="E52" s="2"/>
      <c r="F52" s="7">
        <f t="shared" si="20"/>
        <v>0.11312018868755526</v>
      </c>
      <c r="G52" s="2"/>
      <c r="H52" s="6">
        <v>1530</v>
      </c>
      <c r="I52" s="2"/>
      <c r="J52" s="7">
        <f t="shared" si="21"/>
        <v>1.8787113759043601E-3</v>
      </c>
      <c r="K52" s="2"/>
      <c r="L52" s="6">
        <f t="shared" si="22"/>
        <v>89314.559999999998</v>
      </c>
      <c r="M52" s="2"/>
      <c r="N52" s="7">
        <f t="shared" si="23"/>
        <v>58.375529411764703</v>
      </c>
      <c r="O52" s="11"/>
      <c r="P52" s="6">
        <v>566315.14</v>
      </c>
      <c r="Q52" s="2"/>
      <c r="R52" s="7">
        <f t="shared" si="24"/>
        <v>0.13137351162088046</v>
      </c>
      <c r="S52" s="2"/>
      <c r="T52" s="6">
        <v>53727.8</v>
      </c>
      <c r="U52" s="2"/>
      <c r="V52" s="7">
        <f t="shared" si="25"/>
        <v>1.0938243726182949E-2</v>
      </c>
      <c r="W52" s="2"/>
      <c r="X52" s="6">
        <f t="shared" si="26"/>
        <v>512587.34</v>
      </c>
      <c r="Y52" s="2"/>
      <c r="Z52" s="7">
        <f t="shared" si="27"/>
        <v>9.5404490785031211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6">
        <v>6209.58</v>
      </c>
      <c r="E53" s="2"/>
      <c r="F53" s="7">
        <f t="shared" si="20"/>
        <v>7.7322061031554271E-3</v>
      </c>
      <c r="G53" s="2"/>
      <c r="H53" s="6">
        <v>82045.993999999992</v>
      </c>
      <c r="I53" s="2"/>
      <c r="J53" s="7">
        <f t="shared" si="21"/>
        <v>0.10074558318639272</v>
      </c>
      <c r="K53" s="2"/>
      <c r="L53" s="6">
        <f t="shared" si="22"/>
        <v>-75836.41399999999</v>
      </c>
      <c r="M53" s="2"/>
      <c r="N53" s="7">
        <f t="shared" si="23"/>
        <v>-0.92431586604947458</v>
      </c>
      <c r="O53" s="11"/>
      <c r="P53" s="6">
        <v>28955.25</v>
      </c>
      <c r="Q53" s="2"/>
      <c r="R53" s="7">
        <f t="shared" si="24"/>
        <v>6.7170248571502052E-3</v>
      </c>
      <c r="S53" s="2"/>
      <c r="T53" s="6">
        <v>436399.84049999999</v>
      </c>
      <c r="U53" s="2"/>
      <c r="V53" s="7">
        <f t="shared" si="25"/>
        <v>8.8845026549688691E-2</v>
      </c>
      <c r="W53" s="2"/>
      <c r="X53" s="6">
        <f t="shared" si="26"/>
        <v>-407444.59049999999</v>
      </c>
      <c r="Y53" s="2"/>
      <c r="Z53" s="7">
        <f t="shared" si="27"/>
        <v>-0.93364972368728438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7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2273.58</v>
      </c>
      <c r="E56" s="1"/>
      <c r="F56" s="5">
        <f t="shared" ref="F56:F66" si="28">IF(D$12=0,0,D56/D$12)</f>
        <v>2.8310753951172407E-3</v>
      </c>
      <c r="G56" s="1"/>
      <c r="H56" s="1">
        <f>SUM(OSRRefH22_2x_0)</f>
        <v>1315</v>
      </c>
      <c r="I56" s="1"/>
      <c r="J56" s="5">
        <f t="shared" ref="J56:J66" si="29">IF(H$12=0,0,H56/H$12)</f>
        <v>1.6147094505321788E-3</v>
      </c>
      <c r="K56" s="1"/>
      <c r="L56" s="1">
        <f t="shared" ref="L56:L66" si="30">+D56-H56</f>
        <v>958.57999999999993</v>
      </c>
      <c r="M56" s="1"/>
      <c r="N56" s="5">
        <f t="shared" ref="N56:N66" si="31">IF(H56=0,0,L56/H56)</f>
        <v>0.72895817490494286</v>
      </c>
      <c r="O56" s="13"/>
      <c r="P56" s="1">
        <f>SUM(OSRRefP22_2x_0)</f>
        <v>26084.59</v>
      </c>
      <c r="Q56" s="1"/>
      <c r="R56" s="5">
        <f t="shared" ref="R56:R66" si="32">IF(P$12=0,0,P56/P$12)</f>
        <v>6.0510905420803366E-3</v>
      </c>
      <c r="S56" s="1"/>
      <c r="T56" s="1">
        <f>SUM(OSRRefT22_2x_0)</f>
        <v>17620</v>
      </c>
      <c r="U56" s="1"/>
      <c r="V56" s="5">
        <f t="shared" ref="V56:V66" si="33">IF(T$12=0,0,T56/T$12)</f>
        <v>3.5871905132044035E-3</v>
      </c>
      <c r="W56" s="1"/>
      <c r="X56" s="1">
        <f t="shared" ref="X56:X66" si="34">+P56-T56</f>
        <v>8464.59</v>
      </c>
      <c r="Y56" s="1"/>
      <c r="Z56" s="5">
        <f t="shared" ref="Z56:Z66" si="35">IF(T56=0,0,X56/T56)</f>
        <v>0.48039670828603859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6">
        <v>2273.58</v>
      </c>
      <c r="E57" s="2"/>
      <c r="F57" s="7">
        <f t="shared" si="28"/>
        <v>2.8310753951172407E-3</v>
      </c>
      <c r="G57" s="2"/>
      <c r="H57" s="6">
        <v>1315</v>
      </c>
      <c r="I57" s="2"/>
      <c r="J57" s="7">
        <f t="shared" si="29"/>
        <v>1.6147094505321788E-3</v>
      </c>
      <c r="K57" s="2"/>
      <c r="L57" s="6">
        <f t="shared" si="30"/>
        <v>958.57999999999993</v>
      </c>
      <c r="M57" s="2"/>
      <c r="N57" s="7">
        <f t="shared" si="31"/>
        <v>0.72895817490494286</v>
      </c>
      <c r="O57" s="11"/>
      <c r="P57" s="6">
        <v>26084.59</v>
      </c>
      <c r="Q57" s="2"/>
      <c r="R57" s="7">
        <f t="shared" si="32"/>
        <v>6.0510905420803366E-3</v>
      </c>
      <c r="S57" s="2"/>
      <c r="T57" s="6">
        <v>17620</v>
      </c>
      <c r="U57" s="2"/>
      <c r="V57" s="7">
        <f t="shared" si="33"/>
        <v>3.5871905132044035E-3</v>
      </c>
      <c r="W57" s="2"/>
      <c r="X57" s="6">
        <f t="shared" si="34"/>
        <v>8464.59</v>
      </c>
      <c r="Y57" s="2"/>
      <c r="Z57" s="7">
        <f t="shared" si="35"/>
        <v>0.48039670828603859</v>
      </c>
    </row>
    <row r="58" spans="1:26" s="27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234.25</v>
      </c>
      <c r="E58" s="1"/>
      <c r="F58" s="5">
        <f t="shared" si="28"/>
        <v>2.9168949907468119E-4</v>
      </c>
      <c r="G58" s="1"/>
      <c r="H58" s="1">
        <f>SUM(OSRRefH22_3x_0)</f>
        <v>169</v>
      </c>
      <c r="I58" s="1"/>
      <c r="J58" s="5">
        <f t="shared" si="29"/>
        <v>2.0751779250185415E-4</v>
      </c>
      <c r="K58" s="1"/>
      <c r="L58" s="1">
        <f t="shared" si="30"/>
        <v>65.25</v>
      </c>
      <c r="M58" s="1"/>
      <c r="N58" s="5">
        <f t="shared" si="31"/>
        <v>0.38609467455621299</v>
      </c>
      <c r="O58" s="13"/>
      <c r="P58" s="1">
        <f>SUM(OSRRefP22_3x_0)</f>
        <v>-270.13</v>
      </c>
      <c r="Q58" s="1"/>
      <c r="R58" s="5">
        <f t="shared" si="32"/>
        <v>-6.2664626437761197E-5</v>
      </c>
      <c r="S58" s="1"/>
      <c r="T58" s="1">
        <f>SUM(OSRRefT22_3x_0)</f>
        <v>1157</v>
      </c>
      <c r="U58" s="1"/>
      <c r="V58" s="5">
        <f t="shared" si="33"/>
        <v>2.3554934300666825E-4</v>
      </c>
      <c r="W58" s="1"/>
      <c r="X58" s="1">
        <f t="shared" si="34"/>
        <v>-1427.13</v>
      </c>
      <c r="Y58" s="1"/>
      <c r="Z58" s="5">
        <f t="shared" si="35"/>
        <v>-1.2334745030250649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6">
        <v>234.25</v>
      </c>
      <c r="E59" s="2"/>
      <c r="F59" s="7">
        <f t="shared" si="28"/>
        <v>2.9168949907468119E-4</v>
      </c>
      <c r="G59" s="2"/>
      <c r="H59" s="6">
        <v>169</v>
      </c>
      <c r="I59" s="2"/>
      <c r="J59" s="7">
        <f t="shared" si="29"/>
        <v>2.0751779250185415E-4</v>
      </c>
      <c r="K59" s="2"/>
      <c r="L59" s="6">
        <f t="shared" si="30"/>
        <v>65.25</v>
      </c>
      <c r="M59" s="2"/>
      <c r="N59" s="7">
        <f t="shared" si="31"/>
        <v>0.38609467455621299</v>
      </c>
      <c r="O59" s="11"/>
      <c r="P59" s="6">
        <v>-270.13</v>
      </c>
      <c r="Q59" s="2"/>
      <c r="R59" s="7">
        <f t="shared" si="32"/>
        <v>-6.2664626437761197E-5</v>
      </c>
      <c r="S59" s="2"/>
      <c r="T59" s="6">
        <v>1157</v>
      </c>
      <c r="U59" s="2"/>
      <c r="V59" s="7">
        <f t="shared" si="33"/>
        <v>2.3554934300666825E-4</v>
      </c>
      <c r="W59" s="2"/>
      <c r="X59" s="6">
        <f t="shared" si="34"/>
        <v>-1427.13</v>
      </c>
      <c r="Y59" s="2"/>
      <c r="Z59" s="7">
        <f t="shared" si="35"/>
        <v>-1.2334745030250649</v>
      </c>
    </row>
    <row r="60" spans="1:26" s="27" customFormat="1" outlineLevel="1" collapsed="1" x14ac:dyDescent="0.25">
      <c r="A60" s="26"/>
      <c r="B60" s="13" t="str">
        <f>CONCATENATE("     ","Bank/card Fees                                    ")</f>
        <v xml:space="preserve">     Bank/card Fees                                    </v>
      </c>
      <c r="C60" s="13"/>
      <c r="D60" s="1">
        <f>SUM(OSRRefD22_4x_0)</f>
        <v>18412.04</v>
      </c>
      <c r="E60" s="1"/>
      <c r="F60" s="5">
        <f t="shared" si="28"/>
        <v>2.2926782175210218E-2</v>
      </c>
      <c r="G60" s="1"/>
      <c r="H60" s="1">
        <f>SUM(OSRRefH22_4x_0)</f>
        <v>11755</v>
      </c>
      <c r="I60" s="1"/>
      <c r="J60" s="5">
        <f t="shared" si="29"/>
        <v>1.4434151780232518E-2</v>
      </c>
      <c r="K60" s="1"/>
      <c r="L60" s="1">
        <f t="shared" si="30"/>
        <v>6657.0400000000009</v>
      </c>
      <c r="M60" s="1"/>
      <c r="N60" s="5">
        <f t="shared" si="31"/>
        <v>0.56631561037856237</v>
      </c>
      <c r="O60" s="13"/>
      <c r="P60" s="1">
        <f>SUM(OSRRefP22_4x_0)</f>
        <v>132774.41</v>
      </c>
      <c r="Q60" s="1"/>
      <c r="R60" s="5">
        <f t="shared" si="32"/>
        <v>3.0800943261185893E-2</v>
      </c>
      <c r="S60" s="1"/>
      <c r="T60" s="1">
        <f>SUM(OSRRefT22_4x_0)</f>
        <v>79703</v>
      </c>
      <c r="U60" s="1"/>
      <c r="V60" s="5">
        <f t="shared" si="33"/>
        <v>1.6226438449144755E-2</v>
      </c>
      <c r="W60" s="1"/>
      <c r="X60" s="1">
        <f t="shared" si="34"/>
        <v>53071.41</v>
      </c>
      <c r="Y60" s="1"/>
      <c r="Z60" s="5">
        <f t="shared" si="35"/>
        <v>0.6658646475038581</v>
      </c>
    </row>
    <row r="61" spans="1:26" s="24" customFormat="1" hidden="1" outlineLevel="2" x14ac:dyDescent="0.25">
      <c r="A61" s="25"/>
      <c r="B61" s="11" t="str">
        <f>CONCATENATE("          ", "6381", " - ", "BANK/CREDIT CARD FEES")</f>
        <v xml:space="preserve">          6381 - BANK/CREDIT CARD FEES</v>
      </c>
      <c r="C61" s="11"/>
      <c r="D61" s="6">
        <v>18412.04</v>
      </c>
      <c r="E61" s="2"/>
      <c r="F61" s="7">
        <f t="shared" si="28"/>
        <v>2.2926782175210218E-2</v>
      </c>
      <c r="G61" s="2"/>
      <c r="H61" s="6">
        <v>11755</v>
      </c>
      <c r="I61" s="2"/>
      <c r="J61" s="7">
        <f t="shared" si="29"/>
        <v>1.4434151780232518E-2</v>
      </c>
      <c r="K61" s="2"/>
      <c r="L61" s="6">
        <f t="shared" si="30"/>
        <v>6657.0400000000009</v>
      </c>
      <c r="M61" s="2"/>
      <c r="N61" s="7">
        <f t="shared" si="31"/>
        <v>0.56631561037856237</v>
      </c>
      <c r="O61" s="11"/>
      <c r="P61" s="6">
        <v>132774.41</v>
      </c>
      <c r="Q61" s="2"/>
      <c r="R61" s="7">
        <f t="shared" si="32"/>
        <v>3.0800943261185893E-2</v>
      </c>
      <c r="S61" s="2"/>
      <c r="T61" s="6">
        <v>79703</v>
      </c>
      <c r="U61" s="2"/>
      <c r="V61" s="7">
        <f t="shared" si="33"/>
        <v>1.6226438449144755E-2</v>
      </c>
      <c r="W61" s="2"/>
      <c r="X61" s="6">
        <f t="shared" si="34"/>
        <v>53071.41</v>
      </c>
      <c r="Y61" s="2"/>
      <c r="Z61" s="7">
        <f t="shared" si="35"/>
        <v>0.6658646475038581</v>
      </c>
    </row>
    <row r="62" spans="1:26" s="27" customFormat="1" outlineLevel="1" collapsed="1" x14ac:dyDescent="0.25">
      <c r="A62" s="26"/>
      <c r="B62" s="13" t="str">
        <f>CONCATENATE("     ","Depreciation                                      ")</f>
        <v xml:space="preserve">     Depreciation                                      </v>
      </c>
      <c r="C62" s="13"/>
      <c r="D62" s="1">
        <f>SUM(OSRRefD22_5x_0)</f>
        <v>40983.520000000004</v>
      </c>
      <c r="E62" s="1"/>
      <c r="F62" s="5">
        <f t="shared" si="28"/>
        <v>5.1032923880969812E-2</v>
      </c>
      <c r="G62" s="1"/>
      <c r="H62" s="1">
        <f>SUM(OSRRefH22_5x_0)</f>
        <v>44988</v>
      </c>
      <c r="I62" s="1"/>
      <c r="J62" s="5">
        <f t="shared" si="29"/>
        <v>5.5241481947179968E-2</v>
      </c>
      <c r="K62" s="1"/>
      <c r="L62" s="1">
        <f t="shared" si="30"/>
        <v>-4004.4799999999959</v>
      </c>
      <c r="M62" s="1"/>
      <c r="N62" s="5">
        <f t="shared" si="31"/>
        <v>-8.9012181026051296E-2</v>
      </c>
      <c r="O62" s="13"/>
      <c r="P62" s="1">
        <f>SUM(OSRRefP22_5x_0)</f>
        <v>320330.01</v>
      </c>
      <c r="Q62" s="1"/>
      <c r="R62" s="5">
        <f t="shared" si="32"/>
        <v>7.4310000419998926E-2</v>
      </c>
      <c r="S62" s="1"/>
      <c r="T62" s="1">
        <f>SUM(OSRRefT22_5x_0)</f>
        <v>341702</v>
      </c>
      <c r="U62" s="1"/>
      <c r="V62" s="5">
        <f t="shared" si="33"/>
        <v>6.9565844083029002E-2</v>
      </c>
      <c r="W62" s="1"/>
      <c r="X62" s="1">
        <f t="shared" si="34"/>
        <v>-21371.989999999991</v>
      </c>
      <c r="Y62" s="1"/>
      <c r="Z62" s="5">
        <f t="shared" si="35"/>
        <v>-6.254569771321207E-2</v>
      </c>
    </row>
    <row r="63" spans="1:26" s="24" customFormat="1" hidden="1" outlineLevel="2" x14ac:dyDescent="0.25">
      <c r="A63" s="25"/>
      <c r="B63" s="11" t="str">
        <f>CONCATENATE("          ", "6321", " - ", "BUILDING DEPRECIATION")</f>
        <v xml:space="preserve">          6321 - BUILDING DEPRECIATION</v>
      </c>
      <c r="C63" s="11"/>
      <c r="D63" s="6">
        <v>24042.959999999999</v>
      </c>
      <c r="E63" s="2"/>
      <c r="F63" s="7">
        <f t="shared" si="28"/>
        <v>2.9938437390277892E-2</v>
      </c>
      <c r="G63" s="2"/>
      <c r="H63" s="6">
        <v>23037</v>
      </c>
      <c r="I63" s="2"/>
      <c r="J63" s="7">
        <f t="shared" si="29"/>
        <v>2.8287499324646238E-2</v>
      </c>
      <c r="K63" s="2"/>
      <c r="L63" s="6">
        <f t="shared" si="30"/>
        <v>1005.9599999999991</v>
      </c>
      <c r="M63" s="2"/>
      <c r="N63" s="7">
        <f t="shared" si="31"/>
        <v>4.3667144159395717E-2</v>
      </c>
      <c r="O63" s="11"/>
      <c r="P63" s="6">
        <v>192343.67999999999</v>
      </c>
      <c r="Q63" s="2"/>
      <c r="R63" s="7">
        <f t="shared" si="32"/>
        <v>4.4619793635894862E-2</v>
      </c>
      <c r="S63" s="2"/>
      <c r="T63" s="6">
        <v>184542</v>
      </c>
      <c r="U63" s="2"/>
      <c r="V63" s="7">
        <f t="shared" si="33"/>
        <v>3.7570222002710957E-2</v>
      </c>
      <c r="W63" s="2"/>
      <c r="X63" s="6">
        <f t="shared" si="34"/>
        <v>7801.679999999993</v>
      </c>
      <c r="Y63" s="2"/>
      <c r="Z63" s="7">
        <f t="shared" si="35"/>
        <v>4.2275904672107123E-2</v>
      </c>
    </row>
    <row r="64" spans="1:26" s="24" customFormat="1" hidden="1" outlineLevel="2" x14ac:dyDescent="0.25">
      <c r="A64" s="25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16516.310000000001</v>
      </c>
      <c r="E64" s="2"/>
      <c r="F64" s="7">
        <f t="shared" si="28"/>
        <v>2.0566207856828805E-2</v>
      </c>
      <c r="G64" s="2"/>
      <c r="H64" s="6">
        <v>15301</v>
      </c>
      <c r="I64" s="2"/>
      <c r="J64" s="7">
        <f t="shared" si="29"/>
        <v>1.8788341674975565E-2</v>
      </c>
      <c r="K64" s="2"/>
      <c r="L64" s="6">
        <f t="shared" si="30"/>
        <v>1215.3100000000013</v>
      </c>
      <c r="M64" s="2"/>
      <c r="N64" s="7">
        <f t="shared" si="31"/>
        <v>7.9426834847395683E-2</v>
      </c>
      <c r="O64" s="11"/>
      <c r="P64" s="6">
        <v>124592.33000000002</v>
      </c>
      <c r="Q64" s="2"/>
      <c r="R64" s="7">
        <f t="shared" si="32"/>
        <v>2.8902868309555654E-2</v>
      </c>
      <c r="S64" s="2"/>
      <c r="T64" s="6">
        <v>122408</v>
      </c>
      <c r="U64" s="2"/>
      <c r="V64" s="7">
        <f t="shared" si="33"/>
        <v>2.4920591165739196E-2</v>
      </c>
      <c r="W64" s="2"/>
      <c r="X64" s="6">
        <f t="shared" si="34"/>
        <v>2184.3300000000163</v>
      </c>
      <c r="Y64" s="2"/>
      <c r="Z64" s="7">
        <f t="shared" si="35"/>
        <v>1.7844667015227897E-2</v>
      </c>
    </row>
    <row r="65" spans="1:26" s="24" customFormat="1" hidden="1" outlineLevel="2" x14ac:dyDescent="0.25">
      <c r="A65" s="25"/>
      <c r="B65" s="11" t="str">
        <f>CONCATENATE("          ", "6324", " - ", "FURNITURE + FIXT DEPRECIATION")</f>
        <v xml:space="preserve">          6324 - FURNITURE + FIXT DEPRECIATION</v>
      </c>
      <c r="C65" s="11"/>
      <c r="D65" s="6"/>
      <c r="E65" s="2"/>
      <c r="F65" s="7">
        <f t="shared" si="28"/>
        <v>0</v>
      </c>
      <c r="G65" s="2"/>
      <c r="H65" s="6">
        <v>4476</v>
      </c>
      <c r="I65" s="2"/>
      <c r="J65" s="7">
        <f t="shared" si="29"/>
        <v>5.4961517114692259E-3</v>
      </c>
      <c r="K65" s="2"/>
      <c r="L65" s="6">
        <f t="shared" si="30"/>
        <v>-4476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22610</v>
      </c>
      <c r="U65" s="2"/>
      <c r="V65" s="7">
        <f t="shared" si="33"/>
        <v>4.603086123924606E-3</v>
      </c>
      <c r="W65" s="2"/>
      <c r="X65" s="6">
        <f t="shared" si="34"/>
        <v>-22610</v>
      </c>
      <c r="Y65" s="2"/>
      <c r="Z65" s="7">
        <f t="shared" si="35"/>
        <v>-1</v>
      </c>
    </row>
    <row r="66" spans="1:26" s="24" customFormat="1" hidden="1" outlineLevel="2" x14ac:dyDescent="0.25">
      <c r="A66" s="25"/>
      <c r="B66" s="11" t="str">
        <f>CONCATENATE("          ", "6326", " - ", "VEHICLES DEPRECIATION EXPENSE")</f>
        <v xml:space="preserve">          6326 - VEHICLES DEPRECIATION EXPENSE</v>
      </c>
      <c r="C66" s="11"/>
      <c r="D66" s="6">
        <v>424.25</v>
      </c>
      <c r="E66" s="2"/>
      <c r="F66" s="7">
        <f t="shared" si="28"/>
        <v>5.2827863386310987E-4</v>
      </c>
      <c r="G66" s="2"/>
      <c r="H66" s="6">
        <v>2174</v>
      </c>
      <c r="I66" s="2"/>
      <c r="J66" s="7">
        <f t="shared" si="29"/>
        <v>2.6694892360889402E-3</v>
      </c>
      <c r="K66" s="2"/>
      <c r="L66" s="6">
        <f t="shared" si="30"/>
        <v>-1749.75</v>
      </c>
      <c r="M66" s="2"/>
      <c r="N66" s="7">
        <f t="shared" si="31"/>
        <v>-0.80485280588776453</v>
      </c>
      <c r="O66" s="11"/>
      <c r="P66" s="6">
        <v>3394</v>
      </c>
      <c r="Q66" s="2"/>
      <c r="R66" s="7">
        <f t="shared" si="32"/>
        <v>7.8733847454840822E-4</v>
      </c>
      <c r="S66" s="2"/>
      <c r="T66" s="6">
        <v>12142</v>
      </c>
      <c r="U66" s="2"/>
      <c r="V66" s="7">
        <f t="shared" si="33"/>
        <v>2.4719447906542489E-3</v>
      </c>
      <c r="W66" s="2"/>
      <c r="X66" s="6">
        <f t="shared" si="34"/>
        <v>-8748</v>
      </c>
      <c r="Y66" s="2"/>
      <c r="Z66" s="7">
        <f t="shared" si="35"/>
        <v>-0.72047438642727724</v>
      </c>
    </row>
    <row r="67" spans="1:26" s="27" customFormat="1" outlineLevel="1" collapsed="1" x14ac:dyDescent="0.25">
      <c r="A67" s="26"/>
      <c r="B67" s="13" t="str">
        <f>CONCATENATE("     ","Discounts and Markdowns                           ")</f>
        <v xml:space="preserve">     Discounts and Markdowns                           </v>
      </c>
      <c r="C67" s="13"/>
      <c r="D67" s="1">
        <f>SUM(OSRRefD22_6x_0)</f>
        <v>0</v>
      </c>
      <c r="E67" s="1"/>
      <c r="F67" s="5">
        <f t="shared" ref="F67:F77" si="36">IF(D$12=0,0,D67/D$12)</f>
        <v>0</v>
      </c>
      <c r="G67" s="1"/>
      <c r="H67" s="1">
        <f>SUM(OSRRefH22_6x_0)</f>
        <v>0</v>
      </c>
      <c r="I67" s="1"/>
      <c r="J67" s="5">
        <f t="shared" ref="J67:J77" si="37">IF(H$12=0,0,H67/H$12)</f>
        <v>0</v>
      </c>
      <c r="K67" s="1"/>
      <c r="L67" s="1">
        <f t="shared" ref="L67:L77" si="38">+D67-H67</f>
        <v>0</v>
      </c>
      <c r="M67" s="1"/>
      <c r="N67" s="5">
        <f t="shared" ref="N67:N77" si="39">IF(H67=0,0,L67/H67)</f>
        <v>0</v>
      </c>
      <c r="O67" s="13"/>
      <c r="P67" s="1">
        <f>SUM(OSRRefP22_6x_0)</f>
        <v>0.09</v>
      </c>
      <c r="Q67" s="1"/>
      <c r="R67" s="5">
        <f t="shared" ref="R67:R77" si="40">IF(P$12=0,0,P67/P$12)</f>
        <v>2.0878156366928916E-8</v>
      </c>
      <c r="S67" s="1"/>
      <c r="T67" s="1">
        <f>SUM(OSRRefT22_6x_0)</f>
        <v>0</v>
      </c>
      <c r="U67" s="1"/>
      <c r="V67" s="5">
        <f t="shared" ref="V67:V77" si="41">IF(T$12=0,0,T67/T$12)</f>
        <v>0</v>
      </c>
      <c r="W67" s="1"/>
      <c r="X67" s="1">
        <f t="shared" ref="X67:X77" si="42">+P67-T67</f>
        <v>0.09</v>
      </c>
      <c r="Y67" s="1"/>
      <c r="Z67" s="5">
        <f t="shared" ref="Z67:Z77" si="43">IF(T67=0,0,X67/T67)</f>
        <v>0</v>
      </c>
    </row>
    <row r="68" spans="1:26" s="24" customFormat="1" hidden="1" outlineLevel="2" x14ac:dyDescent="0.25">
      <c r="A68" s="25"/>
      <c r="B68" s="11" t="str">
        <f>CONCATENATE("          ", "6382", " - ", "DISCOUNTS/MARK DOWNS")</f>
        <v xml:space="preserve">          6382 - DISCOUNTS/MARK DOWNS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0.09</v>
      </c>
      <c r="Q68" s="2"/>
      <c r="R68" s="7">
        <f t="shared" si="40"/>
        <v>2.0878156366928916E-8</v>
      </c>
      <c r="S68" s="2"/>
      <c r="T68" s="6"/>
      <c r="U68" s="2"/>
      <c r="V68" s="7">
        <f t="shared" si="41"/>
        <v>0</v>
      </c>
      <c r="W68" s="2"/>
      <c r="X68" s="6">
        <f t="shared" si="42"/>
        <v>0.09</v>
      </c>
      <c r="Y68" s="2"/>
      <c r="Z68" s="7">
        <f t="shared" si="43"/>
        <v>0</v>
      </c>
    </row>
    <row r="69" spans="1:26" s="27" customFormat="1" outlineLevel="1" collapsed="1" x14ac:dyDescent="0.25">
      <c r="A69" s="26"/>
      <c r="B69" s="13" t="str">
        <f>CONCATENATE("     ","Donations                                         ")</f>
        <v xml:space="preserve">     Donations                                         </v>
      </c>
      <c r="C69" s="13"/>
      <c r="D69" s="1">
        <f>SUM(OSRRefD22_7x_0)</f>
        <v>0</v>
      </c>
      <c r="E69" s="1"/>
      <c r="F69" s="5">
        <f t="shared" si="36"/>
        <v>0</v>
      </c>
      <c r="G69" s="1"/>
      <c r="H69" s="1">
        <f>SUM(OSRRefH22_7x_0)</f>
        <v>0</v>
      </c>
      <c r="I69" s="1"/>
      <c r="J69" s="5">
        <f t="shared" si="37"/>
        <v>0</v>
      </c>
      <c r="K69" s="1"/>
      <c r="L69" s="1">
        <f t="shared" si="38"/>
        <v>0</v>
      </c>
      <c r="M69" s="1"/>
      <c r="N69" s="5">
        <f t="shared" si="39"/>
        <v>0</v>
      </c>
      <c r="O69" s="13"/>
      <c r="P69" s="1">
        <f>SUM(OSRRefP22_7x_0)</f>
        <v>236.68</v>
      </c>
      <c r="Q69" s="1"/>
      <c r="R69" s="5">
        <f t="shared" si="40"/>
        <v>5.4904911654719287E-5</v>
      </c>
      <c r="S69" s="1"/>
      <c r="T69" s="1">
        <f>SUM(OSRRefT22_7x_0)</f>
        <v>3500</v>
      </c>
      <c r="U69" s="1"/>
      <c r="V69" s="5">
        <f t="shared" si="41"/>
        <v>7.1255203156727655E-4</v>
      </c>
      <c r="W69" s="1"/>
      <c r="X69" s="1">
        <f t="shared" si="42"/>
        <v>-3263.32</v>
      </c>
      <c r="Y69" s="1"/>
      <c r="Z69" s="5">
        <f t="shared" si="43"/>
        <v>-0.9323771428571429</v>
      </c>
    </row>
    <row r="70" spans="1:26" s="24" customFormat="1" hidden="1" outlineLevel="2" x14ac:dyDescent="0.25">
      <c r="A70" s="25"/>
      <c r="B70" s="11" t="str">
        <f>CONCATENATE("          ", "6399", " - ", "DONATION-ON CAMPUS")</f>
        <v xml:space="preserve">          6399 - DONATION-ON CAMPUS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236.68</v>
      </c>
      <c r="Q70" s="2"/>
      <c r="R70" s="7">
        <f t="shared" si="40"/>
        <v>5.4904911654719287E-5</v>
      </c>
      <c r="S70" s="2"/>
      <c r="T70" s="6">
        <v>3500</v>
      </c>
      <c r="U70" s="2"/>
      <c r="V70" s="7">
        <f t="shared" si="41"/>
        <v>7.1255203156727655E-4</v>
      </c>
      <c r="W70" s="2"/>
      <c r="X70" s="6">
        <f t="shared" si="42"/>
        <v>-3263.32</v>
      </c>
      <c r="Y70" s="2"/>
      <c r="Z70" s="7">
        <f t="shared" si="43"/>
        <v>-0.9323771428571429</v>
      </c>
    </row>
    <row r="71" spans="1:26" s="27" customFormat="1" outlineLevel="1" collapsed="1" x14ac:dyDescent="0.25">
      <c r="A71" s="26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SUM(OSRRefD22_8x_0)</f>
        <v>113.93</v>
      </c>
      <c r="E71" s="1"/>
      <c r="F71" s="5">
        <f t="shared" si="36"/>
        <v>1.4186631645497728E-4</v>
      </c>
      <c r="G71" s="1"/>
      <c r="H71" s="1">
        <f>SUM(OSRRefH22_8x_0)</f>
        <v>225</v>
      </c>
      <c r="I71" s="1"/>
      <c r="J71" s="5">
        <f t="shared" si="37"/>
        <v>2.7628108469181765E-4</v>
      </c>
      <c r="K71" s="1"/>
      <c r="L71" s="1">
        <f t="shared" si="38"/>
        <v>-111.07</v>
      </c>
      <c r="M71" s="1"/>
      <c r="N71" s="5">
        <f t="shared" si="39"/>
        <v>-0.49364444444444444</v>
      </c>
      <c r="O71" s="13"/>
      <c r="P71" s="1">
        <f>SUM(OSRRefP22_8x_0)</f>
        <v>1486.58</v>
      </c>
      <c r="Q71" s="1"/>
      <c r="R71" s="5">
        <f t="shared" si="40"/>
        <v>3.4485610768832429E-4</v>
      </c>
      <c r="S71" s="1"/>
      <c r="T71" s="1">
        <f>SUM(OSRRefT22_8x_0)</f>
        <v>4040</v>
      </c>
      <c r="U71" s="1"/>
      <c r="V71" s="5">
        <f t="shared" si="41"/>
        <v>8.2248863072337058E-4</v>
      </c>
      <c r="W71" s="1"/>
      <c r="X71" s="1">
        <f t="shared" si="42"/>
        <v>-2553.42</v>
      </c>
      <c r="Y71" s="1"/>
      <c r="Z71" s="5">
        <f t="shared" si="43"/>
        <v>-0.6320346534653466</v>
      </c>
    </row>
    <row r="72" spans="1:26" s="24" customFormat="1" hidden="1" outlineLevel="2" x14ac:dyDescent="0.25">
      <c r="A72" s="25"/>
      <c r="B72" s="11" t="str">
        <f>CONCATENATE("          ", "6277", " - ", "EMPLOYEE APPRECIATION")</f>
        <v xml:space="preserve">          6277 - EMPLOYEE APPRECIATION</v>
      </c>
      <c r="C72" s="11"/>
      <c r="D72" s="6">
        <v>113.93</v>
      </c>
      <c r="E72" s="2"/>
      <c r="F72" s="7">
        <f t="shared" si="36"/>
        <v>1.4186631645497728E-4</v>
      </c>
      <c r="G72" s="2"/>
      <c r="H72" s="6">
        <v>225</v>
      </c>
      <c r="I72" s="2"/>
      <c r="J72" s="7">
        <f t="shared" si="37"/>
        <v>2.7628108469181765E-4</v>
      </c>
      <c r="K72" s="2"/>
      <c r="L72" s="6">
        <f t="shared" si="38"/>
        <v>-111.07</v>
      </c>
      <c r="M72" s="2"/>
      <c r="N72" s="7">
        <f t="shared" si="39"/>
        <v>-0.49364444444444444</v>
      </c>
      <c r="O72" s="11"/>
      <c r="P72" s="6">
        <v>1486.58</v>
      </c>
      <c r="Q72" s="2"/>
      <c r="R72" s="7">
        <f t="shared" si="40"/>
        <v>3.4485610768832429E-4</v>
      </c>
      <c r="S72" s="2"/>
      <c r="T72" s="6">
        <v>4040</v>
      </c>
      <c r="U72" s="2"/>
      <c r="V72" s="7">
        <f t="shared" si="41"/>
        <v>8.2248863072337058E-4</v>
      </c>
      <c r="W72" s="2"/>
      <c r="X72" s="6">
        <f t="shared" si="42"/>
        <v>-2553.42</v>
      </c>
      <c r="Y72" s="2"/>
      <c r="Z72" s="7">
        <f t="shared" si="43"/>
        <v>-0.6320346534653466</v>
      </c>
    </row>
    <row r="73" spans="1:26" s="27" customFormat="1" outlineLevel="1" collapsed="1" x14ac:dyDescent="0.25">
      <c r="A73" s="26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SUM(OSRRefD22_9x_0)</f>
        <v>2099.4</v>
      </c>
      <c r="E73" s="1"/>
      <c r="F73" s="5">
        <f t="shared" si="36"/>
        <v>2.6141854188148801E-3</v>
      </c>
      <c r="G73" s="1"/>
      <c r="H73" s="1">
        <f>SUM(OSRRefH22_9x_0)</f>
        <v>1510</v>
      </c>
      <c r="I73" s="1"/>
      <c r="J73" s="5">
        <f t="shared" si="37"/>
        <v>1.8541530572650873E-3</v>
      </c>
      <c r="K73" s="1"/>
      <c r="L73" s="1">
        <f t="shared" si="38"/>
        <v>589.40000000000009</v>
      </c>
      <c r="M73" s="1"/>
      <c r="N73" s="5">
        <f t="shared" si="39"/>
        <v>0.39033112582781465</v>
      </c>
      <c r="O73" s="13"/>
      <c r="P73" s="1">
        <f>SUM(OSRRefP22_9x_0)</f>
        <v>21659.289999999997</v>
      </c>
      <c r="Q73" s="1"/>
      <c r="R73" s="5">
        <f t="shared" si="40"/>
        <v>5.0245115935184416E-3</v>
      </c>
      <c r="S73" s="1"/>
      <c r="T73" s="1">
        <f>SUM(OSRRefT22_9x_0)</f>
        <v>11951</v>
      </c>
      <c r="U73" s="1"/>
      <c r="V73" s="5">
        <f t="shared" si="41"/>
        <v>2.4330598083601492E-3</v>
      </c>
      <c r="W73" s="1"/>
      <c r="X73" s="1">
        <f t="shared" si="42"/>
        <v>9708.2899999999972</v>
      </c>
      <c r="Y73" s="1"/>
      <c r="Z73" s="5">
        <f t="shared" si="43"/>
        <v>0.81234122667559172</v>
      </c>
    </row>
    <row r="74" spans="1:26" s="24" customFormat="1" hidden="1" outlineLevel="2" x14ac:dyDescent="0.25">
      <c r="A74" s="25"/>
      <c r="B74" s="11" t="str">
        <f>CONCATENATE("          ", "6351", " - ", "EQUIPMENT RENTAL")</f>
        <v xml:space="preserve">          6351 - EQUIPMENT RENTAL</v>
      </c>
      <c r="C74" s="11"/>
      <c r="D74" s="6">
        <v>2099.4</v>
      </c>
      <c r="E74" s="2"/>
      <c r="F74" s="7">
        <f t="shared" si="36"/>
        <v>2.6141854188148801E-3</v>
      </c>
      <c r="G74" s="2"/>
      <c r="H74" s="6">
        <v>1510</v>
      </c>
      <c r="I74" s="2"/>
      <c r="J74" s="7">
        <f t="shared" si="37"/>
        <v>1.8541530572650873E-3</v>
      </c>
      <c r="K74" s="2"/>
      <c r="L74" s="6">
        <f t="shared" si="38"/>
        <v>589.40000000000009</v>
      </c>
      <c r="M74" s="2"/>
      <c r="N74" s="7">
        <f t="shared" si="39"/>
        <v>0.39033112582781465</v>
      </c>
      <c r="O74" s="11"/>
      <c r="P74" s="6">
        <v>21659.289999999997</v>
      </c>
      <c r="Q74" s="2"/>
      <c r="R74" s="7">
        <f t="shared" si="40"/>
        <v>5.0245115935184416E-3</v>
      </c>
      <c r="S74" s="2"/>
      <c r="T74" s="6">
        <v>11951</v>
      </c>
      <c r="U74" s="2"/>
      <c r="V74" s="7">
        <f t="shared" si="41"/>
        <v>2.4330598083601492E-3</v>
      </c>
      <c r="W74" s="2"/>
      <c r="X74" s="6">
        <f t="shared" si="42"/>
        <v>9708.2899999999972</v>
      </c>
      <c r="Y74" s="2"/>
      <c r="Z74" s="7">
        <f t="shared" si="43"/>
        <v>0.81234122667559172</v>
      </c>
    </row>
    <row r="75" spans="1:26" s="27" customFormat="1" outlineLevel="1" collapsed="1" x14ac:dyDescent="0.25">
      <c r="A75" s="26"/>
      <c r="B75" s="13" t="str">
        <f>CONCATENATE("     ","General                                           ")</f>
        <v xml:space="preserve">     General                                           </v>
      </c>
      <c r="C75" s="13"/>
      <c r="D75" s="1">
        <f>SUM(OSRRefD22_10x_0)</f>
        <v>7173.32</v>
      </c>
      <c r="E75" s="1"/>
      <c r="F75" s="5">
        <f t="shared" si="36"/>
        <v>8.9322609071606912E-3</v>
      </c>
      <c r="G75" s="1"/>
      <c r="H75" s="1">
        <f>SUM(OSRRefH22_10x_0)</f>
        <v>4125</v>
      </c>
      <c r="I75" s="1"/>
      <c r="J75" s="5">
        <f t="shared" si="37"/>
        <v>5.0651532193499906E-3</v>
      </c>
      <c r="K75" s="1"/>
      <c r="L75" s="1">
        <f t="shared" si="38"/>
        <v>3048.3199999999997</v>
      </c>
      <c r="M75" s="1"/>
      <c r="N75" s="5">
        <f t="shared" si="39"/>
        <v>0.73898666666666657</v>
      </c>
      <c r="O75" s="13"/>
      <c r="P75" s="1">
        <f>SUM(OSRRefP22_10x_0)</f>
        <v>82279.92</v>
      </c>
      <c r="Q75" s="1"/>
      <c r="R75" s="5">
        <f t="shared" si="40"/>
        <v>1.9087255951315576E-2</v>
      </c>
      <c r="S75" s="1"/>
      <c r="T75" s="1">
        <f>SUM(OSRRefT22_10x_0)</f>
        <v>37025</v>
      </c>
      <c r="U75" s="1"/>
      <c r="V75" s="5">
        <f t="shared" si="41"/>
        <v>7.537782562508118E-3</v>
      </c>
      <c r="W75" s="1"/>
      <c r="X75" s="1">
        <f t="shared" si="42"/>
        <v>45254.92</v>
      </c>
      <c r="Y75" s="1"/>
      <c r="Z75" s="5">
        <f t="shared" si="43"/>
        <v>1.2222800810263335</v>
      </c>
    </row>
    <row r="76" spans="1:26" s="24" customFormat="1" hidden="1" outlineLevel="2" x14ac:dyDescent="0.25">
      <c r="A76" s="25"/>
      <c r="B76" s="11" t="str">
        <f>CONCATENATE("          ", "6269", " - ", "ENTERTAINMENT")</f>
        <v xml:space="preserve">          6269 - ENTERTAINMENT</v>
      </c>
      <c r="C76" s="11"/>
      <c r="D76" s="6">
        <v>2700</v>
      </c>
      <c r="E76" s="2"/>
      <c r="F76" s="7">
        <f t="shared" si="36"/>
        <v>3.3620561259408289E-3</v>
      </c>
      <c r="G76" s="2"/>
      <c r="H76" s="6">
        <v>900</v>
      </c>
      <c r="I76" s="2"/>
      <c r="J76" s="7">
        <f t="shared" si="37"/>
        <v>1.1051243387672706E-3</v>
      </c>
      <c r="K76" s="2"/>
      <c r="L76" s="6">
        <f t="shared" si="38"/>
        <v>1800</v>
      </c>
      <c r="M76" s="2"/>
      <c r="N76" s="7">
        <f t="shared" si="39"/>
        <v>2</v>
      </c>
      <c r="O76" s="11"/>
      <c r="P76" s="6">
        <v>10050</v>
      </c>
      <c r="Q76" s="2"/>
      <c r="R76" s="7">
        <f t="shared" si="40"/>
        <v>2.3313941276403957E-3</v>
      </c>
      <c r="S76" s="2"/>
      <c r="T76" s="6">
        <v>5600</v>
      </c>
      <c r="U76" s="2"/>
      <c r="V76" s="7">
        <f t="shared" si="41"/>
        <v>1.1400832505076425E-3</v>
      </c>
      <c r="W76" s="2"/>
      <c r="X76" s="6">
        <f t="shared" si="42"/>
        <v>4450</v>
      </c>
      <c r="Y76" s="2"/>
      <c r="Z76" s="7">
        <f t="shared" si="43"/>
        <v>0.7946428571428571</v>
      </c>
    </row>
    <row r="77" spans="1:26" s="24" customFormat="1" hidden="1" outlineLevel="2" x14ac:dyDescent="0.25">
      <c r="A77" s="25"/>
      <c r="B77" s="11" t="str">
        <f>CONCATENATE("          ", "6279", " - ", "GENERAL EXPENSE")</f>
        <v xml:space="preserve">          6279 - GENERAL EXPENSE</v>
      </c>
      <c r="C77" s="11"/>
      <c r="D77" s="6">
        <v>4473.32</v>
      </c>
      <c r="E77" s="2"/>
      <c r="F77" s="7">
        <f t="shared" si="36"/>
        <v>5.5702047812198618E-3</v>
      </c>
      <c r="G77" s="2"/>
      <c r="H77" s="6">
        <v>3225</v>
      </c>
      <c r="I77" s="2"/>
      <c r="J77" s="7">
        <f t="shared" si="37"/>
        <v>3.9600288805827196E-3</v>
      </c>
      <c r="K77" s="2"/>
      <c r="L77" s="6">
        <f t="shared" si="38"/>
        <v>1248.3199999999997</v>
      </c>
      <c r="M77" s="2"/>
      <c r="N77" s="7">
        <f t="shared" si="39"/>
        <v>0.387075968992248</v>
      </c>
      <c r="O77" s="11"/>
      <c r="P77" s="6">
        <v>72229.919999999998</v>
      </c>
      <c r="Q77" s="2"/>
      <c r="R77" s="7">
        <f t="shared" si="40"/>
        <v>1.6755861823675181E-2</v>
      </c>
      <c r="S77" s="2"/>
      <c r="T77" s="6">
        <v>31425</v>
      </c>
      <c r="U77" s="2"/>
      <c r="V77" s="7">
        <f t="shared" si="41"/>
        <v>6.3976993120004755E-3</v>
      </c>
      <c r="W77" s="2"/>
      <c r="X77" s="6">
        <f t="shared" si="42"/>
        <v>40804.92</v>
      </c>
      <c r="Y77" s="2"/>
      <c r="Z77" s="7">
        <f t="shared" si="43"/>
        <v>1.2984859188544151</v>
      </c>
    </row>
    <row r="78" spans="1:26" s="27" customFormat="1" outlineLevel="1" collapsed="1" x14ac:dyDescent="0.25">
      <c r="A78" s="26"/>
      <c r="B78" s="13" t="str">
        <f>CONCATENATE("     ","Insurance                                         ")</f>
        <v xml:space="preserve">     Insurance                                         </v>
      </c>
      <c r="C78" s="13"/>
      <c r="D78" s="1">
        <f>SUM(OSRRefD22_11x_0)</f>
        <v>10001.129999999999</v>
      </c>
      <c r="E78" s="1"/>
      <c r="F78" s="5">
        <f t="shared" ref="F78:F90" si="44">IF(D$12=0,0,D78/D$12)</f>
        <v>1.2453466808455778E-2</v>
      </c>
      <c r="G78" s="1"/>
      <c r="H78" s="1">
        <f>SUM(OSRRefH22_11x_0)</f>
        <v>4004</v>
      </c>
      <c r="I78" s="1"/>
      <c r="J78" s="5">
        <f t="shared" ref="J78:J90" si="45">IF(H$12=0,0,H78/H$12)</f>
        <v>4.9165753915823909E-3</v>
      </c>
      <c r="K78" s="1"/>
      <c r="L78" s="1">
        <f t="shared" ref="L78:L90" si="46">+D78-H78</f>
        <v>5997.1299999999992</v>
      </c>
      <c r="M78" s="1"/>
      <c r="N78" s="5">
        <f t="shared" ref="N78:N90" si="47">IF(H78=0,0,L78/H78)</f>
        <v>1.497784715284715</v>
      </c>
      <c r="O78" s="13"/>
      <c r="P78" s="1">
        <f>SUM(OSRRefP22_11x_0)</f>
        <v>39682.04</v>
      </c>
      <c r="Q78" s="1"/>
      <c r="R78" s="5">
        <f t="shared" ref="R78:R90" si="48">IF(P$12=0,0,P78/P$12)</f>
        <v>9.2054204008747541E-3</v>
      </c>
      <c r="S78" s="1"/>
      <c r="T78" s="1">
        <f>SUM(OSRRefT22_11x_0)</f>
        <v>32032</v>
      </c>
      <c r="U78" s="1"/>
      <c r="V78" s="5">
        <f t="shared" ref="V78:V90" si="49">IF(T$12=0,0,T78/T$12)</f>
        <v>6.521276192903715E-3</v>
      </c>
      <c r="W78" s="1"/>
      <c r="X78" s="1">
        <f t="shared" ref="X78:X90" si="50">+P78-T78</f>
        <v>7650.0400000000009</v>
      </c>
      <c r="Y78" s="1"/>
      <c r="Z78" s="5">
        <f t="shared" ref="Z78:Z90" si="51">IF(T78=0,0,X78/T78)</f>
        <v>0.23882492507492512</v>
      </c>
    </row>
    <row r="79" spans="1:26" s="24" customFormat="1" hidden="1" outlineLevel="2" x14ac:dyDescent="0.25">
      <c r="A79" s="25"/>
      <c r="B79" s="11" t="str">
        <f>CONCATENATE("          ", "6314", " - ", "LIABILITY INSURANCE")</f>
        <v xml:space="preserve">          6314 - LIABILITY INSURANCE</v>
      </c>
      <c r="C79" s="11"/>
      <c r="D79" s="6">
        <v>10001.129999999999</v>
      </c>
      <c r="E79" s="2"/>
      <c r="F79" s="7">
        <f t="shared" si="44"/>
        <v>1.2453466808455778E-2</v>
      </c>
      <c r="G79" s="2"/>
      <c r="H79" s="6">
        <v>4004</v>
      </c>
      <c r="I79" s="2"/>
      <c r="J79" s="7">
        <f t="shared" si="45"/>
        <v>4.9165753915823909E-3</v>
      </c>
      <c r="K79" s="2"/>
      <c r="L79" s="6">
        <f t="shared" si="46"/>
        <v>5997.1299999999992</v>
      </c>
      <c r="M79" s="2"/>
      <c r="N79" s="7">
        <f t="shared" si="47"/>
        <v>1.497784715284715</v>
      </c>
      <c r="O79" s="11"/>
      <c r="P79" s="6">
        <v>39682.04</v>
      </c>
      <c r="Q79" s="2"/>
      <c r="R79" s="7">
        <f t="shared" si="48"/>
        <v>9.2054204008747541E-3</v>
      </c>
      <c r="S79" s="2"/>
      <c r="T79" s="6">
        <v>32032</v>
      </c>
      <c r="U79" s="2"/>
      <c r="V79" s="7">
        <f t="shared" si="49"/>
        <v>6.521276192903715E-3</v>
      </c>
      <c r="W79" s="2"/>
      <c r="X79" s="6">
        <f t="shared" si="50"/>
        <v>7650.0400000000009</v>
      </c>
      <c r="Y79" s="2"/>
      <c r="Z79" s="7">
        <f t="shared" si="51"/>
        <v>0.23882492507492512</v>
      </c>
    </row>
    <row r="80" spans="1:26" s="27" customFormat="1" outlineLevel="1" collapsed="1" x14ac:dyDescent="0.25">
      <c r="A80" s="26"/>
      <c r="B80" s="13" t="str">
        <f>CONCATENATE("     ","Interest                                          ")</f>
        <v xml:space="preserve">     Interest                                          </v>
      </c>
      <c r="C80" s="13"/>
      <c r="D80" s="1">
        <f>SUM(OSRRefD22_12x_0)</f>
        <v>7754</v>
      </c>
      <c r="E80" s="1"/>
      <c r="F80" s="5">
        <f t="shared" si="44"/>
        <v>9.6553271113130317E-3</v>
      </c>
      <c r="G80" s="1"/>
      <c r="H80" s="1">
        <f>SUM(OSRRefH22_12x_0)</f>
        <v>7754</v>
      </c>
      <c r="I80" s="1"/>
      <c r="J80" s="5">
        <f t="shared" si="45"/>
        <v>9.5212601364460178E-3</v>
      </c>
      <c r="K80" s="1"/>
      <c r="L80" s="1">
        <f t="shared" si="46"/>
        <v>0</v>
      </c>
      <c r="M80" s="1"/>
      <c r="N80" s="5">
        <f t="shared" si="47"/>
        <v>0</v>
      </c>
      <c r="O80" s="13"/>
      <c r="P80" s="1">
        <f>SUM(OSRRefP22_12x_0)</f>
        <v>61639.049999999996</v>
      </c>
      <c r="Q80" s="1"/>
      <c r="R80" s="5">
        <f t="shared" si="48"/>
        <v>1.4298996935654996E-2</v>
      </c>
      <c r="S80" s="1"/>
      <c r="T80" s="1">
        <f>SUM(OSRRefT22_12x_0)</f>
        <v>62032</v>
      </c>
      <c r="U80" s="1"/>
      <c r="V80" s="5">
        <f t="shared" si="49"/>
        <v>1.2628865034908942E-2</v>
      </c>
      <c r="W80" s="1"/>
      <c r="X80" s="1">
        <f t="shared" si="50"/>
        <v>-392.95000000000437</v>
      </c>
      <c r="Y80" s="1"/>
      <c r="Z80" s="5">
        <f t="shared" si="51"/>
        <v>-6.3346337374259147E-3</v>
      </c>
    </row>
    <row r="81" spans="1:26" s="24" customFormat="1" hidden="1" outlineLevel="2" x14ac:dyDescent="0.25">
      <c r="A81" s="25"/>
      <c r="B81" s="11" t="str">
        <f>CONCATENATE("          ", "6401", " - ", "INTEREST EXPENSE")</f>
        <v xml:space="preserve">          6401 - INTEREST EXPENSE</v>
      </c>
      <c r="C81" s="11"/>
      <c r="D81" s="6">
        <v>7754</v>
      </c>
      <c r="E81" s="2"/>
      <c r="F81" s="7">
        <f t="shared" si="44"/>
        <v>9.6553271113130317E-3</v>
      </c>
      <c r="G81" s="2"/>
      <c r="H81" s="6">
        <v>7754</v>
      </c>
      <c r="I81" s="2"/>
      <c r="J81" s="7">
        <f t="shared" si="45"/>
        <v>9.5212601364460178E-3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61639.049999999996</v>
      </c>
      <c r="Q81" s="2"/>
      <c r="R81" s="7">
        <f t="shared" si="48"/>
        <v>1.4298996935654996E-2</v>
      </c>
      <c r="S81" s="2"/>
      <c r="T81" s="6">
        <v>62032</v>
      </c>
      <c r="U81" s="2"/>
      <c r="V81" s="7">
        <f t="shared" si="49"/>
        <v>1.2628865034908942E-2</v>
      </c>
      <c r="W81" s="2"/>
      <c r="X81" s="6">
        <f t="shared" si="50"/>
        <v>-392.95000000000437</v>
      </c>
      <c r="Y81" s="2"/>
      <c r="Z81" s="7">
        <f t="shared" si="51"/>
        <v>-6.3346337374259147E-3</v>
      </c>
    </row>
    <row r="82" spans="1:26" s="27" customFormat="1" outlineLevel="1" collapsed="1" x14ac:dyDescent="0.25">
      <c r="A82" s="26"/>
      <c r="B82" s="13" t="str">
        <f>CONCATENATE("     ","Professional Services                             ")</f>
        <v xml:space="preserve">     Professional Services                             </v>
      </c>
      <c r="C82" s="13"/>
      <c r="D82" s="1">
        <f>SUM(OSRRefD22_13x_0)</f>
        <v>0</v>
      </c>
      <c r="E82" s="1"/>
      <c r="F82" s="5">
        <f t="shared" si="44"/>
        <v>0</v>
      </c>
      <c r="G82" s="1"/>
      <c r="H82" s="1">
        <f>SUM(OSRRefH22_13x_0)</f>
        <v>0</v>
      </c>
      <c r="I82" s="1"/>
      <c r="J82" s="5">
        <f t="shared" si="45"/>
        <v>0</v>
      </c>
      <c r="K82" s="1"/>
      <c r="L82" s="1">
        <f t="shared" si="46"/>
        <v>0</v>
      </c>
      <c r="M82" s="1"/>
      <c r="N82" s="5">
        <f t="shared" si="47"/>
        <v>0</v>
      </c>
      <c r="O82" s="13"/>
      <c r="P82" s="1">
        <f>SUM(OSRRefP22_13x_0)</f>
        <v>125</v>
      </c>
      <c r="Q82" s="1"/>
      <c r="R82" s="5">
        <f t="shared" si="48"/>
        <v>2.8997439398512384E-5</v>
      </c>
      <c r="S82" s="1"/>
      <c r="T82" s="1">
        <f>SUM(OSRRefT22_13x_0)</f>
        <v>0</v>
      </c>
      <c r="U82" s="1"/>
      <c r="V82" s="5">
        <f t="shared" si="49"/>
        <v>0</v>
      </c>
      <c r="W82" s="1"/>
      <c r="X82" s="1">
        <f t="shared" si="50"/>
        <v>125</v>
      </c>
      <c r="Y82" s="1"/>
      <c r="Z82" s="5">
        <f t="shared" si="51"/>
        <v>0</v>
      </c>
    </row>
    <row r="83" spans="1:26" s="24" customFormat="1" hidden="1" outlineLevel="2" x14ac:dyDescent="0.25">
      <c r="A83" s="25"/>
      <c r="B83" s="11" t="str">
        <f>CONCATENATE("          ", "6336", " - ", "PROFESSIONAL SERVICES")</f>
        <v xml:space="preserve">          6336 - PROFESSIONAL SERVICES</v>
      </c>
      <c r="C83" s="11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>
        <v>125</v>
      </c>
      <c r="Q83" s="2"/>
      <c r="R83" s="7">
        <f t="shared" si="48"/>
        <v>2.8997439398512384E-5</v>
      </c>
      <c r="S83" s="2"/>
      <c r="T83" s="6"/>
      <c r="U83" s="2"/>
      <c r="V83" s="7">
        <f t="shared" si="49"/>
        <v>0</v>
      </c>
      <c r="W83" s="2"/>
      <c r="X83" s="6">
        <f t="shared" si="50"/>
        <v>125</v>
      </c>
      <c r="Y83" s="2"/>
      <c r="Z83" s="7">
        <f t="shared" si="51"/>
        <v>0</v>
      </c>
    </row>
    <row r="84" spans="1:26" s="27" customFormat="1" outlineLevel="1" collapsed="1" x14ac:dyDescent="0.25">
      <c r="A84" s="26"/>
      <c r="B84" s="13" t="str">
        <f>CONCATENATE("     ","Rent                                              ")</f>
        <v xml:space="preserve">     Rent                                              </v>
      </c>
      <c r="C84" s="13"/>
      <c r="D84" s="1">
        <f>SUM(OSRRefD22_14x_0)</f>
        <v>1850</v>
      </c>
      <c r="E84" s="1"/>
      <c r="F84" s="5">
        <f t="shared" si="44"/>
        <v>2.3036310492557531E-3</v>
      </c>
      <c r="G84" s="1"/>
      <c r="H84" s="1">
        <f>SUM(OSRRefH22_14x_0)</f>
        <v>1850</v>
      </c>
      <c r="I84" s="1"/>
      <c r="J84" s="5">
        <f t="shared" si="45"/>
        <v>2.2716444741327228E-3</v>
      </c>
      <c r="K84" s="1"/>
      <c r="L84" s="1">
        <f t="shared" si="46"/>
        <v>0</v>
      </c>
      <c r="M84" s="1"/>
      <c r="N84" s="5">
        <f t="shared" si="47"/>
        <v>0</v>
      </c>
      <c r="O84" s="13"/>
      <c r="P84" s="1">
        <f>SUM(OSRRefP22_14x_0)</f>
        <v>14800</v>
      </c>
      <c r="Q84" s="1"/>
      <c r="R84" s="5">
        <f t="shared" si="48"/>
        <v>3.4332968247838659E-3</v>
      </c>
      <c r="S84" s="1"/>
      <c r="T84" s="1">
        <f>SUM(OSRRefT22_14x_0)</f>
        <v>14800</v>
      </c>
      <c r="U84" s="1"/>
      <c r="V84" s="5">
        <f t="shared" si="49"/>
        <v>3.0130771620559119E-3</v>
      </c>
      <c r="W84" s="1"/>
      <c r="X84" s="1">
        <f t="shared" si="50"/>
        <v>0</v>
      </c>
      <c r="Y84" s="1"/>
      <c r="Z84" s="5">
        <f t="shared" si="51"/>
        <v>0</v>
      </c>
    </row>
    <row r="85" spans="1:26" s="24" customFormat="1" hidden="1" outlineLevel="2" x14ac:dyDescent="0.25">
      <c r="A85" s="25"/>
      <c r="B85" s="11" t="str">
        <f>CONCATENATE("          ", "6273", " - ", "RENT")</f>
        <v xml:space="preserve">          6273 - RENT</v>
      </c>
      <c r="C85" s="11"/>
      <c r="D85" s="6">
        <v>1850</v>
      </c>
      <c r="E85" s="2"/>
      <c r="F85" s="7">
        <f t="shared" si="44"/>
        <v>2.3036310492557531E-3</v>
      </c>
      <c r="G85" s="2"/>
      <c r="H85" s="6">
        <v>1850</v>
      </c>
      <c r="I85" s="2"/>
      <c r="J85" s="7">
        <f t="shared" si="45"/>
        <v>2.2716444741327228E-3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>
        <v>14800</v>
      </c>
      <c r="Q85" s="2"/>
      <c r="R85" s="7">
        <f t="shared" si="48"/>
        <v>3.4332968247838659E-3</v>
      </c>
      <c r="S85" s="2"/>
      <c r="T85" s="6">
        <v>14800</v>
      </c>
      <c r="U85" s="2"/>
      <c r="V85" s="7">
        <f t="shared" si="49"/>
        <v>3.0130771620559119E-3</v>
      </c>
      <c r="W85" s="2"/>
      <c r="X85" s="6">
        <f t="shared" si="50"/>
        <v>0</v>
      </c>
      <c r="Y85" s="2"/>
      <c r="Z85" s="7">
        <f t="shared" si="51"/>
        <v>0</v>
      </c>
    </row>
    <row r="86" spans="1:26" s="27" customFormat="1" outlineLevel="1" collapsed="1" x14ac:dyDescent="0.25">
      <c r="A86" s="26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SUM(OSRRefD22_15x_0)</f>
        <v>14821.25</v>
      </c>
      <c r="E86" s="1"/>
      <c r="F86" s="5">
        <f t="shared" si="44"/>
        <v>1.8455509020963153E-2</v>
      </c>
      <c r="G86" s="1"/>
      <c r="H86" s="1">
        <f>SUM(OSRRefH22_15x_0)</f>
        <v>30125</v>
      </c>
      <c r="I86" s="1"/>
      <c r="J86" s="5">
        <f t="shared" si="45"/>
        <v>3.6990967450404477E-2</v>
      </c>
      <c r="K86" s="1"/>
      <c r="L86" s="1">
        <f t="shared" si="46"/>
        <v>-15303.75</v>
      </c>
      <c r="M86" s="1"/>
      <c r="N86" s="5">
        <f t="shared" si="47"/>
        <v>-0.50800829875518672</v>
      </c>
      <c r="O86" s="13"/>
      <c r="P86" s="1">
        <f>SUM(OSRRefP22_15x_0)</f>
        <v>191751.55</v>
      </c>
      <c r="Q86" s="1"/>
      <c r="R86" s="5">
        <f t="shared" si="48"/>
        <v>4.4482431605566537E-2</v>
      </c>
      <c r="S86" s="1"/>
      <c r="T86" s="1">
        <f>SUM(OSRRefT22_15x_0)</f>
        <v>182146</v>
      </c>
      <c r="U86" s="1"/>
      <c r="V86" s="5">
        <f t="shared" si="49"/>
        <v>3.7082429240529471E-2</v>
      </c>
      <c r="W86" s="1"/>
      <c r="X86" s="1">
        <f t="shared" si="50"/>
        <v>9605.5499999999884</v>
      </c>
      <c r="Y86" s="1"/>
      <c r="Z86" s="5">
        <f t="shared" si="51"/>
        <v>5.2735442996277644E-2</v>
      </c>
    </row>
    <row r="87" spans="1:26" s="24" customFormat="1" hidden="1" outlineLevel="2" x14ac:dyDescent="0.25">
      <c r="A87" s="25"/>
      <c r="B87" s="11" t="str">
        <f>CONCATENATE("          ", "6371", " - ", "COMPUTER SOFTWARE MAINTENANCE")</f>
        <v xml:space="preserve">          6371 - COMPUTER SOFTWARE MAINTENANCE</v>
      </c>
      <c r="C87" s="11"/>
      <c r="D87" s="6"/>
      <c r="E87" s="2"/>
      <c r="F87" s="7">
        <f t="shared" si="44"/>
        <v>0</v>
      </c>
      <c r="G87" s="2"/>
      <c r="H87" s="6">
        <v>550</v>
      </c>
      <c r="I87" s="2"/>
      <c r="J87" s="7">
        <f t="shared" si="45"/>
        <v>6.7535376257999867E-4</v>
      </c>
      <c r="K87" s="2"/>
      <c r="L87" s="6">
        <f t="shared" si="46"/>
        <v>-550</v>
      </c>
      <c r="M87" s="2"/>
      <c r="N87" s="7">
        <f t="shared" si="47"/>
        <v>-1</v>
      </c>
      <c r="O87" s="11"/>
      <c r="P87" s="6">
        <v>10932.69</v>
      </c>
      <c r="Q87" s="2"/>
      <c r="R87" s="7">
        <f t="shared" si="48"/>
        <v>2.536160125901779E-3</v>
      </c>
      <c r="S87" s="2"/>
      <c r="T87" s="6">
        <v>2350</v>
      </c>
      <c r="U87" s="2"/>
      <c r="V87" s="7">
        <f t="shared" si="49"/>
        <v>4.7842779262374281E-4</v>
      </c>
      <c r="W87" s="2"/>
      <c r="X87" s="6">
        <f t="shared" si="50"/>
        <v>8582.69</v>
      </c>
      <c r="Y87" s="2"/>
      <c r="Z87" s="7">
        <f t="shared" si="51"/>
        <v>3.6522085106382982</v>
      </c>
    </row>
    <row r="88" spans="1:26" s="24" customFormat="1" hidden="1" outlineLevel="2" x14ac:dyDescent="0.25">
      <c r="A88" s="25"/>
      <c r="B88" s="11" t="str">
        <f>CONCATENATE("          ", "6372", " - ", "COMPUTER HARDWARE MAINTENANCE")</f>
        <v xml:space="preserve">          6372 - COMPUTER HARDWARE MAINTENANCE</v>
      </c>
      <c r="C88" s="11"/>
      <c r="D88" s="6"/>
      <c r="E88" s="2"/>
      <c r="F88" s="7">
        <f t="shared" si="44"/>
        <v>0</v>
      </c>
      <c r="G88" s="2"/>
      <c r="H88" s="6"/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>
        <v>-0.01</v>
      </c>
      <c r="Q88" s="2"/>
      <c r="R88" s="7">
        <f t="shared" si="48"/>
        <v>-2.3197951518809908E-9</v>
      </c>
      <c r="S88" s="2"/>
      <c r="T88" s="6">
        <v>200</v>
      </c>
      <c r="U88" s="2"/>
      <c r="V88" s="7">
        <f t="shared" si="49"/>
        <v>4.0717258946701514E-5</v>
      </c>
      <c r="W88" s="2"/>
      <c r="X88" s="6">
        <f t="shared" si="50"/>
        <v>-200.01</v>
      </c>
      <c r="Y88" s="2"/>
      <c r="Z88" s="7">
        <f t="shared" si="51"/>
        <v>-1.0000499999999999</v>
      </c>
    </row>
    <row r="89" spans="1:26" s="24" customFormat="1" hidden="1" outlineLevel="2" x14ac:dyDescent="0.25">
      <c r="A89" s="25"/>
      <c r="B89" s="11" t="str">
        <f>CONCATENATE("          ", "6373", " - ", "MAINTENANCE CONTRACTS")</f>
        <v xml:space="preserve">          6373 - MAINTENANCE CONTRACTS</v>
      </c>
      <c r="C89" s="11"/>
      <c r="D89" s="6">
        <v>6832.25</v>
      </c>
      <c r="E89" s="2"/>
      <c r="F89" s="7">
        <f t="shared" si="44"/>
        <v>8.5075585060960107E-3</v>
      </c>
      <c r="G89" s="2"/>
      <c r="H89" s="6">
        <v>2325</v>
      </c>
      <c r="I89" s="2"/>
      <c r="J89" s="7">
        <f t="shared" si="45"/>
        <v>2.854904541815449E-3</v>
      </c>
      <c r="K89" s="2"/>
      <c r="L89" s="6">
        <f t="shared" si="46"/>
        <v>4507.25</v>
      </c>
      <c r="M89" s="2"/>
      <c r="N89" s="7">
        <f t="shared" si="47"/>
        <v>1.9386021505376345</v>
      </c>
      <c r="O89" s="11"/>
      <c r="P89" s="6">
        <v>71952.87</v>
      </c>
      <c r="Q89" s="2"/>
      <c r="R89" s="7">
        <f t="shared" si="48"/>
        <v>1.6691591898992317E-2</v>
      </c>
      <c r="S89" s="2"/>
      <c r="T89" s="6">
        <v>18471</v>
      </c>
      <c r="U89" s="2"/>
      <c r="V89" s="7">
        <f t="shared" si="49"/>
        <v>3.7604424500226183E-3</v>
      </c>
      <c r="W89" s="2"/>
      <c r="X89" s="6">
        <f t="shared" si="50"/>
        <v>53481.869999999995</v>
      </c>
      <c r="Y89" s="2"/>
      <c r="Z89" s="7">
        <f t="shared" si="51"/>
        <v>2.895450706512912</v>
      </c>
    </row>
    <row r="90" spans="1:26" s="24" customFormat="1" hidden="1" outlineLevel="2" x14ac:dyDescent="0.25">
      <c r="A90" s="25"/>
      <c r="B90" s="11" t="str">
        <f>CONCATENATE("          ", "6375", " - ", "OUTSIDE REPAIRS &amp; MAINTENANCE")</f>
        <v xml:space="preserve">          6375 - OUTSIDE REPAIRS &amp; MAINTENANCE</v>
      </c>
      <c r="C90" s="11"/>
      <c r="D90" s="6">
        <v>7989</v>
      </c>
      <c r="E90" s="2"/>
      <c r="F90" s="7">
        <f t="shared" si="44"/>
        <v>9.9479505148671408E-3</v>
      </c>
      <c r="G90" s="2"/>
      <c r="H90" s="6">
        <v>27250</v>
      </c>
      <c r="I90" s="2"/>
      <c r="J90" s="7">
        <f t="shared" si="45"/>
        <v>3.3460709146009029E-2</v>
      </c>
      <c r="K90" s="2"/>
      <c r="L90" s="6">
        <f t="shared" si="46"/>
        <v>-19261</v>
      </c>
      <c r="M90" s="2"/>
      <c r="N90" s="7">
        <f t="shared" si="47"/>
        <v>-0.70682568807339452</v>
      </c>
      <c r="O90" s="11"/>
      <c r="P90" s="6">
        <v>108866</v>
      </c>
      <c r="Q90" s="2"/>
      <c r="R90" s="7">
        <f t="shared" si="48"/>
        <v>2.5254681900467594E-2</v>
      </c>
      <c r="S90" s="2"/>
      <c r="T90" s="6">
        <v>161125</v>
      </c>
      <c r="U90" s="2"/>
      <c r="V90" s="7">
        <f t="shared" si="49"/>
        <v>3.2802841738936411E-2</v>
      </c>
      <c r="W90" s="2"/>
      <c r="X90" s="6">
        <f t="shared" si="50"/>
        <v>-52259</v>
      </c>
      <c r="Y90" s="2"/>
      <c r="Z90" s="7">
        <f t="shared" si="51"/>
        <v>-0.32433824670287043</v>
      </c>
    </row>
    <row r="91" spans="1:26" s="27" customFormat="1" outlineLevel="1" collapsed="1" x14ac:dyDescent="0.25">
      <c r="A91" s="26"/>
      <c r="B91" s="13" t="str">
        <f>CONCATENATE("     ","Royalty &amp; Commissions                             ")</f>
        <v xml:space="preserve">     Royalty &amp; Commissions                             </v>
      </c>
      <c r="C91" s="13"/>
      <c r="D91" s="1">
        <f>SUM(OSRRefD22_16x_0)</f>
        <v>57281.539999999994</v>
      </c>
      <c r="E91" s="1"/>
      <c r="F91" s="5">
        <f t="shared" ref="F91:F95" si="52">IF(D$12=0,0,D91/D$12)</f>
        <v>7.1327315726046156E-2</v>
      </c>
      <c r="G91" s="1"/>
      <c r="H91" s="1">
        <f>SUM(OSRRefH22_16x_0)</f>
        <v>63200</v>
      </c>
      <c r="I91" s="1"/>
      <c r="J91" s="5">
        <f t="shared" ref="J91:J95" si="53">IF(H$12=0,0,H91/H$12)</f>
        <v>7.7604286900101668E-2</v>
      </c>
      <c r="K91" s="1"/>
      <c r="L91" s="1">
        <f t="shared" ref="L91:L95" si="54">+D91-H91</f>
        <v>-5918.4600000000064</v>
      </c>
      <c r="M91" s="1"/>
      <c r="N91" s="5">
        <f t="shared" ref="N91:N95" si="55">IF(H91=0,0,L91/H91)</f>
        <v>-9.3646518987341873E-2</v>
      </c>
      <c r="O91" s="13"/>
      <c r="P91" s="1">
        <f>SUM(OSRRefP22_16x_0)</f>
        <v>216803.65</v>
      </c>
      <c r="Q91" s="1"/>
      <c r="R91" s="5">
        <f t="shared" ref="R91:R95" si="56">IF(P$12=0,0,P91/P$12)</f>
        <v>5.0294005618010312E-2</v>
      </c>
      <c r="S91" s="1"/>
      <c r="T91" s="1">
        <f>SUM(OSRRefT22_16x_0)</f>
        <v>215101</v>
      </c>
      <c r="U91" s="1"/>
      <c r="V91" s="5">
        <f t="shared" ref="V91:V95" si="57">IF(T$12=0,0,T91/T$12)</f>
        <v>4.3791615583472214E-2</v>
      </c>
      <c r="W91" s="1"/>
      <c r="X91" s="1">
        <f t="shared" ref="X91:X95" si="58">+P91-T91</f>
        <v>1702.6499999999942</v>
      </c>
      <c r="Y91" s="1"/>
      <c r="Z91" s="5">
        <f t="shared" ref="Z91:Z95" si="59">IF(T91=0,0,X91/T91)</f>
        <v>7.9155838420090757E-3</v>
      </c>
    </row>
    <row r="92" spans="1:26" s="24" customFormat="1" hidden="1" outlineLevel="2" x14ac:dyDescent="0.25">
      <c r="A92" s="25"/>
      <c r="B92" s="11" t="str">
        <f>CONCATENATE("          ", "6252", " - ", "ROYALTY DUE CSTV")</f>
        <v xml:space="preserve">          6252 - ROYALTY DUE CSTV</v>
      </c>
      <c r="C92" s="11"/>
      <c r="D92" s="6"/>
      <c r="E92" s="2"/>
      <c r="F92" s="7">
        <f t="shared" si="52"/>
        <v>0</v>
      </c>
      <c r="G92" s="2"/>
      <c r="H92" s="6">
        <v>5400</v>
      </c>
      <c r="I92" s="2"/>
      <c r="J92" s="7">
        <f t="shared" si="53"/>
        <v>6.6307460326036237E-3</v>
      </c>
      <c r="K92" s="2"/>
      <c r="L92" s="6">
        <f t="shared" si="54"/>
        <v>-5400</v>
      </c>
      <c r="M92" s="2"/>
      <c r="N92" s="7">
        <f t="shared" si="55"/>
        <v>-1</v>
      </c>
      <c r="O92" s="11"/>
      <c r="P92" s="6"/>
      <c r="Q92" s="2"/>
      <c r="R92" s="7">
        <f t="shared" si="56"/>
        <v>0</v>
      </c>
      <c r="S92" s="2"/>
      <c r="T92" s="6">
        <v>5400</v>
      </c>
      <c r="U92" s="2"/>
      <c r="V92" s="7">
        <f t="shared" si="57"/>
        <v>1.0993659915609409E-3</v>
      </c>
      <c r="W92" s="2"/>
      <c r="X92" s="6">
        <f t="shared" si="58"/>
        <v>-5400</v>
      </c>
      <c r="Y92" s="2"/>
      <c r="Z92" s="7">
        <f t="shared" si="59"/>
        <v>-1</v>
      </c>
    </row>
    <row r="93" spans="1:26" s="24" customFormat="1" hidden="1" outlineLevel="2" x14ac:dyDescent="0.25">
      <c r="A93" s="25"/>
      <c r="B93" s="11" t="str">
        <f>CONCATENATE("          ", "6253", " - ", "ROYALTY DUE ATHLETICS-LRG")</f>
        <v xml:space="preserve">          6253 - ROYALTY DUE ATHLETICS-LRG</v>
      </c>
      <c r="C93" s="11"/>
      <c r="D93" s="6"/>
      <c r="E93" s="2"/>
      <c r="F93" s="7">
        <f t="shared" si="52"/>
        <v>0</v>
      </c>
      <c r="G93" s="2"/>
      <c r="H93" s="6">
        <v>40000</v>
      </c>
      <c r="I93" s="2"/>
      <c r="J93" s="7">
        <f t="shared" si="53"/>
        <v>4.9116637278545365E-2</v>
      </c>
      <c r="K93" s="2"/>
      <c r="L93" s="6">
        <f t="shared" si="54"/>
        <v>-40000</v>
      </c>
      <c r="M93" s="2"/>
      <c r="N93" s="7">
        <f t="shared" si="55"/>
        <v>-1</v>
      </c>
      <c r="O93" s="11"/>
      <c r="P93" s="6"/>
      <c r="Q93" s="2"/>
      <c r="R93" s="7">
        <f t="shared" si="56"/>
        <v>0</v>
      </c>
      <c r="S93" s="2"/>
      <c r="T93" s="6">
        <v>91000</v>
      </c>
      <c r="U93" s="2"/>
      <c r="V93" s="7">
        <f t="shared" si="57"/>
        <v>1.852635282074919E-2</v>
      </c>
      <c r="W93" s="2"/>
      <c r="X93" s="6">
        <f t="shared" si="58"/>
        <v>-91000</v>
      </c>
      <c r="Y93" s="2"/>
      <c r="Z93" s="7">
        <f t="shared" si="59"/>
        <v>-1</v>
      </c>
    </row>
    <row r="94" spans="1:26" s="24" customFormat="1" hidden="1" outlineLevel="2" x14ac:dyDescent="0.25">
      <c r="A94" s="25"/>
      <c r="B94" s="11" t="str">
        <f>CONCATENATE("          ", "6254", " - ", "ROYALTY &amp; COMMISSIONS")</f>
        <v xml:space="preserve">          6254 - ROYALTY &amp; COMMISSIONS</v>
      </c>
      <c r="C94" s="11"/>
      <c r="D94" s="6">
        <v>40423.06</v>
      </c>
      <c r="E94" s="2"/>
      <c r="F94" s="7">
        <f t="shared" si="52"/>
        <v>5.0335035741582844E-2</v>
      </c>
      <c r="G94" s="2"/>
      <c r="H94" s="6">
        <v>1000</v>
      </c>
      <c r="I94" s="2"/>
      <c r="J94" s="7">
        <f t="shared" si="53"/>
        <v>1.2279159319636341E-3</v>
      </c>
      <c r="K94" s="2"/>
      <c r="L94" s="6">
        <f t="shared" si="54"/>
        <v>39423.06</v>
      </c>
      <c r="M94" s="2"/>
      <c r="N94" s="7">
        <f t="shared" si="55"/>
        <v>39.42306</v>
      </c>
      <c r="O94" s="11"/>
      <c r="P94" s="6">
        <v>119091.48999999999</v>
      </c>
      <c r="Q94" s="2"/>
      <c r="R94" s="7">
        <f t="shared" si="56"/>
        <v>2.7626786113228347E-2</v>
      </c>
      <c r="S94" s="2"/>
      <c r="T94" s="6">
        <v>6117</v>
      </c>
      <c r="U94" s="2"/>
      <c r="V94" s="7">
        <f t="shared" si="57"/>
        <v>1.2453373648848658E-3</v>
      </c>
      <c r="W94" s="2"/>
      <c r="X94" s="6">
        <f t="shared" si="58"/>
        <v>112974.48999999999</v>
      </c>
      <c r="Y94" s="2"/>
      <c r="Z94" s="7">
        <f t="shared" si="59"/>
        <v>18.468937387608303</v>
      </c>
    </row>
    <row r="95" spans="1:26" s="24" customFormat="1" hidden="1" outlineLevel="2" x14ac:dyDescent="0.25">
      <c r="A95" s="25"/>
      <c r="B95" s="11" t="str">
        <f>CONCATENATE("          ", "6259", " - ", "ROYALTY &amp; COMMISSIONS")</f>
        <v xml:space="preserve">          6259 - ROYALTY &amp; COMMISSIONS</v>
      </c>
      <c r="C95" s="11"/>
      <c r="D95" s="6">
        <v>16858.48</v>
      </c>
      <c r="E95" s="2"/>
      <c r="F95" s="7">
        <f t="shared" si="52"/>
        <v>2.0992279984463312E-2</v>
      </c>
      <c r="G95" s="2"/>
      <c r="H95" s="6">
        <v>16800</v>
      </c>
      <c r="I95" s="2"/>
      <c r="J95" s="7">
        <f t="shared" si="53"/>
        <v>2.0628987656989051E-2</v>
      </c>
      <c r="K95" s="2"/>
      <c r="L95" s="6">
        <f t="shared" si="54"/>
        <v>58.479999999999563</v>
      </c>
      <c r="M95" s="2"/>
      <c r="N95" s="7">
        <f t="shared" si="55"/>
        <v>3.480952380952355E-3</v>
      </c>
      <c r="O95" s="11"/>
      <c r="P95" s="6">
        <v>97712.16</v>
      </c>
      <c r="Q95" s="2"/>
      <c r="R95" s="7">
        <f t="shared" si="56"/>
        <v>2.2667219504781965E-2</v>
      </c>
      <c r="S95" s="2"/>
      <c r="T95" s="6">
        <v>112584</v>
      </c>
      <c r="U95" s="2"/>
      <c r="V95" s="7">
        <f t="shared" si="57"/>
        <v>2.2920559406277217E-2</v>
      </c>
      <c r="W95" s="2"/>
      <c r="X95" s="6">
        <f t="shared" si="58"/>
        <v>-14871.839999999997</v>
      </c>
      <c r="Y95" s="2"/>
      <c r="Z95" s="7">
        <f t="shared" si="59"/>
        <v>-0.13209550202515452</v>
      </c>
    </row>
    <row r="96" spans="1:26" s="27" customFormat="1" outlineLevel="1" collapsed="1" x14ac:dyDescent="0.25">
      <c r="A96" s="26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SUM(OSRRefD22_17x_0)</f>
        <v>24268.91</v>
      </c>
      <c r="E96" s="1"/>
      <c r="F96" s="5">
        <f t="shared" ref="F96:F101" si="60">IF(D$12=0,0,D96/D$12)</f>
        <v>3.0219791679780238E-2</v>
      </c>
      <c r="G96" s="1"/>
      <c r="H96" s="1">
        <f>SUM(OSRRefH22_17x_0)</f>
        <v>23646</v>
      </c>
      <c r="I96" s="1"/>
      <c r="J96" s="5">
        <f t="shared" ref="J96:J101" si="61">IF(H$12=0,0,H96/H$12)</f>
        <v>2.9035300127212092E-2</v>
      </c>
      <c r="K96" s="1"/>
      <c r="L96" s="1">
        <f t="shared" ref="L96:L101" si="62">+D96-H96</f>
        <v>622.90999999999985</v>
      </c>
      <c r="M96" s="1"/>
      <c r="N96" s="5">
        <f t="shared" ref="N96:N101" si="63">IF(H96=0,0,L96/H96)</f>
        <v>2.6343144717922685E-2</v>
      </c>
      <c r="O96" s="13"/>
      <c r="P96" s="1">
        <f>SUM(OSRRefP22_17x_0)</f>
        <v>181268.77</v>
      </c>
      <c r="Q96" s="1"/>
      <c r="R96" s="5">
        <f t="shared" ref="R96:R101" si="64">IF(P$12=0,0,P96/P$12)</f>
        <v>4.2050641383343031E-2</v>
      </c>
      <c r="S96" s="1"/>
      <c r="T96" s="1">
        <f>SUM(OSRRefT22_17x_0)</f>
        <v>179347</v>
      </c>
      <c r="U96" s="1"/>
      <c r="V96" s="5">
        <f t="shared" ref="V96:V101" si="65">IF(T$12=0,0,T96/T$12)</f>
        <v>3.6512591201570382E-2</v>
      </c>
      <c r="W96" s="1"/>
      <c r="X96" s="1">
        <f t="shared" ref="X96:X101" si="66">+P96-T96</f>
        <v>1921.7699999999895</v>
      </c>
      <c r="Y96" s="1"/>
      <c r="Z96" s="5">
        <f t="shared" ref="Z96:Z101" si="67">IF(T96=0,0,X96/T96)</f>
        <v>1.0715372992020996E-2</v>
      </c>
    </row>
    <row r="97" spans="1:26" s="24" customFormat="1" hidden="1" outlineLevel="2" x14ac:dyDescent="0.25">
      <c r="A97" s="25"/>
      <c r="B97" s="11" t="str">
        <f>CONCATENATE("          ", "6282", " - ", "JANITORIAL/EXTERMINATOR EXPENS")</f>
        <v xml:space="preserve">          6282 - JANITORIAL/EXTERMINATOR EXPENS</v>
      </c>
      <c r="C97" s="11"/>
      <c r="D97" s="6">
        <v>1606.11</v>
      </c>
      <c r="E97" s="2"/>
      <c r="F97" s="7">
        <f t="shared" si="60"/>
        <v>1.9999377646054907E-3</v>
      </c>
      <c r="G97" s="2"/>
      <c r="H97" s="6">
        <v>1355</v>
      </c>
      <c r="I97" s="2"/>
      <c r="J97" s="7">
        <f t="shared" si="61"/>
        <v>1.6638260878107242E-3</v>
      </c>
      <c r="K97" s="2"/>
      <c r="L97" s="6">
        <f t="shared" si="62"/>
        <v>251.1099999999999</v>
      </c>
      <c r="M97" s="2"/>
      <c r="N97" s="7">
        <f t="shared" si="63"/>
        <v>0.18532103321033203</v>
      </c>
      <c r="O97" s="11"/>
      <c r="P97" s="6">
        <v>11498.13</v>
      </c>
      <c r="Q97" s="2"/>
      <c r="R97" s="7">
        <f t="shared" si="64"/>
        <v>2.6673306229697373E-3</v>
      </c>
      <c r="S97" s="2"/>
      <c r="T97" s="6">
        <v>10625</v>
      </c>
      <c r="U97" s="2"/>
      <c r="V97" s="7">
        <f t="shared" si="65"/>
        <v>2.163104381543518E-3</v>
      </c>
      <c r="W97" s="2"/>
      <c r="X97" s="6">
        <f t="shared" si="66"/>
        <v>873.1299999999992</v>
      </c>
      <c r="Y97" s="2"/>
      <c r="Z97" s="7">
        <f t="shared" si="67"/>
        <v>8.2176941176470508E-2</v>
      </c>
    </row>
    <row r="98" spans="1:26" s="24" customFormat="1" hidden="1" outlineLevel="2" x14ac:dyDescent="0.25">
      <c r="A98" s="25"/>
      <c r="B98" s="11" t="str">
        <f>CONCATENATE("          ", "6283", " - ", "PLANT SERVICE")</f>
        <v xml:space="preserve">          6283 - PLANT SERVICE</v>
      </c>
      <c r="C98" s="11"/>
      <c r="D98" s="6">
        <v>199.78</v>
      </c>
      <c r="E98" s="2"/>
      <c r="F98" s="7">
        <f t="shared" si="60"/>
        <v>2.4876724920016994E-4</v>
      </c>
      <c r="G98" s="2"/>
      <c r="H98" s="6">
        <v>185</v>
      </c>
      <c r="I98" s="2"/>
      <c r="J98" s="7">
        <f t="shared" si="61"/>
        <v>2.2716444741327231E-4</v>
      </c>
      <c r="K98" s="2"/>
      <c r="L98" s="6">
        <f t="shared" si="62"/>
        <v>14.780000000000001</v>
      </c>
      <c r="M98" s="2"/>
      <c r="N98" s="7">
        <f t="shared" si="63"/>
        <v>7.98918918918919E-2</v>
      </c>
      <c r="O98" s="11"/>
      <c r="P98" s="6">
        <v>998.9</v>
      </c>
      <c r="Q98" s="2"/>
      <c r="R98" s="7">
        <f t="shared" si="64"/>
        <v>2.3172433772139216E-4</v>
      </c>
      <c r="S98" s="2"/>
      <c r="T98" s="6">
        <v>1445</v>
      </c>
      <c r="U98" s="2"/>
      <c r="V98" s="7">
        <f t="shared" si="65"/>
        <v>2.9418219588991847E-4</v>
      </c>
      <c r="W98" s="2"/>
      <c r="X98" s="6">
        <f t="shared" si="66"/>
        <v>-446.1</v>
      </c>
      <c r="Y98" s="2"/>
      <c r="Z98" s="7">
        <f t="shared" si="67"/>
        <v>-0.30871972318339103</v>
      </c>
    </row>
    <row r="99" spans="1:26" s="24" customFormat="1" hidden="1" outlineLevel="2" x14ac:dyDescent="0.25">
      <c r="A99" s="25"/>
      <c r="B99" s="11" t="str">
        <f>CONCATENATE("          ", "6284", " - ", "TRASH REMOVAL EXPENSE")</f>
        <v xml:space="preserve">          6284 - TRASH REMOVAL EXPENSE</v>
      </c>
      <c r="C99" s="11"/>
      <c r="D99" s="6">
        <v>5130</v>
      </c>
      <c r="E99" s="2"/>
      <c r="F99" s="7">
        <f t="shared" si="60"/>
        <v>6.3879066392875748E-3</v>
      </c>
      <c r="G99" s="2"/>
      <c r="H99" s="6">
        <v>3515</v>
      </c>
      <c r="I99" s="2"/>
      <c r="J99" s="7">
        <f t="shared" si="61"/>
        <v>4.3161245008521733E-3</v>
      </c>
      <c r="K99" s="2"/>
      <c r="L99" s="6">
        <f t="shared" si="62"/>
        <v>1615</v>
      </c>
      <c r="M99" s="2"/>
      <c r="N99" s="7">
        <f t="shared" si="63"/>
        <v>0.45945945945945948</v>
      </c>
      <c r="O99" s="11"/>
      <c r="P99" s="6">
        <v>33153</v>
      </c>
      <c r="Q99" s="2"/>
      <c r="R99" s="7">
        <f t="shared" si="64"/>
        <v>7.6908168670310481E-3</v>
      </c>
      <c r="S99" s="2"/>
      <c r="T99" s="6">
        <v>28120</v>
      </c>
      <c r="U99" s="2"/>
      <c r="V99" s="7">
        <f t="shared" si="65"/>
        <v>5.7248466079062327E-3</v>
      </c>
      <c r="W99" s="2"/>
      <c r="X99" s="6">
        <f t="shared" si="66"/>
        <v>5033</v>
      </c>
      <c r="Y99" s="2"/>
      <c r="Z99" s="7">
        <f t="shared" si="67"/>
        <v>0.17898293029871978</v>
      </c>
    </row>
    <row r="100" spans="1:26" s="24" customFormat="1" hidden="1" outlineLevel="2" x14ac:dyDescent="0.25">
      <c r="A100" s="25"/>
      <c r="B100" s="11" t="str">
        <f>CONCATENATE("          ", "6285", " - ", "JANITORIAL SERVICES")</f>
        <v xml:space="preserve">          6285 - JANITORIAL SERVICES</v>
      </c>
      <c r="C100" s="11"/>
      <c r="D100" s="6">
        <v>14137.82</v>
      </c>
      <c r="E100" s="2"/>
      <c r="F100" s="7">
        <f t="shared" si="60"/>
        <v>1.7604497903129172E-2</v>
      </c>
      <c r="G100" s="2"/>
      <c r="H100" s="6">
        <v>13184</v>
      </c>
      <c r="I100" s="2"/>
      <c r="J100" s="7">
        <f t="shared" si="61"/>
        <v>1.6188843647008552E-2</v>
      </c>
      <c r="K100" s="2"/>
      <c r="L100" s="6">
        <f t="shared" si="62"/>
        <v>953.81999999999971</v>
      </c>
      <c r="M100" s="2"/>
      <c r="N100" s="7">
        <f t="shared" si="63"/>
        <v>7.2346783980582502E-2</v>
      </c>
      <c r="O100" s="11"/>
      <c r="P100" s="6">
        <v>109954.4</v>
      </c>
      <c r="Q100" s="2"/>
      <c r="R100" s="7">
        <f t="shared" si="64"/>
        <v>2.550716840479832E-2</v>
      </c>
      <c r="S100" s="2"/>
      <c r="T100" s="6">
        <v>105938</v>
      </c>
      <c r="U100" s="2"/>
      <c r="V100" s="7">
        <f t="shared" si="65"/>
        <v>2.1567524891478326E-2</v>
      </c>
      <c r="W100" s="2"/>
      <c r="X100" s="6">
        <f t="shared" si="66"/>
        <v>4016.3999999999942</v>
      </c>
      <c r="Y100" s="2"/>
      <c r="Z100" s="7">
        <f t="shared" si="67"/>
        <v>3.791274141478973E-2</v>
      </c>
    </row>
    <row r="101" spans="1:26" s="24" customFormat="1" hidden="1" outlineLevel="2" x14ac:dyDescent="0.25">
      <c r="A101" s="25"/>
      <c r="B101" s="11" t="str">
        <f>CONCATENATE("          ", "6286", " - ", "LAUNDRY EXPENSE")</f>
        <v xml:space="preserve">          6286 - LAUNDRY EXPENSE</v>
      </c>
      <c r="C101" s="11"/>
      <c r="D101" s="6">
        <v>3195.2</v>
      </c>
      <c r="E101" s="2"/>
      <c r="F101" s="7">
        <f t="shared" si="60"/>
        <v>3.9786821235578279E-3</v>
      </c>
      <c r="G101" s="2"/>
      <c r="H101" s="6">
        <v>5407</v>
      </c>
      <c r="I101" s="2"/>
      <c r="J101" s="7">
        <f t="shared" si="61"/>
        <v>6.6393414441273694E-3</v>
      </c>
      <c r="K101" s="2"/>
      <c r="L101" s="6">
        <f t="shared" si="62"/>
        <v>-2211.8000000000002</v>
      </c>
      <c r="M101" s="2"/>
      <c r="N101" s="7">
        <f t="shared" si="63"/>
        <v>-0.409062326613649</v>
      </c>
      <c r="O101" s="11"/>
      <c r="P101" s="6">
        <v>25664.34</v>
      </c>
      <c r="Q101" s="2"/>
      <c r="R101" s="7">
        <f t="shared" si="64"/>
        <v>5.9536011508225387E-3</v>
      </c>
      <c r="S101" s="2"/>
      <c r="T101" s="6">
        <v>33219</v>
      </c>
      <c r="U101" s="2"/>
      <c r="V101" s="7">
        <f t="shared" si="65"/>
        <v>6.7629331247523886E-3</v>
      </c>
      <c r="W101" s="2"/>
      <c r="X101" s="6">
        <f t="shared" si="66"/>
        <v>-7554.66</v>
      </c>
      <c r="Y101" s="2"/>
      <c r="Z101" s="7">
        <f t="shared" si="67"/>
        <v>-0.22741985008579427</v>
      </c>
    </row>
    <row r="102" spans="1:26" s="27" customFormat="1" outlineLevel="1" collapsed="1" x14ac:dyDescent="0.25">
      <c r="A102" s="26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SUM(OSRRefD22_18x_0)</f>
        <v>273.73</v>
      </c>
      <c r="E102" s="1"/>
      <c r="F102" s="5">
        <f t="shared" ref="F102:F104" si="68">IF(D$12=0,0,D102/D$12)</f>
        <v>3.4085023087177153E-4</v>
      </c>
      <c r="G102" s="1"/>
      <c r="H102" s="1">
        <f>SUM(OSRRefH22_18x_0)</f>
        <v>694</v>
      </c>
      <c r="I102" s="1"/>
      <c r="J102" s="5">
        <f t="shared" ref="J102:J104" si="69">IF(H$12=0,0,H102/H$12)</f>
        <v>8.5217365678276198E-4</v>
      </c>
      <c r="K102" s="1"/>
      <c r="L102" s="1">
        <f t="shared" ref="L102:L104" si="70">+D102-H102</f>
        <v>-420.27</v>
      </c>
      <c r="M102" s="1"/>
      <c r="N102" s="5">
        <f t="shared" ref="N102:N104" si="71">IF(H102=0,0,L102/H102)</f>
        <v>-0.60557636887608068</v>
      </c>
      <c r="O102" s="13"/>
      <c r="P102" s="1">
        <f>SUM(OSRRefP22_18x_0)</f>
        <v>7134.3099999999995</v>
      </c>
      <c r="Q102" s="1"/>
      <c r="R102" s="5">
        <f t="shared" ref="R102:R104" si="72">IF(P$12=0,0,P102/P$12)</f>
        <v>1.6550137750016068E-3</v>
      </c>
      <c r="S102" s="1"/>
      <c r="T102" s="1">
        <f>SUM(OSRRefT22_18x_0)</f>
        <v>3277</v>
      </c>
      <c r="U102" s="1"/>
      <c r="V102" s="5">
        <f t="shared" ref="V102:V104" si="73">IF(T$12=0,0,T102/T$12)</f>
        <v>6.6715228784170431E-4</v>
      </c>
      <c r="W102" s="1"/>
      <c r="X102" s="1">
        <f t="shared" ref="X102:X104" si="74">+P102-T102</f>
        <v>3857.3099999999995</v>
      </c>
      <c r="Y102" s="1"/>
      <c r="Z102" s="5">
        <f t="shared" ref="Z102:Z104" si="75">IF(T102=0,0,X102/T102)</f>
        <v>1.1770857491608178</v>
      </c>
    </row>
    <row r="103" spans="1:26" s="24" customFormat="1" hidden="1" outlineLevel="2" x14ac:dyDescent="0.25">
      <c r="A103" s="25"/>
      <c r="B103" s="11" t="str">
        <f>CONCATENATE("          ", "6258", " - ", "MEMBERSHIP DUES")</f>
        <v xml:space="preserve">          6258 - MEMBERSHIP DUES</v>
      </c>
      <c r="C103" s="11"/>
      <c r="D103" s="6">
        <v>-131.19999999999999</v>
      </c>
      <c r="E103" s="2"/>
      <c r="F103" s="7">
        <f t="shared" si="68"/>
        <v>-1.6337102360127286E-4</v>
      </c>
      <c r="G103" s="2"/>
      <c r="H103" s="6">
        <v>300</v>
      </c>
      <c r="I103" s="2"/>
      <c r="J103" s="7">
        <f t="shared" si="69"/>
        <v>3.683747795890902E-4</v>
      </c>
      <c r="K103" s="2"/>
      <c r="L103" s="6">
        <f t="shared" si="70"/>
        <v>-431.2</v>
      </c>
      <c r="M103" s="2"/>
      <c r="N103" s="7">
        <f t="shared" si="71"/>
        <v>-1.4373333333333334</v>
      </c>
      <c r="O103" s="11"/>
      <c r="P103" s="6">
        <v>3730</v>
      </c>
      <c r="Q103" s="2"/>
      <c r="R103" s="7">
        <f t="shared" si="72"/>
        <v>8.6528359165160954E-4</v>
      </c>
      <c r="S103" s="2"/>
      <c r="T103" s="6">
        <v>300</v>
      </c>
      <c r="U103" s="2"/>
      <c r="V103" s="7">
        <f t="shared" si="73"/>
        <v>6.1075888420052268E-5</v>
      </c>
      <c r="W103" s="2"/>
      <c r="X103" s="6">
        <f t="shared" si="74"/>
        <v>3430</v>
      </c>
      <c r="Y103" s="2"/>
      <c r="Z103" s="7">
        <f t="shared" si="75"/>
        <v>11.433333333333334</v>
      </c>
    </row>
    <row r="104" spans="1:26" s="24" customFormat="1" hidden="1" outlineLevel="2" x14ac:dyDescent="0.25">
      <c r="A104" s="25"/>
      <c r="B104" s="11" t="str">
        <f>CONCATENATE("          ", "6275", " - ", "SUBSCRIPTIONS")</f>
        <v xml:space="preserve">          6275 - SUBSCRIPTIONS</v>
      </c>
      <c r="C104" s="11"/>
      <c r="D104" s="6">
        <v>404.93</v>
      </c>
      <c r="E104" s="2"/>
      <c r="F104" s="7">
        <f t="shared" si="68"/>
        <v>5.0422125447304443E-4</v>
      </c>
      <c r="G104" s="2"/>
      <c r="H104" s="6">
        <v>394</v>
      </c>
      <c r="I104" s="2"/>
      <c r="J104" s="7">
        <f t="shared" si="69"/>
        <v>4.8379887719367183E-4</v>
      </c>
      <c r="K104" s="2"/>
      <c r="L104" s="6">
        <f t="shared" si="70"/>
        <v>10.930000000000007</v>
      </c>
      <c r="M104" s="2"/>
      <c r="N104" s="7">
        <f t="shared" si="71"/>
        <v>2.7741116751269054E-2</v>
      </c>
      <c r="O104" s="11"/>
      <c r="P104" s="6">
        <v>3404.31</v>
      </c>
      <c r="Q104" s="2"/>
      <c r="R104" s="7">
        <f t="shared" si="72"/>
        <v>7.897301833499975E-4</v>
      </c>
      <c r="S104" s="2"/>
      <c r="T104" s="6">
        <v>2977</v>
      </c>
      <c r="U104" s="2"/>
      <c r="V104" s="7">
        <f t="shared" si="73"/>
        <v>6.060763994216521E-4</v>
      </c>
      <c r="W104" s="2"/>
      <c r="X104" s="6">
        <f t="shared" si="74"/>
        <v>427.30999999999995</v>
      </c>
      <c r="Y104" s="2"/>
      <c r="Z104" s="7">
        <f t="shared" si="75"/>
        <v>0.14353711790393012</v>
      </c>
    </row>
    <row r="105" spans="1:26" s="27" customFormat="1" outlineLevel="1" collapsed="1" x14ac:dyDescent="0.25">
      <c r="A105" s="26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SUM(OSRRefD22_19x_0)</f>
        <v>22264.389999999996</v>
      </c>
      <c r="E105" s="1"/>
      <c r="F105" s="5">
        <f t="shared" ref="F105:F115" si="76">IF(D$12=0,0,D105/D$12)</f>
        <v>2.772375140364286E-2</v>
      </c>
      <c r="G105" s="1"/>
      <c r="H105" s="1">
        <f>SUM(OSRRefH22_19x_0)</f>
        <v>15226.3</v>
      </c>
      <c r="I105" s="1"/>
      <c r="J105" s="5">
        <f t="shared" ref="J105:J115" si="77">IF(H$12=0,0,H105/H$12)</f>
        <v>1.8696616354857878E-2</v>
      </c>
      <c r="K105" s="1"/>
      <c r="L105" s="1">
        <f t="shared" ref="L105:L115" si="78">+D105-H105</f>
        <v>7038.0899999999965</v>
      </c>
      <c r="M105" s="1"/>
      <c r="N105" s="5">
        <f t="shared" ref="N105:N115" si="79">IF(H105=0,0,L105/H105)</f>
        <v>0.46223245305819516</v>
      </c>
      <c r="O105" s="13"/>
      <c r="P105" s="1">
        <f>SUM(OSRRefP22_19x_0)</f>
        <v>153437.70000000001</v>
      </c>
      <c r="Q105" s="1"/>
      <c r="R105" s="5">
        <f t="shared" ref="R105:R115" si="80">IF(P$12=0,0,P105/P$12)</f>
        <v>3.5594403257576991E-2</v>
      </c>
      <c r="S105" s="1"/>
      <c r="T105" s="1">
        <f>SUM(OSRRefT22_19x_0)</f>
        <v>122169.80000000002</v>
      </c>
      <c r="U105" s="1"/>
      <c r="V105" s="5">
        <f t="shared" ref="V105:V115" si="81">IF(T$12=0,0,T105/T$12)</f>
        <v>2.4872096910333676E-2</v>
      </c>
      <c r="W105" s="1"/>
      <c r="X105" s="1">
        <f t="shared" ref="X105:X115" si="82">+P105-T105</f>
        <v>31267.899999999994</v>
      </c>
      <c r="Y105" s="1"/>
      <c r="Z105" s="5">
        <f t="shared" ref="Z105:Z115" si="83">IF(T105=0,0,X105/T105)</f>
        <v>0.25593804688228999</v>
      </c>
    </row>
    <row r="106" spans="1:26" s="24" customFormat="1" hidden="1" outlineLevel="2" x14ac:dyDescent="0.25">
      <c r="A106" s="25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>
        <v>360.61</v>
      </c>
      <c r="E106" s="2"/>
      <c r="F106" s="7">
        <f t="shared" si="76"/>
        <v>4.49033725768712E-4</v>
      </c>
      <c r="G106" s="2"/>
      <c r="H106" s="6">
        <v>500</v>
      </c>
      <c r="I106" s="2"/>
      <c r="J106" s="7">
        <f t="shared" si="77"/>
        <v>6.1395796598181704E-4</v>
      </c>
      <c r="K106" s="2"/>
      <c r="L106" s="6">
        <f t="shared" si="78"/>
        <v>-139.38999999999999</v>
      </c>
      <c r="M106" s="2"/>
      <c r="N106" s="7">
        <f t="shared" si="79"/>
        <v>-0.27877999999999997</v>
      </c>
      <c r="O106" s="11"/>
      <c r="P106" s="6">
        <v>13572.12</v>
      </c>
      <c r="Q106" s="2"/>
      <c r="R106" s="7">
        <f t="shared" si="80"/>
        <v>3.1484538176747034E-3</v>
      </c>
      <c r="S106" s="2"/>
      <c r="T106" s="6">
        <v>4650</v>
      </c>
      <c r="U106" s="2"/>
      <c r="V106" s="7">
        <f t="shared" si="81"/>
        <v>9.4667627051081018E-4</v>
      </c>
      <c r="W106" s="2"/>
      <c r="X106" s="6">
        <f t="shared" si="82"/>
        <v>8922.1200000000008</v>
      </c>
      <c r="Y106" s="2"/>
      <c r="Z106" s="7">
        <f t="shared" si="83"/>
        <v>1.9187354838709678</v>
      </c>
    </row>
    <row r="107" spans="1:26" s="24" customFormat="1" hidden="1" outlineLevel="2" x14ac:dyDescent="0.25">
      <c r="A107" s="25"/>
      <c r="B107" s="11" t="str">
        <f>CONCATENATE("          ", "6237", " - ", "JANITORIAL SUPPLIES")</f>
        <v xml:space="preserve">          6237 - JANITORIAL SUPPLIES</v>
      </c>
      <c r="C107" s="11"/>
      <c r="D107" s="6">
        <v>6739.72</v>
      </c>
      <c r="E107" s="2"/>
      <c r="F107" s="7">
        <f t="shared" si="76"/>
        <v>8.3923395974540467E-3</v>
      </c>
      <c r="G107" s="2"/>
      <c r="H107" s="6">
        <v>3511</v>
      </c>
      <c r="I107" s="2"/>
      <c r="J107" s="7">
        <f t="shared" si="77"/>
        <v>4.3112128371243195E-3</v>
      </c>
      <c r="K107" s="2"/>
      <c r="L107" s="6">
        <f t="shared" si="78"/>
        <v>3228.7200000000003</v>
      </c>
      <c r="M107" s="2"/>
      <c r="N107" s="7">
        <f t="shared" si="79"/>
        <v>0.91960125320421537</v>
      </c>
      <c r="O107" s="11"/>
      <c r="P107" s="6">
        <v>42669.9</v>
      </c>
      <c r="Q107" s="2"/>
      <c r="R107" s="7">
        <f t="shared" si="80"/>
        <v>9.8985427151246693E-3</v>
      </c>
      <c r="S107" s="2"/>
      <c r="T107" s="6">
        <v>34418</v>
      </c>
      <c r="U107" s="2"/>
      <c r="V107" s="7">
        <f t="shared" si="81"/>
        <v>7.0070330921378635E-3</v>
      </c>
      <c r="W107" s="2"/>
      <c r="X107" s="6">
        <f t="shared" si="82"/>
        <v>8251.9000000000015</v>
      </c>
      <c r="Y107" s="2"/>
      <c r="Z107" s="7">
        <f t="shared" si="83"/>
        <v>0.23975536056714514</v>
      </c>
    </row>
    <row r="108" spans="1:26" s="24" customFormat="1" hidden="1" outlineLevel="2" x14ac:dyDescent="0.25">
      <c r="A108" s="25"/>
      <c r="B108" s="11" t="str">
        <f>CONCATENATE("          ", "6239", " - ", "KITCHEN SUPPLIES")</f>
        <v xml:space="preserve">          6239 - KITCHEN SUPPLIES</v>
      </c>
      <c r="C108" s="11"/>
      <c r="D108" s="6">
        <v>7707.55</v>
      </c>
      <c r="E108" s="2"/>
      <c r="F108" s="7">
        <f t="shared" si="76"/>
        <v>9.5974872938871247E-3</v>
      </c>
      <c r="G108" s="2"/>
      <c r="H108" s="6">
        <v>4610</v>
      </c>
      <c r="I108" s="2"/>
      <c r="J108" s="7">
        <f t="shared" si="77"/>
        <v>5.6606924463523528E-3</v>
      </c>
      <c r="K108" s="2"/>
      <c r="L108" s="6">
        <f t="shared" si="78"/>
        <v>3097.55</v>
      </c>
      <c r="M108" s="2"/>
      <c r="N108" s="7">
        <f t="shared" si="79"/>
        <v>0.67191973969631236</v>
      </c>
      <c r="O108" s="11"/>
      <c r="P108" s="6">
        <v>43555.950000000004</v>
      </c>
      <c r="Q108" s="2"/>
      <c r="R108" s="7">
        <f t="shared" si="80"/>
        <v>1.0104088164557084E-2</v>
      </c>
      <c r="S108" s="2"/>
      <c r="T108" s="6">
        <v>26074.710000000003</v>
      </c>
      <c r="U108" s="2"/>
      <c r="V108" s="7">
        <f t="shared" si="81"/>
        <v>5.308453595150738E-3</v>
      </c>
      <c r="W108" s="2"/>
      <c r="X108" s="6">
        <f t="shared" si="82"/>
        <v>17481.240000000002</v>
      </c>
      <c r="Y108" s="2"/>
      <c r="Z108" s="7">
        <f t="shared" si="83"/>
        <v>0.67042893286253236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177.55</v>
      </c>
      <c r="E109" s="2"/>
      <c r="F109" s="7">
        <f t="shared" si="76"/>
        <v>2.2108632042992378E-4</v>
      </c>
      <c r="G109" s="2"/>
      <c r="H109" s="6">
        <v>1320</v>
      </c>
      <c r="I109" s="2"/>
      <c r="J109" s="7">
        <f t="shared" si="77"/>
        <v>1.6208490301919969E-3</v>
      </c>
      <c r="K109" s="2"/>
      <c r="L109" s="6">
        <f t="shared" si="78"/>
        <v>-1142.45</v>
      </c>
      <c r="M109" s="2"/>
      <c r="N109" s="7">
        <f t="shared" si="79"/>
        <v>-0.86549242424242423</v>
      </c>
      <c r="O109" s="11"/>
      <c r="P109" s="6">
        <v>15459.249999999998</v>
      </c>
      <c r="Q109" s="2"/>
      <c r="R109" s="7">
        <f t="shared" si="80"/>
        <v>3.5862293201716199E-3</v>
      </c>
      <c r="S109" s="2"/>
      <c r="T109" s="6">
        <v>7361.25</v>
      </c>
      <c r="U109" s="2"/>
      <c r="V109" s="7">
        <f t="shared" si="81"/>
        <v>1.4986496121070327E-3</v>
      </c>
      <c r="W109" s="2"/>
      <c r="X109" s="6">
        <f t="shared" si="82"/>
        <v>8097.9999999999982</v>
      </c>
      <c r="Y109" s="2"/>
      <c r="Z109" s="7">
        <f t="shared" si="83"/>
        <v>1.1000849040584137</v>
      </c>
    </row>
    <row r="110" spans="1:26" s="24" customFormat="1" hidden="1" outlineLevel="2" x14ac:dyDescent="0.25">
      <c r="A110" s="25"/>
      <c r="B110" s="11" t="str">
        <f>CONCATENATE("          ", "6243", " - ", "PAPER SUPPLIES")</f>
        <v xml:space="preserve">          6243 - PAPER SUPPLIES</v>
      </c>
      <c r="C110" s="11"/>
      <c r="D110" s="6">
        <v>3650.49</v>
      </c>
      <c r="E110" s="2"/>
      <c r="F110" s="7">
        <f t="shared" si="76"/>
        <v>4.5456119508095316E-3</v>
      </c>
      <c r="G110" s="2"/>
      <c r="H110" s="6">
        <v>4605</v>
      </c>
      <c r="I110" s="2"/>
      <c r="J110" s="7">
        <f t="shared" si="77"/>
        <v>5.6545528666925348E-3</v>
      </c>
      <c r="K110" s="2"/>
      <c r="L110" s="6">
        <f t="shared" si="78"/>
        <v>-954.51000000000022</v>
      </c>
      <c r="M110" s="2"/>
      <c r="N110" s="7">
        <f t="shared" si="79"/>
        <v>-0.20727687296416944</v>
      </c>
      <c r="O110" s="11"/>
      <c r="P110" s="6">
        <v>27361.42</v>
      </c>
      <c r="Q110" s="2"/>
      <c r="R110" s="7">
        <f t="shared" si="80"/>
        <v>6.3472889464579567E-3</v>
      </c>
      <c r="S110" s="2"/>
      <c r="T110" s="6">
        <v>31039.52</v>
      </c>
      <c r="U110" s="2"/>
      <c r="V110" s="7">
        <f t="shared" si="81"/>
        <v>6.3192208671066031E-3</v>
      </c>
      <c r="W110" s="2"/>
      <c r="X110" s="6">
        <f t="shared" si="82"/>
        <v>-3678.1000000000022</v>
      </c>
      <c r="Y110" s="2"/>
      <c r="Z110" s="7">
        <f t="shared" si="83"/>
        <v>-0.11849732212353806</v>
      </c>
    </row>
    <row r="111" spans="1:26" s="24" customFormat="1" hidden="1" outlineLevel="2" x14ac:dyDescent="0.25">
      <c r="A111" s="25"/>
      <c r="B111" s="11" t="str">
        <f>CONCATENATE("          ", "6244", " - ", "SAFETY SUPPLY EXPENSE")</f>
        <v xml:space="preserve">          6244 - SAFETY SUPPLY EXPENSE</v>
      </c>
      <c r="C111" s="11"/>
      <c r="D111" s="6"/>
      <c r="E111" s="2"/>
      <c r="F111" s="7">
        <f t="shared" si="76"/>
        <v>0</v>
      </c>
      <c r="G111" s="2"/>
      <c r="H111" s="6">
        <v>110</v>
      </c>
      <c r="I111" s="2"/>
      <c r="J111" s="7">
        <f t="shared" si="77"/>
        <v>1.3507075251599976E-4</v>
      </c>
      <c r="K111" s="2"/>
      <c r="L111" s="6">
        <f t="shared" si="78"/>
        <v>-110</v>
      </c>
      <c r="M111" s="2"/>
      <c r="N111" s="7">
        <f t="shared" si="79"/>
        <v>-1</v>
      </c>
      <c r="O111" s="11"/>
      <c r="P111" s="6"/>
      <c r="Q111" s="2"/>
      <c r="R111" s="7">
        <f t="shared" si="80"/>
        <v>0</v>
      </c>
      <c r="S111" s="2"/>
      <c r="T111" s="6">
        <v>880</v>
      </c>
      <c r="U111" s="2"/>
      <c r="V111" s="7">
        <f t="shared" si="81"/>
        <v>1.7915593936548667E-4</v>
      </c>
      <c r="W111" s="2"/>
      <c r="X111" s="6">
        <f t="shared" si="82"/>
        <v>-880</v>
      </c>
      <c r="Y111" s="2"/>
      <c r="Z111" s="7">
        <f t="shared" si="83"/>
        <v>-1</v>
      </c>
    </row>
    <row r="112" spans="1:26" s="24" customFormat="1" hidden="1" outlineLevel="2" x14ac:dyDescent="0.25">
      <c r="A112" s="25"/>
      <c r="B112" s="11" t="str">
        <f>CONCATENATE("          ", "6245", " - ", "PRINTING")</f>
        <v xml:space="preserve">          6245 - PRINTING</v>
      </c>
      <c r="C112" s="11"/>
      <c r="D112" s="6"/>
      <c r="E112" s="2"/>
      <c r="F112" s="7">
        <f t="shared" si="76"/>
        <v>0</v>
      </c>
      <c r="G112" s="2"/>
      <c r="H112" s="6">
        <v>50</v>
      </c>
      <c r="I112" s="2"/>
      <c r="J112" s="7">
        <f t="shared" si="77"/>
        <v>6.1395796598181696E-5</v>
      </c>
      <c r="K112" s="2"/>
      <c r="L112" s="6">
        <f t="shared" si="78"/>
        <v>-50</v>
      </c>
      <c r="M112" s="2"/>
      <c r="N112" s="7">
        <f t="shared" si="79"/>
        <v>-1</v>
      </c>
      <c r="O112" s="11"/>
      <c r="P112" s="6">
        <v>531.28</v>
      </c>
      <c r="Q112" s="2"/>
      <c r="R112" s="7">
        <f t="shared" si="80"/>
        <v>1.2324607682913326E-4</v>
      </c>
      <c r="S112" s="2"/>
      <c r="T112" s="6">
        <v>2000</v>
      </c>
      <c r="U112" s="2"/>
      <c r="V112" s="7">
        <f t="shared" si="81"/>
        <v>4.0717258946701515E-4</v>
      </c>
      <c r="W112" s="2"/>
      <c r="X112" s="6">
        <f t="shared" si="82"/>
        <v>-1468.72</v>
      </c>
      <c r="Y112" s="2"/>
      <c r="Z112" s="7">
        <f t="shared" si="83"/>
        <v>-0.73436000000000001</v>
      </c>
    </row>
    <row r="113" spans="1:26" s="24" customFormat="1" hidden="1" outlineLevel="2" x14ac:dyDescent="0.25">
      <c r="A113" s="25"/>
      <c r="B113" s="11" t="str">
        <f>CONCATENATE("          ", "6246", " - ", "REPLACEMENTS")</f>
        <v xml:space="preserve">          6246 - REPLACEMENTS</v>
      </c>
      <c r="C113" s="11"/>
      <c r="D113" s="6">
        <v>25.87</v>
      </c>
      <c r="E113" s="2"/>
      <c r="F113" s="7">
        <f t="shared" si="76"/>
        <v>3.2213478510403425E-5</v>
      </c>
      <c r="G113" s="2"/>
      <c r="H113" s="6"/>
      <c r="I113" s="2"/>
      <c r="J113" s="7">
        <f t="shared" si="77"/>
        <v>0</v>
      </c>
      <c r="K113" s="2"/>
      <c r="L113" s="6">
        <f t="shared" si="78"/>
        <v>25.87</v>
      </c>
      <c r="M113" s="2"/>
      <c r="N113" s="7">
        <f t="shared" si="79"/>
        <v>0</v>
      </c>
      <c r="O113" s="11"/>
      <c r="P113" s="6">
        <v>25.87</v>
      </c>
      <c r="Q113" s="2"/>
      <c r="R113" s="7">
        <f t="shared" si="80"/>
        <v>6.0013100579161229E-6</v>
      </c>
      <c r="S113" s="2"/>
      <c r="T113" s="6">
        <v>2400</v>
      </c>
      <c r="U113" s="2"/>
      <c r="V113" s="7">
        <f t="shared" si="81"/>
        <v>4.8860710736041814E-4</v>
      </c>
      <c r="W113" s="2"/>
      <c r="X113" s="6">
        <f t="shared" si="82"/>
        <v>-2374.13</v>
      </c>
      <c r="Y113" s="2"/>
      <c r="Z113" s="7">
        <f t="shared" si="83"/>
        <v>-0.98922083333333333</v>
      </c>
    </row>
    <row r="114" spans="1:26" s="24" customFormat="1" hidden="1" outlineLevel="2" x14ac:dyDescent="0.25">
      <c r="A114" s="25"/>
      <c r="B114" s="11" t="str">
        <f>CONCATENATE("          ", "6247", " - ", "STORE SUPPLIES")</f>
        <v xml:space="preserve">          6247 - STORE SUPPLIES</v>
      </c>
      <c r="C114" s="11"/>
      <c r="D114" s="6">
        <v>3144.53</v>
      </c>
      <c r="E114" s="2"/>
      <c r="F114" s="7">
        <f t="shared" si="76"/>
        <v>3.9155875369276723E-3</v>
      </c>
      <c r="G114" s="2"/>
      <c r="H114" s="6">
        <v>270.3</v>
      </c>
      <c r="I114" s="2"/>
      <c r="J114" s="7">
        <f t="shared" si="77"/>
        <v>3.3190567640977028E-4</v>
      </c>
      <c r="K114" s="2"/>
      <c r="L114" s="6">
        <f t="shared" si="78"/>
        <v>2874.23</v>
      </c>
      <c r="M114" s="2"/>
      <c r="N114" s="7">
        <f t="shared" si="79"/>
        <v>10.633481317055123</v>
      </c>
      <c r="O114" s="11"/>
      <c r="P114" s="6">
        <v>5921.14</v>
      </c>
      <c r="Q114" s="2"/>
      <c r="R114" s="7">
        <f t="shared" si="80"/>
        <v>1.373583186560861E-3</v>
      </c>
      <c r="S114" s="2"/>
      <c r="T114" s="6">
        <v>4046.32</v>
      </c>
      <c r="U114" s="2"/>
      <c r="V114" s="7">
        <f t="shared" si="81"/>
        <v>8.2377529610608638E-4</v>
      </c>
      <c r="W114" s="2"/>
      <c r="X114" s="6">
        <f t="shared" si="82"/>
        <v>1874.8200000000002</v>
      </c>
      <c r="Y114" s="2"/>
      <c r="Z114" s="7">
        <f t="shared" si="83"/>
        <v>0.46333952826271774</v>
      </c>
    </row>
    <row r="115" spans="1:26" s="24" customFormat="1" hidden="1" outlineLevel="2" x14ac:dyDescent="0.25">
      <c r="A115" s="25"/>
      <c r="B115" s="11" t="str">
        <f>CONCATENATE("          ", "6248", " - ", "UNIFORMS")</f>
        <v xml:space="preserve">          6248 - UNIFORMS</v>
      </c>
      <c r="C115" s="11"/>
      <c r="D115" s="6">
        <v>458.07</v>
      </c>
      <c r="E115" s="2"/>
      <c r="F115" s="7">
        <f t="shared" si="76"/>
        <v>5.7039149985545017E-4</v>
      </c>
      <c r="G115" s="2"/>
      <c r="H115" s="6">
        <v>250</v>
      </c>
      <c r="I115" s="2"/>
      <c r="J115" s="7">
        <f t="shared" si="77"/>
        <v>3.0697898299090852E-4</v>
      </c>
      <c r="K115" s="2"/>
      <c r="L115" s="6">
        <f t="shared" si="78"/>
        <v>208.07</v>
      </c>
      <c r="M115" s="2"/>
      <c r="N115" s="7">
        <f t="shared" si="79"/>
        <v>0.83228000000000002</v>
      </c>
      <c r="O115" s="11"/>
      <c r="P115" s="6">
        <v>4340.7700000000004</v>
      </c>
      <c r="Q115" s="2"/>
      <c r="R115" s="7">
        <f t="shared" si="80"/>
        <v>1.0069697201430449E-3</v>
      </c>
      <c r="S115" s="2"/>
      <c r="T115" s="6">
        <v>9300</v>
      </c>
      <c r="U115" s="2"/>
      <c r="V115" s="7">
        <f t="shared" si="81"/>
        <v>1.8933525410216204E-3</v>
      </c>
      <c r="W115" s="2"/>
      <c r="X115" s="6">
        <f t="shared" si="82"/>
        <v>-4959.2299999999996</v>
      </c>
      <c r="Y115" s="2"/>
      <c r="Z115" s="7">
        <f t="shared" si="83"/>
        <v>-0.53325053763440855</v>
      </c>
    </row>
    <row r="116" spans="1:26" s="27" customFormat="1" outlineLevel="1" collapsed="1" x14ac:dyDescent="0.25">
      <c r="A116" s="26"/>
      <c r="B116" s="13" t="str">
        <f>CONCATENATE("     ","Telephone/Data Lines                              ")</f>
        <v xml:space="preserve">     Telephone/Data Lines                              </v>
      </c>
      <c r="C116" s="13"/>
      <c r="D116" s="1">
        <f>SUM(OSRRefD22_20x_0)</f>
        <v>1561.6</v>
      </c>
      <c r="E116" s="1"/>
      <c r="F116" s="5">
        <f t="shared" ref="F116:F118" si="84">IF(D$12=0,0,D116/D$12)</f>
        <v>1.9445136467663698E-3</v>
      </c>
      <c r="G116" s="1"/>
      <c r="H116" s="1">
        <f>SUM(OSRRefH22_20x_0)</f>
        <v>2011</v>
      </c>
      <c r="I116" s="1"/>
      <c r="J116" s="5">
        <f t="shared" ref="J116:J118" si="85">IF(H$12=0,0,H116/H$12)</f>
        <v>2.4693389391788681E-3</v>
      </c>
      <c r="K116" s="1"/>
      <c r="L116" s="1">
        <f t="shared" ref="L116:L118" si="86">+D116-H116</f>
        <v>-449.40000000000009</v>
      </c>
      <c r="M116" s="1"/>
      <c r="N116" s="5">
        <f t="shared" ref="N116:N118" si="87">IF(H116=0,0,L116/H116)</f>
        <v>-0.22347090999502739</v>
      </c>
      <c r="O116" s="13"/>
      <c r="P116" s="1">
        <f>SUM(OSRRefP22_20x_0)</f>
        <v>14923.729999999998</v>
      </c>
      <c r="Q116" s="1"/>
      <c r="R116" s="5">
        <f t="shared" ref="R116:R118" si="88">IF(P$12=0,0,P116/P$12)</f>
        <v>3.4619996501980893E-3</v>
      </c>
      <c r="S116" s="1"/>
      <c r="T116" s="1">
        <f>SUM(OSRRefT22_20x_0)</f>
        <v>15219</v>
      </c>
      <c r="U116" s="1"/>
      <c r="V116" s="5">
        <f t="shared" ref="V116:V118" si="89">IF(T$12=0,0,T116/T$12)</f>
        <v>3.0983798195492519E-3</v>
      </c>
      <c r="W116" s="1"/>
      <c r="X116" s="1">
        <f t="shared" ref="X116:X118" si="90">+P116-T116</f>
        <v>-295.27000000000226</v>
      </c>
      <c r="Y116" s="1"/>
      <c r="Z116" s="5">
        <f t="shared" ref="Z116:Z118" si="91">IF(T116=0,0,X116/T116)</f>
        <v>-1.9401406137065657E-2</v>
      </c>
    </row>
    <row r="117" spans="1:26" s="24" customFormat="1" hidden="1" outlineLevel="2" x14ac:dyDescent="0.25">
      <c r="A117" s="25"/>
      <c r="B117" s="11" t="str">
        <f>CONCATENATE("          ", "6303", " - ", "DATA PHONE LINES")</f>
        <v xml:space="preserve">          6303 - DATA PHONE LINES</v>
      </c>
      <c r="C117" s="11"/>
      <c r="D117" s="6"/>
      <c r="E117" s="2"/>
      <c r="F117" s="7">
        <f t="shared" si="84"/>
        <v>0</v>
      </c>
      <c r="G117" s="2"/>
      <c r="H117" s="6">
        <v>696</v>
      </c>
      <c r="I117" s="2"/>
      <c r="J117" s="7">
        <f t="shared" si="85"/>
        <v>8.5462948864668928E-4</v>
      </c>
      <c r="K117" s="2"/>
      <c r="L117" s="6">
        <f t="shared" si="86"/>
        <v>-696</v>
      </c>
      <c r="M117" s="2"/>
      <c r="N117" s="7">
        <f t="shared" si="87"/>
        <v>-1</v>
      </c>
      <c r="O117" s="11"/>
      <c r="P117" s="6"/>
      <c r="Q117" s="2"/>
      <c r="R117" s="7">
        <f t="shared" si="88"/>
        <v>0</v>
      </c>
      <c r="S117" s="2"/>
      <c r="T117" s="6">
        <v>4774</v>
      </c>
      <c r="U117" s="2"/>
      <c r="V117" s="7">
        <f t="shared" si="89"/>
        <v>9.7192097105776515E-4</v>
      </c>
      <c r="W117" s="2"/>
      <c r="X117" s="6">
        <f t="shared" si="90"/>
        <v>-4774</v>
      </c>
      <c r="Y117" s="2"/>
      <c r="Z117" s="7">
        <f t="shared" si="91"/>
        <v>-1</v>
      </c>
    </row>
    <row r="118" spans="1:26" s="24" customFormat="1" hidden="1" outlineLevel="2" x14ac:dyDescent="0.25">
      <c r="A118" s="25"/>
      <c r="B118" s="11" t="str">
        <f>CONCATENATE("          ", "6309", " - ", "TELEPHONE")</f>
        <v xml:space="preserve">          6309 - TELEPHONE</v>
      </c>
      <c r="C118" s="11"/>
      <c r="D118" s="6">
        <v>1561.6</v>
      </c>
      <c r="E118" s="2"/>
      <c r="F118" s="7">
        <f t="shared" si="84"/>
        <v>1.9445136467663698E-3</v>
      </c>
      <c r="G118" s="2"/>
      <c r="H118" s="6">
        <v>1315</v>
      </c>
      <c r="I118" s="2"/>
      <c r="J118" s="7">
        <f t="shared" si="85"/>
        <v>1.6147094505321788E-3</v>
      </c>
      <c r="K118" s="2"/>
      <c r="L118" s="6">
        <f t="shared" si="86"/>
        <v>246.59999999999991</v>
      </c>
      <c r="M118" s="2"/>
      <c r="N118" s="7">
        <f t="shared" si="87"/>
        <v>0.18752851711026608</v>
      </c>
      <c r="O118" s="11"/>
      <c r="P118" s="6">
        <v>14923.729999999998</v>
      </c>
      <c r="Q118" s="2"/>
      <c r="R118" s="7">
        <f t="shared" si="88"/>
        <v>3.4619996501980893E-3</v>
      </c>
      <c r="S118" s="2"/>
      <c r="T118" s="6">
        <v>10445</v>
      </c>
      <c r="U118" s="2"/>
      <c r="V118" s="7">
        <f t="shared" si="89"/>
        <v>2.1264588484914866E-3</v>
      </c>
      <c r="W118" s="2"/>
      <c r="X118" s="6">
        <f t="shared" si="90"/>
        <v>4478.7299999999977</v>
      </c>
      <c r="Y118" s="2"/>
      <c r="Z118" s="7">
        <f t="shared" si="91"/>
        <v>0.42879176639540428</v>
      </c>
    </row>
    <row r="119" spans="1:26" s="27" customFormat="1" outlineLevel="1" collapsed="1" x14ac:dyDescent="0.25">
      <c r="A119" s="26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SUM(OSRRefD22_21x_0)</f>
        <v>91.51</v>
      </c>
      <c r="E119" s="1"/>
      <c r="F119" s="5">
        <f t="shared" ref="F119:F124" si="92">IF(D$12=0,0,D119/D$12)</f>
        <v>1.139487985499427E-4</v>
      </c>
      <c r="G119" s="1"/>
      <c r="H119" s="1">
        <f>SUM(OSRRefH22_21x_0)</f>
        <v>1000</v>
      </c>
      <c r="I119" s="1"/>
      <c r="J119" s="5">
        <f t="shared" ref="J119:J124" si="93">IF(H$12=0,0,H119/H$12)</f>
        <v>1.2279159319636341E-3</v>
      </c>
      <c r="K119" s="1"/>
      <c r="L119" s="1">
        <f t="shared" ref="L119:L124" si="94">+D119-H119</f>
        <v>-908.49</v>
      </c>
      <c r="M119" s="1"/>
      <c r="N119" s="5">
        <f t="shared" ref="N119:N124" si="95">IF(H119=0,0,L119/H119)</f>
        <v>-0.90849000000000002</v>
      </c>
      <c r="O119" s="13"/>
      <c r="P119" s="1">
        <f>SUM(OSRRefP22_21x_0)</f>
        <v>1903.01</v>
      </c>
      <c r="Q119" s="1"/>
      <c r="R119" s="5">
        <f t="shared" ref="R119:R124" si="96">IF(P$12=0,0,P119/P$12)</f>
        <v>4.414593371981044E-4</v>
      </c>
      <c r="S119" s="1"/>
      <c r="T119" s="1">
        <f>SUM(OSRRefT22_21x_0)</f>
        <v>7680</v>
      </c>
      <c r="U119" s="1"/>
      <c r="V119" s="5">
        <f t="shared" ref="V119:V124" si="97">IF(T$12=0,0,T119/T$12)</f>
        <v>1.5635427435533383E-3</v>
      </c>
      <c r="W119" s="1"/>
      <c r="X119" s="1">
        <f t="shared" ref="X119:X124" si="98">+P119-T119</f>
        <v>-5776.99</v>
      </c>
      <c r="Y119" s="1"/>
      <c r="Z119" s="5">
        <f t="shared" ref="Z119:Z124" si="99">IF(T119=0,0,X119/T119)</f>
        <v>-0.75221223958333328</v>
      </c>
    </row>
    <row r="120" spans="1:26" s="24" customFormat="1" hidden="1" outlineLevel="2" x14ac:dyDescent="0.25">
      <c r="A120" s="25"/>
      <c r="B120" s="11" t="str">
        <f>CONCATENATE("          ", "6376", " - ", "TRAINING")</f>
        <v xml:space="preserve">          6376 - TRAINING</v>
      </c>
      <c r="C120" s="11"/>
      <c r="D120" s="6">
        <v>91.51</v>
      </c>
      <c r="E120" s="2"/>
      <c r="F120" s="7">
        <f t="shared" si="92"/>
        <v>1.139487985499427E-4</v>
      </c>
      <c r="G120" s="2"/>
      <c r="H120" s="6">
        <v>1000</v>
      </c>
      <c r="I120" s="2"/>
      <c r="J120" s="7">
        <f t="shared" si="93"/>
        <v>1.2279159319636341E-3</v>
      </c>
      <c r="K120" s="2"/>
      <c r="L120" s="6">
        <f t="shared" si="94"/>
        <v>-908.49</v>
      </c>
      <c r="M120" s="2"/>
      <c r="N120" s="7">
        <f t="shared" si="95"/>
        <v>-0.90849000000000002</v>
      </c>
      <c r="O120" s="11"/>
      <c r="P120" s="6">
        <v>1903.01</v>
      </c>
      <c r="Q120" s="2"/>
      <c r="R120" s="7">
        <f t="shared" si="96"/>
        <v>4.414593371981044E-4</v>
      </c>
      <c r="S120" s="2"/>
      <c r="T120" s="6">
        <v>7680</v>
      </c>
      <c r="U120" s="2"/>
      <c r="V120" s="7">
        <f t="shared" si="97"/>
        <v>1.5635427435533383E-3</v>
      </c>
      <c r="W120" s="2"/>
      <c r="X120" s="6">
        <f t="shared" si="98"/>
        <v>-5776.99</v>
      </c>
      <c r="Y120" s="2"/>
      <c r="Z120" s="7">
        <f t="shared" si="99"/>
        <v>-0.75221223958333328</v>
      </c>
    </row>
    <row r="121" spans="1:26" s="27" customFormat="1" outlineLevel="1" collapsed="1" x14ac:dyDescent="0.25">
      <c r="A121" s="26"/>
      <c r="B121" s="13" t="str">
        <f>CONCATENATE("     ","Travel                                            ")</f>
        <v xml:space="preserve">     Travel                                            </v>
      </c>
      <c r="C121" s="13"/>
      <c r="D121" s="1">
        <f>SUM(OSRRefD22_22x_0)</f>
        <v>145.49</v>
      </c>
      <c r="E121" s="1"/>
      <c r="F121" s="5">
        <f t="shared" si="92"/>
        <v>1.8116501694930787E-4</v>
      </c>
      <c r="G121" s="1"/>
      <c r="H121" s="1">
        <f>SUM(OSRRefH22_22x_0)</f>
        <v>2700</v>
      </c>
      <c r="I121" s="1"/>
      <c r="J121" s="5">
        <f t="shared" si="93"/>
        <v>3.3153730163018118E-3</v>
      </c>
      <c r="K121" s="1"/>
      <c r="L121" s="1">
        <f t="shared" si="94"/>
        <v>-2554.5100000000002</v>
      </c>
      <c r="M121" s="1"/>
      <c r="N121" s="5">
        <f t="shared" si="95"/>
        <v>-0.94611481481481485</v>
      </c>
      <c r="O121" s="13"/>
      <c r="P121" s="1">
        <f>SUM(OSRRefP22_22x_0)</f>
        <v>3214.8399999999997</v>
      </c>
      <c r="Q121" s="1"/>
      <c r="R121" s="5">
        <f t="shared" si="96"/>
        <v>7.4577702460730836E-4</v>
      </c>
      <c r="S121" s="1"/>
      <c r="T121" s="1">
        <f>SUM(OSRRefT22_22x_0)</f>
        <v>11400</v>
      </c>
      <c r="U121" s="1"/>
      <c r="V121" s="5">
        <f t="shared" si="97"/>
        <v>2.3208837599619863E-3</v>
      </c>
      <c r="W121" s="1"/>
      <c r="X121" s="1">
        <f t="shared" si="98"/>
        <v>-8185.16</v>
      </c>
      <c r="Y121" s="1"/>
      <c r="Z121" s="5">
        <f t="shared" si="99"/>
        <v>-0.71799649122807019</v>
      </c>
    </row>
    <row r="122" spans="1:26" s="24" customFormat="1" hidden="1" outlineLevel="2" x14ac:dyDescent="0.25">
      <c r="A122" s="25"/>
      <c r="B122" s="11" t="str">
        <f>CONCATENATE("          ", "6292", " - ", "TRAVEL/CONFERENCE")</f>
        <v xml:space="preserve">          6292 - TRAVEL/CONFERENCE</v>
      </c>
      <c r="C122" s="11"/>
      <c r="D122" s="6">
        <v>88.83</v>
      </c>
      <c r="E122" s="2"/>
      <c r="F122" s="7">
        <f t="shared" si="92"/>
        <v>1.1061164654345327E-4</v>
      </c>
      <c r="G122" s="2"/>
      <c r="H122" s="6">
        <v>2700</v>
      </c>
      <c r="I122" s="2"/>
      <c r="J122" s="7">
        <f t="shared" si="93"/>
        <v>3.3153730163018118E-3</v>
      </c>
      <c r="K122" s="2"/>
      <c r="L122" s="6">
        <f t="shared" si="94"/>
        <v>-2611.17</v>
      </c>
      <c r="M122" s="2"/>
      <c r="N122" s="7">
        <f t="shared" si="95"/>
        <v>-0.96710000000000007</v>
      </c>
      <c r="O122" s="11"/>
      <c r="P122" s="6">
        <v>2235.87</v>
      </c>
      <c r="Q122" s="2"/>
      <c r="R122" s="7">
        <f t="shared" si="96"/>
        <v>5.1867603862361508E-4</v>
      </c>
      <c r="S122" s="2"/>
      <c r="T122" s="6">
        <v>11400</v>
      </c>
      <c r="U122" s="2"/>
      <c r="V122" s="7">
        <f t="shared" si="97"/>
        <v>2.3208837599619863E-3</v>
      </c>
      <c r="W122" s="2"/>
      <c r="X122" s="6">
        <f t="shared" si="98"/>
        <v>-9164.130000000001</v>
      </c>
      <c r="Y122" s="2"/>
      <c r="Z122" s="7">
        <f t="shared" si="99"/>
        <v>-0.80387105263157899</v>
      </c>
    </row>
    <row r="123" spans="1:26" s="24" customFormat="1" hidden="1" outlineLevel="2" x14ac:dyDescent="0.25">
      <c r="A123" s="25"/>
      <c r="B123" s="11" t="str">
        <f>CONCATENATE("          ", "6294", " - ", "TRAVEL OPERATIONAL")</f>
        <v xml:space="preserve">          6294 - TRAVEL OPERATIONAL</v>
      </c>
      <c r="C123" s="11"/>
      <c r="D123" s="6"/>
      <c r="E123" s="2"/>
      <c r="F123" s="7">
        <f t="shared" si="92"/>
        <v>0</v>
      </c>
      <c r="G123" s="2"/>
      <c r="H123" s="6"/>
      <c r="I123" s="2"/>
      <c r="J123" s="7">
        <f t="shared" si="93"/>
        <v>0</v>
      </c>
      <c r="K123" s="2"/>
      <c r="L123" s="6">
        <f t="shared" si="94"/>
        <v>0</v>
      </c>
      <c r="M123" s="2"/>
      <c r="N123" s="7">
        <f t="shared" si="95"/>
        <v>0</v>
      </c>
      <c r="O123" s="11"/>
      <c r="P123" s="6">
        <v>45.49</v>
      </c>
      <c r="Q123" s="2"/>
      <c r="R123" s="7">
        <f t="shared" si="96"/>
        <v>1.0552748145906627E-5</v>
      </c>
      <c r="S123" s="2"/>
      <c r="T123" s="6"/>
      <c r="U123" s="2"/>
      <c r="V123" s="7">
        <f t="shared" si="97"/>
        <v>0</v>
      </c>
      <c r="W123" s="2"/>
      <c r="X123" s="6">
        <f t="shared" si="98"/>
        <v>45.49</v>
      </c>
      <c r="Y123" s="2"/>
      <c r="Z123" s="7">
        <f t="shared" si="99"/>
        <v>0</v>
      </c>
    </row>
    <row r="124" spans="1:26" s="24" customFormat="1" hidden="1" outlineLevel="2" x14ac:dyDescent="0.25">
      <c r="A124" s="25"/>
      <c r="B124" s="11" t="str">
        <f>CONCATENATE("          ", "6298", " - ", "VEHICLE MILEAGE")</f>
        <v xml:space="preserve">          6298 - VEHICLE MILEAGE</v>
      </c>
      <c r="C124" s="11"/>
      <c r="D124" s="6">
        <v>56.66</v>
      </c>
      <c r="E124" s="2"/>
      <c r="F124" s="7">
        <f t="shared" si="92"/>
        <v>7.0553370405854575E-5</v>
      </c>
      <c r="G124" s="2"/>
      <c r="H124" s="6">
        <v>0</v>
      </c>
      <c r="I124" s="2"/>
      <c r="J124" s="7">
        <f t="shared" si="93"/>
        <v>0</v>
      </c>
      <c r="K124" s="2"/>
      <c r="L124" s="6">
        <f t="shared" si="94"/>
        <v>56.66</v>
      </c>
      <c r="M124" s="2"/>
      <c r="N124" s="7">
        <f t="shared" si="95"/>
        <v>0</v>
      </c>
      <c r="O124" s="11"/>
      <c r="P124" s="6">
        <v>933.48</v>
      </c>
      <c r="Q124" s="2"/>
      <c r="R124" s="7">
        <f t="shared" si="96"/>
        <v>2.1654823783778671E-4</v>
      </c>
      <c r="S124" s="2"/>
      <c r="T124" s="6">
        <v>0</v>
      </c>
      <c r="U124" s="2"/>
      <c r="V124" s="7">
        <f t="shared" si="97"/>
        <v>0</v>
      </c>
      <c r="W124" s="2"/>
      <c r="X124" s="6">
        <f t="shared" si="98"/>
        <v>933.48</v>
      </c>
      <c r="Y124" s="2"/>
      <c r="Z124" s="7">
        <f t="shared" si="99"/>
        <v>0</v>
      </c>
    </row>
    <row r="125" spans="1:26" s="27" customFormat="1" outlineLevel="1" collapsed="1" x14ac:dyDescent="0.25">
      <c r="A125" s="26"/>
      <c r="B125" s="13" t="str">
        <f>CONCATENATE("     ","Utilities                                         ")</f>
        <v xml:space="preserve">     Utilities                                         </v>
      </c>
      <c r="C125" s="13"/>
      <c r="D125" s="1">
        <f>SUM(OSRRefD22_23x_0)</f>
        <v>15583</v>
      </c>
      <c r="E125" s="1"/>
      <c r="F125" s="5">
        <f t="shared" ref="F125:F126" si="100">IF(D$12=0,0,D125/D$12)</f>
        <v>1.9404044670568867E-2</v>
      </c>
      <c r="G125" s="1"/>
      <c r="H125" s="1">
        <f>SUM(OSRRefH22_23x_0)</f>
        <v>17450</v>
      </c>
      <c r="I125" s="1"/>
      <c r="J125" s="5">
        <f t="shared" ref="J125:J126" si="101">IF(H$12=0,0,H125/H$12)</f>
        <v>2.1427133012765415E-2</v>
      </c>
      <c r="K125" s="1"/>
      <c r="L125" s="1">
        <f t="shared" ref="L125:L126" si="102">+D125-H125</f>
        <v>-1867</v>
      </c>
      <c r="M125" s="1"/>
      <c r="N125" s="5">
        <f t="shared" ref="N125:N126" si="103">IF(H125=0,0,L125/H125)</f>
        <v>-0.10699140401146132</v>
      </c>
      <c r="O125" s="13"/>
      <c r="P125" s="1">
        <f>SUM(OSRRefP22_23x_0)</f>
        <v>128053</v>
      </c>
      <c r="Q125" s="1"/>
      <c r="R125" s="5">
        <f t="shared" ref="R125:R126" si="104">IF(P$12=0,0,P125/P$12)</f>
        <v>2.9705672858381649E-2</v>
      </c>
      <c r="S125" s="1"/>
      <c r="T125" s="1">
        <f>SUM(OSRRefT22_23x_0)</f>
        <v>154600</v>
      </c>
      <c r="U125" s="1"/>
      <c r="V125" s="5">
        <f t="shared" ref="V125:V126" si="105">IF(T$12=0,0,T125/T$12)</f>
        <v>3.1474441165800268E-2</v>
      </c>
      <c r="W125" s="1"/>
      <c r="X125" s="1">
        <f t="shared" ref="X125:X126" si="106">+P125-T125</f>
        <v>-26547</v>
      </c>
      <c r="Y125" s="1"/>
      <c r="Z125" s="5">
        <f t="shared" ref="Z125:Z126" si="107">IF(T125=0,0,X125/T125)</f>
        <v>-0.17171410090556274</v>
      </c>
    </row>
    <row r="126" spans="1:26" s="24" customFormat="1" hidden="1" outlineLevel="2" x14ac:dyDescent="0.25">
      <c r="A126" s="25"/>
      <c r="B126" s="11" t="str">
        <f>CONCATENATE("          ", "6274", " - ", "UTILITIES")</f>
        <v xml:space="preserve">          6274 - UTILITIES</v>
      </c>
      <c r="C126" s="11"/>
      <c r="D126" s="6">
        <v>15583</v>
      </c>
      <c r="E126" s="2"/>
      <c r="F126" s="7">
        <f t="shared" si="100"/>
        <v>1.9404044670568867E-2</v>
      </c>
      <c r="G126" s="2"/>
      <c r="H126" s="6">
        <v>17450</v>
      </c>
      <c r="I126" s="2"/>
      <c r="J126" s="7">
        <f t="shared" si="101"/>
        <v>2.1427133012765415E-2</v>
      </c>
      <c r="K126" s="2"/>
      <c r="L126" s="6">
        <f t="shared" si="102"/>
        <v>-1867</v>
      </c>
      <c r="M126" s="2"/>
      <c r="N126" s="7">
        <f t="shared" si="103"/>
        <v>-0.10699140401146132</v>
      </c>
      <c r="O126" s="11"/>
      <c r="P126" s="6">
        <v>128053</v>
      </c>
      <c r="Q126" s="2"/>
      <c r="R126" s="7">
        <f t="shared" si="104"/>
        <v>2.9705672858381649E-2</v>
      </c>
      <c r="S126" s="2"/>
      <c r="T126" s="6">
        <v>154600</v>
      </c>
      <c r="U126" s="2"/>
      <c r="V126" s="7">
        <f t="shared" si="105"/>
        <v>3.1474441165800268E-2</v>
      </c>
      <c r="W126" s="2"/>
      <c r="X126" s="6">
        <f t="shared" si="106"/>
        <v>-26547</v>
      </c>
      <c r="Y126" s="2"/>
      <c r="Z126" s="7">
        <f t="shared" si="107"/>
        <v>-0.17171410090556274</v>
      </c>
    </row>
    <row r="127" spans="1:26" s="53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9" t="s">
        <v>0</v>
      </c>
      <c r="C128" s="10"/>
      <c r="D128" s="4">
        <f>SUM(OSRRefD25x_0)</f>
        <v>26842.02</v>
      </c>
      <c r="E128" s="4"/>
      <c r="F128" s="12">
        <f t="shared" ref="F128:F132" si="108">IF(D$12=0,0,D128/D$12)</f>
        <v>3.3423843619861573E-2</v>
      </c>
      <c r="G128" s="4"/>
      <c r="H128" s="4">
        <f>SUM(OSRRefH25x_0)</f>
        <v>31797</v>
      </c>
      <c r="I128" s="4"/>
      <c r="J128" s="12">
        <f t="shared" ref="J128:J132" si="109">IF(H$12=0,0,H128/H$12)</f>
        <v>3.904404288864767E-2</v>
      </c>
      <c r="K128" s="4"/>
      <c r="L128" s="4">
        <f t="shared" ref="L128:L132" si="110">+D128-H128</f>
        <v>-4954.9799999999996</v>
      </c>
      <c r="M128" s="4"/>
      <c r="N128" s="12">
        <f t="shared" ref="N128:N132" si="111">IF(H128=0,0,L128/H128)</f>
        <v>-0.15583168223417301</v>
      </c>
      <c r="O128" s="10"/>
      <c r="P128" s="4">
        <f>SUM(OSRRefP25x_0)</f>
        <v>606786.93999999994</v>
      </c>
      <c r="Q128" s="4"/>
      <c r="R128" s="12">
        <f t="shared" ref="R128:R132" si="112">IF(P$12=0,0,P128/P$12)</f>
        <v>0.14076214016367014</v>
      </c>
      <c r="S128" s="4"/>
      <c r="T128" s="4">
        <f>SUM(OSRRefT25x_0)</f>
        <v>523521</v>
      </c>
      <c r="U128" s="4"/>
      <c r="V128" s="12">
        <f t="shared" ref="V128:V132" si="113">IF(T$12=0,0,T128/T$12)</f>
        <v>0.10658170060518062</v>
      </c>
      <c r="W128" s="4"/>
      <c r="X128" s="4">
        <f t="shared" ref="X128:X132" si="114">+P128-T128</f>
        <v>83265.939999999944</v>
      </c>
      <c r="Y128" s="4"/>
      <c r="Z128" s="12">
        <f t="shared" ref="Z128:Z132" si="115">IF(T128=0,0,X128/T128)</f>
        <v>0.15904985664376395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--17750.66</f>
        <v>17750.66</v>
      </c>
      <c r="E129" s="2"/>
      <c r="F129" s="19">
        <f t="shared" si="108"/>
        <v>2.210322784907142E-2</v>
      </c>
      <c r="G129" s="2"/>
      <c r="H129" s="2">
        <v>22996</v>
      </c>
      <c r="I129" s="2"/>
      <c r="J129" s="19">
        <f t="shared" si="109"/>
        <v>2.8237154771435728E-2</v>
      </c>
      <c r="K129" s="2"/>
      <c r="L129" s="2">
        <f t="shared" si="110"/>
        <v>-5245.34</v>
      </c>
      <c r="M129" s="2"/>
      <c r="N129" s="19">
        <f t="shared" si="111"/>
        <v>-0.22809793007479562</v>
      </c>
      <c r="O129" s="11"/>
      <c r="P129" s="2">
        <f>--247882.52</f>
        <v>247882.52</v>
      </c>
      <c r="Q129" s="2"/>
      <c r="R129" s="19">
        <f t="shared" si="112"/>
        <v>5.750366681320427E-2</v>
      </c>
      <c r="S129" s="2"/>
      <c r="T129" s="2">
        <v>237977</v>
      </c>
      <c r="U129" s="2"/>
      <c r="V129" s="19">
        <f t="shared" si="113"/>
        <v>4.844885566179593E-2</v>
      </c>
      <c r="W129" s="2"/>
      <c r="X129" s="2">
        <f t="shared" si="114"/>
        <v>9905.5199999999895</v>
      </c>
      <c r="Y129" s="2"/>
      <c r="Z129" s="19">
        <f t="shared" si="115"/>
        <v>4.1623854406098025E-2</v>
      </c>
    </row>
    <row r="130" spans="1:26" s="24" customFormat="1" hidden="1" outlineLevel="1" x14ac:dyDescent="0.25">
      <c r="A130" s="44"/>
      <c r="B130" s="11" t="str">
        <f>CONCATENATE("          ", "9151", " - ", "MISC. INCOME")</f>
        <v xml:space="preserve">          9151 - MISC. INCOME</v>
      </c>
      <c r="C130" s="11"/>
      <c r="D130" s="2">
        <f>0</f>
        <v>0</v>
      </c>
      <c r="E130" s="2"/>
      <c r="F130" s="19">
        <f t="shared" si="108"/>
        <v>0</v>
      </c>
      <c r="G130" s="2"/>
      <c r="H130" s="2">
        <v>8801</v>
      </c>
      <c r="I130" s="2"/>
      <c r="J130" s="19">
        <f t="shared" si="109"/>
        <v>1.0806888117211944E-2</v>
      </c>
      <c r="K130" s="2"/>
      <c r="L130" s="2">
        <f t="shared" si="110"/>
        <v>-8801</v>
      </c>
      <c r="M130" s="2"/>
      <c r="N130" s="19">
        <f t="shared" si="111"/>
        <v>-1</v>
      </c>
      <c r="O130" s="11"/>
      <c r="P130" s="2">
        <f>0</f>
        <v>0</v>
      </c>
      <c r="Q130" s="2"/>
      <c r="R130" s="19">
        <f t="shared" si="112"/>
        <v>0</v>
      </c>
      <c r="S130" s="2"/>
      <c r="T130" s="2">
        <v>285544</v>
      </c>
      <c r="U130" s="2"/>
      <c r="V130" s="19">
        <f t="shared" si="113"/>
        <v>5.8132844943384686E-2</v>
      </c>
      <c r="W130" s="2"/>
      <c r="X130" s="2">
        <f t="shared" si="114"/>
        <v>-285544</v>
      </c>
      <c r="Y130" s="2"/>
      <c r="Z130" s="19">
        <f t="shared" si="115"/>
        <v>-1</v>
      </c>
    </row>
    <row r="131" spans="1:26" s="24" customFormat="1" hidden="1" outlineLevel="1" x14ac:dyDescent="0.25">
      <c r="A131" s="44"/>
      <c r="B131" s="11" t="str">
        <f>CONCATENATE("          ", "9160", " - ", "MISC. INCOME")</f>
        <v xml:space="preserve">          9160 - MISC. INCOME</v>
      </c>
      <c r="C131" s="11"/>
      <c r="D131" s="2">
        <f>--7692.32</f>
        <v>7692.32</v>
      </c>
      <c r="E131" s="2"/>
      <c r="F131" s="19">
        <f t="shared" si="108"/>
        <v>9.5785228069248732E-3</v>
      </c>
      <c r="G131" s="2"/>
      <c r="H131" s="2"/>
      <c r="I131" s="2"/>
      <c r="J131" s="19">
        <f t="shared" si="109"/>
        <v>0</v>
      </c>
      <c r="K131" s="2"/>
      <c r="L131" s="2">
        <f t="shared" si="110"/>
        <v>7692.32</v>
      </c>
      <c r="M131" s="2"/>
      <c r="N131" s="19">
        <f t="shared" si="111"/>
        <v>0</v>
      </c>
      <c r="O131" s="11"/>
      <c r="P131" s="2">
        <f>--130089.32</f>
        <v>130089.32</v>
      </c>
      <c r="Q131" s="2"/>
      <c r="R131" s="19">
        <f t="shared" si="112"/>
        <v>3.017805738474948E-2</v>
      </c>
      <c r="S131" s="2"/>
      <c r="T131" s="2"/>
      <c r="U131" s="2"/>
      <c r="V131" s="19">
        <f t="shared" si="113"/>
        <v>0</v>
      </c>
      <c r="W131" s="2"/>
      <c r="X131" s="2">
        <f t="shared" si="114"/>
        <v>130089.32</v>
      </c>
      <c r="Y131" s="2"/>
      <c r="Z131" s="19">
        <f t="shared" si="115"/>
        <v>0</v>
      </c>
    </row>
    <row r="132" spans="1:26" s="24" customFormat="1" hidden="1" outlineLevel="1" x14ac:dyDescent="0.25">
      <c r="A132" s="44"/>
      <c r="B132" s="11" t="str">
        <f>CONCATENATE("          ", "9165", " - ", "OTHER INCOME")</f>
        <v xml:space="preserve">          9165 - OTHER INCOME</v>
      </c>
      <c r="C132" s="11"/>
      <c r="D132" s="2">
        <f>--1399.04</f>
        <v>1399.04</v>
      </c>
      <c r="E132" s="2"/>
      <c r="F132" s="19">
        <f t="shared" si="108"/>
        <v>1.7420929638652805E-3</v>
      </c>
      <c r="G132" s="2"/>
      <c r="H132" s="2"/>
      <c r="I132" s="2"/>
      <c r="J132" s="19">
        <f t="shared" si="109"/>
        <v>0</v>
      </c>
      <c r="K132" s="2"/>
      <c r="L132" s="2">
        <f t="shared" si="110"/>
        <v>1399.04</v>
      </c>
      <c r="M132" s="2"/>
      <c r="N132" s="19">
        <f t="shared" si="111"/>
        <v>0</v>
      </c>
      <c r="O132" s="11"/>
      <c r="P132" s="2">
        <f>--228815.1</f>
        <v>228815.1</v>
      </c>
      <c r="Q132" s="2"/>
      <c r="R132" s="19">
        <f t="shared" si="112"/>
        <v>5.3080415965716408E-2</v>
      </c>
      <c r="S132" s="2"/>
      <c r="T132" s="2"/>
      <c r="U132" s="2"/>
      <c r="V132" s="19">
        <f t="shared" si="113"/>
        <v>0</v>
      </c>
      <c r="W132" s="2"/>
      <c r="X132" s="2">
        <f t="shared" si="114"/>
        <v>228815.1</v>
      </c>
      <c r="Y132" s="2"/>
      <c r="Z132" s="19">
        <f t="shared" si="115"/>
        <v>0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8" t="s">
        <v>3</v>
      </c>
      <c r="C134" s="28"/>
      <c r="D134" s="21">
        <f>+D31-D33+D128</f>
        <v>10845.570000000047</v>
      </c>
      <c r="E134" s="14"/>
      <c r="F134" s="22">
        <f>IF(D$12=0,0,D134/D$12)</f>
        <v>1.350496853993342E-2</v>
      </c>
      <c r="G134" s="14"/>
      <c r="H134" s="21">
        <f>+H31-H33+H128</f>
        <v>64932.860254196567</v>
      </c>
      <c r="I134" s="14"/>
      <c r="J134" s="22">
        <f>IF(H$12=0,0,H134/H$12)</f>
        <v>7.9732093614096194E-2</v>
      </c>
      <c r="K134" s="15"/>
      <c r="L134" s="21">
        <f>+D134-H134</f>
        <v>-54087.290254196516</v>
      </c>
      <c r="M134" s="15"/>
      <c r="N134" s="22">
        <f>IF(H134=0,0,L134/H134)</f>
        <v>-0.83297255106979351</v>
      </c>
      <c r="O134" s="29"/>
      <c r="P134" s="21">
        <f>+P31-P33+P128</f>
        <v>-452833.75000000186</v>
      </c>
      <c r="Q134" s="14"/>
      <c r="R134" s="22">
        <f>IF(P$12=0,0,P134/P$12)</f>
        <v>-0.10504815378580928</v>
      </c>
      <c r="S134" s="14"/>
      <c r="T134" s="21">
        <f>+T31-T33+T128</f>
        <v>158420.13978024852</v>
      </c>
      <c r="U134" s="14"/>
      <c r="V134" s="22">
        <f>IF(T$12=0,0,T134/T$12)</f>
        <v>3.225216926902514E-2</v>
      </c>
      <c r="W134" s="15"/>
      <c r="X134" s="21">
        <f>+P134-T134</f>
        <v>-611253.88978025038</v>
      </c>
      <c r="Y134" s="15"/>
      <c r="Z134" s="22">
        <f>IF(T134=0,0,X134/T134)</f>
        <v>-3.8584354907661824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52"/>
      <c r="B136" s="10" t="s">
        <v>14</v>
      </c>
      <c r="C136" s="10"/>
      <c r="D136" s="4">
        <v>73550.439999999988</v>
      </c>
      <c r="E136" s="4"/>
      <c r="F136" s="12">
        <f>IF(D$12=0,0,D136/D$12)</f>
        <v>9.1585447173201232E-2</v>
      </c>
      <c r="G136" s="4"/>
      <c r="H136" s="4">
        <v>86157</v>
      </c>
      <c r="I136" s="4"/>
      <c r="J136" s="12">
        <f>IF(H$12=0,0,H136/H$12)</f>
        <v>0.10579355295019081</v>
      </c>
      <c r="K136" s="4"/>
      <c r="L136" s="4">
        <f>+D136-H136</f>
        <v>-12606.560000000012</v>
      </c>
      <c r="M136" s="4"/>
      <c r="N136" s="12">
        <f>IF(H136=0,0,L136/H136)</f>
        <v>-0.14632078647120969</v>
      </c>
      <c r="O136" s="10"/>
      <c r="P136" s="4">
        <v>439348.18000000005</v>
      </c>
      <c r="Q136" s="4"/>
      <c r="R136" s="12">
        <f>IF(P$12=0,0,P136/P$12)</f>
        <v>0.10191977779517369</v>
      </c>
      <c r="S136" s="4"/>
      <c r="T136" s="4">
        <v>590663</v>
      </c>
      <c r="U136" s="4"/>
      <c r="V136" s="12">
        <f>IF(T$12=0,0,T136/T$12)</f>
        <v>0.12025089160617779</v>
      </c>
      <c r="W136" s="4"/>
      <c r="X136" s="4">
        <f>+P136-T136</f>
        <v>-151314.81999999995</v>
      </c>
      <c r="Y136" s="4"/>
      <c r="Z136" s="12">
        <f>IF(T136=0,0,X136/T136)</f>
        <v>-0.25617792209771045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8" t="s">
        <v>4</v>
      </c>
      <c r="C138" s="28"/>
      <c r="D138" s="31">
        <f>+D134-D136</f>
        <v>-62704.869999999937</v>
      </c>
      <c r="E138" s="14"/>
      <c r="F138" s="32">
        <f>IF(D$12=0,0,D138/D$12)</f>
        <v>-7.8080478633267808E-2</v>
      </c>
      <c r="G138" s="14"/>
      <c r="H138" s="31">
        <f>+H134-H136</f>
        <v>-21224.139745803433</v>
      </c>
      <c r="I138" s="14"/>
      <c r="J138" s="32">
        <f>IF(H$12=0,0,H138/H$12)</f>
        <v>-2.606145933609463E-2</v>
      </c>
      <c r="K138" s="15"/>
      <c r="L138" s="31">
        <f>D138-H138</f>
        <v>-41480.730254196504</v>
      </c>
      <c r="M138" s="15"/>
      <c r="N138" s="32">
        <f>IF(H138=0,0,L138/H138)</f>
        <v>1.9544127936868831</v>
      </c>
      <c r="O138" s="29"/>
      <c r="P138" s="31">
        <f>+P134-P136</f>
        <v>-892181.93000000191</v>
      </c>
      <c r="Q138" s="14"/>
      <c r="R138" s="32">
        <f>IF(P$12=0,0,P138/P$12)</f>
        <v>-0.20696793158098298</v>
      </c>
      <c r="S138" s="14"/>
      <c r="T138" s="31">
        <f>+T134-T136</f>
        <v>-432242.86021975148</v>
      </c>
      <c r="U138" s="14"/>
      <c r="V138" s="32">
        <f>IF(T$12=0,0,T138/T$12)</f>
        <v>-8.7998722337152641E-2</v>
      </c>
      <c r="W138" s="15"/>
      <c r="X138" s="31">
        <f>P138-T138</f>
        <v>-459939.06978025043</v>
      </c>
      <c r="Y138" s="15"/>
      <c r="Z138" s="32">
        <f>IF(T138=0,0,X138/T138)</f>
        <v>1.0640755744268817</v>
      </c>
    </row>
    <row r="139" spans="1:26" ht="15.75" thickTop="1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8" t="s">
        <v>5</v>
      </c>
      <c r="C141" s="28"/>
      <c r="D141" s="33">
        <f>SUM(D138:D140)</f>
        <v>-62704.869999999937</v>
      </c>
      <c r="E141" s="14"/>
      <c r="F141" s="30">
        <f>IF(D$12=0,0,D141/D$12)</f>
        <v>-7.8080478633267808E-2</v>
      </c>
      <c r="G141" s="14"/>
      <c r="H141" s="33">
        <f>SUM(H138:H140)</f>
        <v>-21224.139745803433</v>
      </c>
      <c r="I141" s="14"/>
      <c r="J141" s="30">
        <f>IF(H$12=0,0,H141/H$12)</f>
        <v>-2.606145933609463E-2</v>
      </c>
      <c r="K141" s="15"/>
      <c r="L141" s="33">
        <f>+D141-H141</f>
        <v>-41480.730254196504</v>
      </c>
      <c r="M141" s="15"/>
      <c r="N141" s="30">
        <f>IF(H141=0,0,L141/H141)</f>
        <v>1.9544127936868831</v>
      </c>
      <c r="O141" s="29"/>
      <c r="P141" s="33">
        <f>SUM(P138:P140)</f>
        <v>-892181.93000000191</v>
      </c>
      <c r="Q141" s="14"/>
      <c r="R141" s="30">
        <f>IF(P$12=0,0,P141/P$12)</f>
        <v>-0.20696793158098298</v>
      </c>
      <c r="S141" s="14"/>
      <c r="T141" s="33">
        <f>SUM(T138:T140)</f>
        <v>-432242.86021975148</v>
      </c>
      <c r="U141" s="14"/>
      <c r="V141" s="30">
        <f>IF(T$12=0,0,T141/T$12)</f>
        <v>-8.7998722337152641E-2</v>
      </c>
      <c r="W141" s="15"/>
      <c r="X141" s="33">
        <f>+P141-T141</f>
        <v>-459939.06978025043</v>
      </c>
      <c r="Y141" s="15"/>
      <c r="Z141" s="30">
        <f>IF(T141=0,0,X141/T141)</f>
        <v>1.0640755744268817</v>
      </c>
    </row>
    <row r="142" spans="1:26" ht="15.75" thickTop="1" x14ac:dyDescent="0.25">
      <c r="A142" s="9"/>
      <c r="C142" s="9"/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  <row r="143" spans="1:26" x14ac:dyDescent="0.25">
      <c r="A143" s="9"/>
      <c r="B143" s="59">
        <v>43908.494247488423</v>
      </c>
      <c r="D143" s="17"/>
      <c r="E143" s="17"/>
      <c r="G143" s="17"/>
      <c r="H143" s="17"/>
      <c r="I143" s="17"/>
      <c r="J143" s="43"/>
      <c r="K143" s="17"/>
      <c r="L143" s="17"/>
      <c r="M143" s="17"/>
      <c r="P143" s="17"/>
      <c r="Q143" s="17"/>
      <c r="R143" s="43"/>
      <c r="S143" s="17"/>
      <c r="T143" s="17"/>
      <c r="U143" s="17"/>
      <c r="V143" s="43"/>
      <c r="W143" s="17"/>
      <c r="X143" s="17"/>
    </row>
    <row r="144" spans="1:26" x14ac:dyDescent="0.25">
      <c r="A144" s="9"/>
      <c r="B144" s="63" t="s">
        <v>314</v>
      </c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  <row r="145" spans="1:24" x14ac:dyDescent="0.25">
      <c r="A145" s="9"/>
      <c r="B145" s="57"/>
      <c r="D145" s="17"/>
      <c r="E145" s="17"/>
      <c r="G145" s="17"/>
      <c r="H145" s="17"/>
      <c r="I145" s="17"/>
      <c r="J145" s="43"/>
      <c r="K145" s="17"/>
      <c r="L145" s="17"/>
      <c r="M145" s="17"/>
      <c r="P145" s="17"/>
      <c r="Q145" s="17"/>
      <c r="R145" s="43"/>
      <c r="S145" s="17"/>
      <c r="T145" s="17"/>
      <c r="U145" s="17"/>
      <c r="V145" s="43"/>
      <c r="W145" s="17"/>
      <c r="X145" s="17"/>
    </row>
    <row r="146" spans="1:24" x14ac:dyDescent="0.25">
      <c r="D146" s="17"/>
      <c r="E146" s="17"/>
      <c r="G146" s="17"/>
      <c r="H146" s="17"/>
      <c r="I146" s="17"/>
      <c r="J146" s="43"/>
      <c r="K146" s="17"/>
      <c r="L146" s="17"/>
      <c r="M146" s="17"/>
      <c r="P146" s="17"/>
      <c r="Q146" s="17"/>
      <c r="R146" s="43"/>
      <c r="S146" s="17"/>
      <c r="T146" s="17"/>
      <c r="U146" s="17"/>
      <c r="V146" s="43"/>
      <c r="W146" s="17"/>
      <c r="X146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117139.45000000001</v>
      </c>
      <c r="E12" s="4"/>
      <c r="F12" s="12"/>
      <c r="G12" s="4"/>
      <c r="H12" s="4">
        <f>SUM(OSRRefH13x_0)</f>
        <v>120000</v>
      </c>
      <c r="I12" s="4"/>
      <c r="J12" s="12"/>
      <c r="K12" s="4"/>
      <c r="L12" s="4">
        <f t="shared" ref="L12:L15" si="0">+D12-H12</f>
        <v>-2860.5499999999884</v>
      </c>
      <c r="M12" s="4"/>
      <c r="N12" s="12">
        <f t="shared" ref="N12:N15" si="1">IF(H12=0,0,L12/H12)</f>
        <v>-2.383791666666657E-2</v>
      </c>
      <c r="O12" s="10"/>
      <c r="P12" s="4">
        <f>SUM(OSRRefP13x_0)</f>
        <v>673922.55999999994</v>
      </c>
      <c r="Q12" s="4"/>
      <c r="R12" s="12"/>
      <c r="S12" s="4"/>
      <c r="T12" s="4">
        <f>SUM(OSRRefT13x_0)</f>
        <v>818300</v>
      </c>
      <c r="U12" s="4"/>
      <c r="V12" s="12"/>
      <c r="W12" s="4"/>
      <c r="X12" s="4">
        <f t="shared" ref="X12:X15" si="2">+P12-T12</f>
        <v>-144377.44000000006</v>
      </c>
      <c r="Y12" s="4"/>
      <c r="Z12" s="12">
        <f t="shared" ref="Z12:Z15" si="3">IF(T12=0,0,X12/T12)</f>
        <v>-0.17643583038005628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120000</v>
      </c>
      <c r="I13" s="2"/>
      <c r="J13" s="19"/>
      <c r="K13" s="2"/>
      <c r="L13" s="2">
        <f t="shared" si="0"/>
        <v>-120000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818300</v>
      </c>
      <c r="U13" s="2"/>
      <c r="V13" s="19"/>
      <c r="W13" s="2"/>
      <c r="X13" s="2">
        <f t="shared" si="2"/>
        <v>-818300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--20359.88</f>
        <v>20359.88</v>
      </c>
      <c r="E14" s="2"/>
      <c r="F14" s="19"/>
      <c r="G14" s="2"/>
      <c r="H14" s="2"/>
      <c r="I14" s="2"/>
      <c r="J14" s="19"/>
      <c r="K14" s="2"/>
      <c r="L14" s="2">
        <f t="shared" si="0"/>
        <v>20359.88</v>
      </c>
      <c r="M14" s="2"/>
      <c r="N14" s="19">
        <f t="shared" si="1"/>
        <v>0</v>
      </c>
      <c r="O14" s="11"/>
      <c r="P14" s="2">
        <f>--141126.23</f>
        <v>141126.23000000001</v>
      </c>
      <c r="Q14" s="2"/>
      <c r="R14" s="19"/>
      <c r="S14" s="2"/>
      <c r="T14" s="2"/>
      <c r="U14" s="2"/>
      <c r="V14" s="19"/>
      <c r="W14" s="2"/>
      <c r="X14" s="2">
        <f t="shared" si="2"/>
        <v>141126.23000000001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--96779.57</f>
        <v>96779.57</v>
      </c>
      <c r="E15" s="2"/>
      <c r="F15" s="19"/>
      <c r="G15" s="2"/>
      <c r="H15" s="2"/>
      <c r="I15" s="2"/>
      <c r="J15" s="19"/>
      <c r="K15" s="2"/>
      <c r="L15" s="2">
        <f t="shared" si="0"/>
        <v>96779.57</v>
      </c>
      <c r="M15" s="2"/>
      <c r="N15" s="19">
        <f t="shared" si="1"/>
        <v>0</v>
      </c>
      <c r="O15" s="11"/>
      <c r="P15" s="2">
        <f>--532796.33</f>
        <v>532796.32999999996</v>
      </c>
      <c r="Q15" s="2"/>
      <c r="R15" s="19"/>
      <c r="S15" s="2"/>
      <c r="T15" s="2"/>
      <c r="U15" s="2"/>
      <c r="V15" s="19"/>
      <c r="W15" s="2"/>
      <c r="X15" s="2">
        <f t="shared" si="2"/>
        <v>532796.32999999996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43155.87</v>
      </c>
      <c r="E17" s="4"/>
      <c r="F17" s="12">
        <f t="shared" ref="F17:F20" si="4">IF(D$12=0,0,D17/D$12)</f>
        <v>0.36841448376272895</v>
      </c>
      <c r="G17" s="4"/>
      <c r="H17" s="4">
        <f>SUM(OSRRefH16x_0)</f>
        <v>38400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4755.8700000000026</v>
      </c>
      <c r="M17" s="4"/>
      <c r="N17" s="12">
        <f t="shared" ref="N17:N20" si="7">IF(H17=0,0,L17/H17)</f>
        <v>0.12385078125000007</v>
      </c>
      <c r="O17" s="10"/>
      <c r="P17" s="4">
        <f>SUM(OSRRefP16x_0)</f>
        <v>263874.06</v>
      </c>
      <c r="Q17" s="4"/>
      <c r="R17" s="12">
        <f t="shared" ref="R17:R20" si="8">IF(P$12=0,0,P17/P$12)</f>
        <v>0.39154952758963879</v>
      </c>
      <c r="S17" s="4"/>
      <c r="T17" s="4">
        <f>SUM(OSRRefT16x_0)</f>
        <v>261856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2018.0599999999977</v>
      </c>
      <c r="Y17" s="4"/>
      <c r="Z17" s="12">
        <f t="shared" ref="Z17:Z20" si="11">IF(T17=0,0,X17/T17)</f>
        <v>7.7067548576316668E-3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38400</v>
      </c>
      <c r="I18" s="2"/>
      <c r="J18" s="19">
        <f t="shared" si="5"/>
        <v>0.32</v>
      </c>
      <c r="K18" s="2"/>
      <c r="L18" s="2">
        <f t="shared" si="6"/>
        <v>-38400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261856</v>
      </c>
      <c r="U18" s="2"/>
      <c r="V18" s="19">
        <f t="shared" si="9"/>
        <v>0.32</v>
      </c>
      <c r="W18" s="2"/>
      <c r="X18" s="2">
        <f t="shared" si="10"/>
        <v>-261856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41953.87</v>
      </c>
      <c r="E19" s="2"/>
      <c r="F19" s="19">
        <f t="shared" si="4"/>
        <v>0.35815320970006259</v>
      </c>
      <c r="G19" s="2"/>
      <c r="H19" s="2"/>
      <c r="I19" s="2"/>
      <c r="J19" s="19">
        <f t="shared" si="5"/>
        <v>0</v>
      </c>
      <c r="K19" s="2"/>
      <c r="L19" s="2">
        <f t="shared" si="6"/>
        <v>41953.87</v>
      </c>
      <c r="M19" s="2"/>
      <c r="N19" s="19">
        <f t="shared" si="7"/>
        <v>0</v>
      </c>
      <c r="O19" s="11"/>
      <c r="P19" s="2">
        <v>263522.06</v>
      </c>
      <c r="Q19" s="2"/>
      <c r="R19" s="19">
        <f t="shared" si="8"/>
        <v>0.39102721238475829</v>
      </c>
      <c r="S19" s="2"/>
      <c r="T19" s="2"/>
      <c r="U19" s="2"/>
      <c r="V19" s="19">
        <f t="shared" si="9"/>
        <v>0</v>
      </c>
      <c r="W19" s="2"/>
      <c r="X19" s="2">
        <f t="shared" si="10"/>
        <v>263522.06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1202</v>
      </c>
      <c r="E20" s="2"/>
      <c r="F20" s="19">
        <f t="shared" si="4"/>
        <v>1.0261274062666335E-2</v>
      </c>
      <c r="G20" s="2"/>
      <c r="H20" s="2"/>
      <c r="I20" s="2"/>
      <c r="J20" s="19">
        <f t="shared" si="5"/>
        <v>0</v>
      </c>
      <c r="K20" s="2"/>
      <c r="L20" s="2">
        <f t="shared" si="6"/>
        <v>1202</v>
      </c>
      <c r="M20" s="2"/>
      <c r="N20" s="19">
        <f t="shared" si="7"/>
        <v>0</v>
      </c>
      <c r="O20" s="11"/>
      <c r="P20" s="2">
        <v>352</v>
      </c>
      <c r="Q20" s="2"/>
      <c r="R20" s="19">
        <f t="shared" si="8"/>
        <v>5.2231520488051335E-4</v>
      </c>
      <c r="S20" s="2"/>
      <c r="T20" s="2"/>
      <c r="U20" s="2"/>
      <c r="V20" s="19">
        <f t="shared" si="9"/>
        <v>0</v>
      </c>
      <c r="W20" s="2"/>
      <c r="X20" s="2">
        <f t="shared" si="10"/>
        <v>352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D12-D17</f>
        <v>73983.580000000016</v>
      </c>
      <c r="E22" s="14"/>
      <c r="F22" s="22">
        <f>IF(D$12=0,0,D22/D$12)</f>
        <v>0.63158551623727111</v>
      </c>
      <c r="G22" s="14"/>
      <c r="H22" s="21">
        <f>H12-H17</f>
        <v>81600</v>
      </c>
      <c r="I22" s="14"/>
      <c r="J22" s="22">
        <f>IF(H$12=0,0,H22/H$12)</f>
        <v>0.68</v>
      </c>
      <c r="K22" s="15"/>
      <c r="L22" s="21">
        <f>+D22-H22</f>
        <v>-7616.4199999999837</v>
      </c>
      <c r="M22" s="15"/>
      <c r="N22" s="22">
        <f>IF(H22=0,0,L22/H22)</f>
        <v>-9.333848039215667E-2</v>
      </c>
      <c r="O22" s="29"/>
      <c r="P22" s="21">
        <f>P12-P17</f>
        <v>410048.49999999994</v>
      </c>
      <c r="Q22" s="14"/>
      <c r="R22" s="22">
        <f>IF(P$12=0,0,P22/P$12)</f>
        <v>0.60845047241036121</v>
      </c>
      <c r="S22" s="14"/>
      <c r="T22" s="21">
        <f>T12-T17</f>
        <v>556444</v>
      </c>
      <c r="U22" s="14"/>
      <c r="V22" s="22">
        <f>IF(T$12=0,0,T22/T$12)</f>
        <v>0.68</v>
      </c>
      <c r="W22" s="15"/>
      <c r="X22" s="21">
        <f>+P22-T22</f>
        <v>-146395.50000000006</v>
      </c>
      <c r="Y22" s="15"/>
      <c r="Z22" s="22">
        <f>IF(T22=0,0,X22/T22)</f>
        <v>-0.2630911646095565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58266.729999999996</v>
      </c>
      <c r="E24" s="20"/>
      <c r="F24" s="34">
        <f t="shared" ref="F24:F34" si="12">IF(D$12=0,0,D24/D$12)</f>
        <v>0.49741338208434471</v>
      </c>
      <c r="G24" s="20"/>
      <c r="H24" s="20">
        <f>SUM(OSRRefH22x_0)</f>
        <v>55845.858756000001</v>
      </c>
      <c r="I24" s="20"/>
      <c r="J24" s="34">
        <f t="shared" ref="J24:J34" si="13">IF(H$12=0,0,H24/H$12)</f>
        <v>0.46538215630000002</v>
      </c>
      <c r="K24" s="4"/>
      <c r="L24" s="20">
        <f t="shared" ref="L24:L34" si="14">+D24-H24</f>
        <v>2420.8712439999945</v>
      </c>
      <c r="M24" s="4"/>
      <c r="N24" s="34">
        <f t="shared" ref="N24:N34" si="15">IF(H24=0,0,L24/H24)</f>
        <v>4.3349163177473733E-2</v>
      </c>
      <c r="O24" s="10"/>
      <c r="P24" s="20">
        <f>SUM(OSRRefP22x_0)</f>
        <v>447345.58999999997</v>
      </c>
      <c r="Q24" s="20"/>
      <c r="R24" s="34">
        <f t="shared" ref="R24:R34" si="16">IF(P$12=0,0,P24/P$12)</f>
        <v>0.66379375992398892</v>
      </c>
      <c r="S24" s="20"/>
      <c r="T24" s="20">
        <f>SUM(OSRRefT22x_0)</f>
        <v>447212.46720940003</v>
      </c>
      <c r="U24" s="20"/>
      <c r="V24" s="34">
        <f t="shared" ref="V24:V34" si="17">IF(T$12=0,0,T24/T$12)</f>
        <v>0.54651407455627521</v>
      </c>
      <c r="W24" s="4"/>
      <c r="X24" s="20">
        <f t="shared" ref="X24:X34" si="18">+P24-T24</f>
        <v>133.12279059994034</v>
      </c>
      <c r="Y24" s="4"/>
      <c r="Z24" s="34">
        <f t="shared" ref="Z24:Z34" si="19">IF(T24=0,0,X24/T24)</f>
        <v>2.9767236014376975E-4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4042.4700000000003</v>
      </c>
      <c r="E25" s="1"/>
      <c r="F25" s="5">
        <f t="shared" si="12"/>
        <v>3.4509893976794326E-2</v>
      </c>
      <c r="G25" s="1"/>
      <c r="H25" s="1">
        <f>SUM(OSRRefH22_0x_0)</f>
        <v>5279.7321098461553</v>
      </c>
      <c r="I25" s="1"/>
      <c r="J25" s="5">
        <f t="shared" si="13"/>
        <v>4.3997767582051296E-2</v>
      </c>
      <c r="K25" s="1"/>
      <c r="L25" s="1">
        <f t="shared" si="14"/>
        <v>-1237.262109846155</v>
      </c>
      <c r="M25" s="1"/>
      <c r="N25" s="5">
        <f t="shared" si="15"/>
        <v>-0.23434183479475956</v>
      </c>
      <c r="O25" s="13"/>
      <c r="P25" s="1">
        <f>SUM(OSRRefP22_0x_0)</f>
        <v>40310.19</v>
      </c>
      <c r="Q25" s="1"/>
      <c r="R25" s="5">
        <f t="shared" si="16"/>
        <v>5.9814275990404606E-2</v>
      </c>
      <c r="S25" s="1"/>
      <c r="T25" s="1">
        <f>SUM(OSRRefT22_0x_0)</f>
        <v>59838.163055553872</v>
      </c>
      <c r="U25" s="1"/>
      <c r="V25" s="5">
        <f t="shared" si="17"/>
        <v>7.3124970127769612E-2</v>
      </c>
      <c r="W25" s="1"/>
      <c r="X25" s="1">
        <f t="shared" si="18"/>
        <v>-19527.97305555387</v>
      </c>
      <c r="Y25" s="1"/>
      <c r="Z25" s="5">
        <f t="shared" si="19"/>
        <v>-0.32634646617450574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592.91999999999996</v>
      </c>
      <c r="E26" s="2"/>
      <c r="F26" s="7">
        <f t="shared" si="12"/>
        <v>5.0616594153378722E-3</v>
      </c>
      <c r="G26" s="2"/>
      <c r="H26" s="6">
        <v>724.52340313846196</v>
      </c>
      <c r="I26" s="2"/>
      <c r="J26" s="7">
        <f t="shared" si="13"/>
        <v>6.03769502615385E-3</v>
      </c>
      <c r="K26" s="2"/>
      <c r="L26" s="6">
        <f t="shared" si="14"/>
        <v>-131.603403138462</v>
      </c>
      <c r="M26" s="2"/>
      <c r="N26" s="7">
        <f t="shared" si="15"/>
        <v>-0.18164134183711328</v>
      </c>
      <c r="O26" s="11"/>
      <c r="P26" s="6">
        <v>7924.33</v>
      </c>
      <c r="Q26" s="2"/>
      <c r="R26" s="7">
        <f t="shared" si="16"/>
        <v>1.1758517180371585E-2</v>
      </c>
      <c r="S26" s="2"/>
      <c r="T26" s="6">
        <v>7778.3437774615395</v>
      </c>
      <c r="U26" s="2"/>
      <c r="V26" s="7">
        <f t="shared" si="17"/>
        <v>9.505491601443896E-3</v>
      </c>
      <c r="W26" s="2"/>
      <c r="X26" s="6">
        <f t="shared" si="18"/>
        <v>145.98622253846042</v>
      </c>
      <c r="Y26" s="2"/>
      <c r="Z26" s="7">
        <f t="shared" si="19"/>
        <v>1.8768291388903229E-2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1175.5899999999999</v>
      </c>
      <c r="E27" s="2"/>
      <c r="F27" s="7">
        <f t="shared" si="12"/>
        <v>1.0035816285632208E-2</v>
      </c>
      <c r="G27" s="2"/>
      <c r="H27" s="6">
        <v>1158.0309124923101</v>
      </c>
      <c r="I27" s="2"/>
      <c r="J27" s="7">
        <f t="shared" si="13"/>
        <v>9.6502576041025846E-3</v>
      </c>
      <c r="K27" s="2"/>
      <c r="L27" s="6">
        <f t="shared" si="14"/>
        <v>17.55908750768981</v>
      </c>
      <c r="M27" s="2"/>
      <c r="N27" s="7">
        <f t="shared" si="15"/>
        <v>1.5162883234178267E-2</v>
      </c>
      <c r="O27" s="11"/>
      <c r="P27" s="6">
        <v>6998.68</v>
      </c>
      <c r="Q27" s="2"/>
      <c r="R27" s="7">
        <f t="shared" si="16"/>
        <v>1.0384991415037362E-2</v>
      </c>
      <c r="S27" s="2"/>
      <c r="T27" s="6">
        <v>8609.1602891077</v>
      </c>
      <c r="U27" s="2"/>
      <c r="V27" s="7">
        <f t="shared" si="17"/>
        <v>1.0520787350736527E-2</v>
      </c>
      <c r="W27" s="2"/>
      <c r="X27" s="6">
        <f t="shared" si="18"/>
        <v>-1610.4802891076997</v>
      </c>
      <c r="Y27" s="2"/>
      <c r="Z27" s="7">
        <f t="shared" si="19"/>
        <v>-0.18706589667580908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416.44</v>
      </c>
      <c r="E28" s="2"/>
      <c r="F28" s="7">
        <f t="shared" si="12"/>
        <v>3.5550790105297572E-3</v>
      </c>
      <c r="G28" s="2"/>
      <c r="H28" s="6">
        <v>1326</v>
      </c>
      <c r="I28" s="2"/>
      <c r="J28" s="7">
        <f t="shared" si="13"/>
        <v>1.1050000000000001E-2</v>
      </c>
      <c r="K28" s="2"/>
      <c r="L28" s="6">
        <f t="shared" si="14"/>
        <v>-909.56</v>
      </c>
      <c r="M28" s="2"/>
      <c r="N28" s="7">
        <f t="shared" si="15"/>
        <v>-0.68594268476621412</v>
      </c>
      <c r="O28" s="11"/>
      <c r="P28" s="6">
        <v>9752.8799999999992</v>
      </c>
      <c r="Q28" s="2"/>
      <c r="R28" s="7">
        <f t="shared" si="16"/>
        <v>1.4471811123224603E-2</v>
      </c>
      <c r="S28" s="2"/>
      <c r="T28" s="6">
        <v>10608</v>
      </c>
      <c r="U28" s="2"/>
      <c r="V28" s="7">
        <f t="shared" si="17"/>
        <v>1.2963460833435171E-2</v>
      </c>
      <c r="W28" s="2"/>
      <c r="X28" s="6">
        <f t="shared" si="18"/>
        <v>-855.1200000000008</v>
      </c>
      <c r="Y28" s="2"/>
      <c r="Z28" s="7">
        <f t="shared" si="19"/>
        <v>-8.0610859728506859E-2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78.78</v>
      </c>
      <c r="E29" s="2"/>
      <c r="F29" s="7">
        <f t="shared" si="12"/>
        <v>6.7253175595412132E-4</v>
      </c>
      <c r="G29" s="2"/>
      <c r="H29" s="6">
        <v>77.600009600000007</v>
      </c>
      <c r="I29" s="2"/>
      <c r="J29" s="7">
        <f t="shared" si="13"/>
        <v>6.4666674666666671E-4</v>
      </c>
      <c r="K29" s="2"/>
      <c r="L29" s="6">
        <f t="shared" si="14"/>
        <v>1.1799903999999941</v>
      </c>
      <c r="M29" s="2"/>
      <c r="N29" s="7">
        <f t="shared" si="15"/>
        <v>1.5206059974507967E-2</v>
      </c>
      <c r="O29" s="11"/>
      <c r="P29" s="6">
        <v>573.11</v>
      </c>
      <c r="Q29" s="2"/>
      <c r="R29" s="7">
        <f t="shared" si="16"/>
        <v>8.5040928144622439E-4</v>
      </c>
      <c r="S29" s="2"/>
      <c r="T29" s="6">
        <v>576.90249359999996</v>
      </c>
      <c r="U29" s="2"/>
      <c r="V29" s="7">
        <f t="shared" si="17"/>
        <v>7.0500121422461192E-4</v>
      </c>
      <c r="W29" s="2"/>
      <c r="X29" s="6">
        <f t="shared" si="18"/>
        <v>-3.7924935999999434</v>
      </c>
      <c r="Y29" s="2"/>
      <c r="Z29" s="7">
        <f t="shared" si="19"/>
        <v>-6.5738901150070254E-3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541.9</v>
      </c>
      <c r="E30" s="2"/>
      <c r="F30" s="7">
        <f t="shared" si="12"/>
        <v>4.6261101618626337E-3</v>
      </c>
      <c r="G30" s="2"/>
      <c r="H30" s="6">
        <v>814.17761230769202</v>
      </c>
      <c r="I30" s="2"/>
      <c r="J30" s="7">
        <f t="shared" si="13"/>
        <v>6.7848134358974334E-3</v>
      </c>
      <c r="K30" s="2"/>
      <c r="L30" s="6">
        <f t="shared" si="14"/>
        <v>-272.27761230769204</v>
      </c>
      <c r="M30" s="2"/>
      <c r="N30" s="7">
        <f t="shared" si="15"/>
        <v>-0.33442041170347675</v>
      </c>
      <c r="O30" s="11"/>
      <c r="P30" s="6">
        <v>5532.33</v>
      </c>
      <c r="Q30" s="2"/>
      <c r="R30" s="7">
        <f t="shared" si="16"/>
        <v>8.2091479472062787E-3</v>
      </c>
      <c r="S30" s="2"/>
      <c r="T30" s="6">
        <v>7124.05410769232</v>
      </c>
      <c r="U30" s="2"/>
      <c r="V30" s="7">
        <f t="shared" si="17"/>
        <v>8.7059197209975805E-3</v>
      </c>
      <c r="W30" s="2"/>
      <c r="X30" s="6">
        <f t="shared" si="18"/>
        <v>-1591.7241076923201</v>
      </c>
      <c r="Y30" s="2"/>
      <c r="Z30" s="7">
        <f t="shared" si="19"/>
        <v>-0.22342953655750994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16000</v>
      </c>
      <c r="U31" s="2"/>
      <c r="V31" s="7">
        <f t="shared" si="17"/>
        <v>1.9552731272149577E-2</v>
      </c>
      <c r="W31" s="2"/>
      <c r="X31" s="6">
        <f t="shared" si="18"/>
        <v>-16000</v>
      </c>
      <c r="Y31" s="2"/>
      <c r="Z31" s="7">
        <f t="shared" si="19"/>
        <v>-1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410.8</v>
      </c>
      <c r="E32" s="2"/>
      <c r="F32" s="7">
        <f t="shared" si="12"/>
        <v>3.5069312686716557E-3</v>
      </c>
      <c r="G32" s="2"/>
      <c r="H32" s="6">
        <v>284.01544615384603</v>
      </c>
      <c r="I32" s="2"/>
      <c r="J32" s="7">
        <f t="shared" si="13"/>
        <v>2.3667953846153835E-3</v>
      </c>
      <c r="K32" s="2"/>
      <c r="L32" s="6">
        <f t="shared" si="14"/>
        <v>126.78455384615398</v>
      </c>
      <c r="M32" s="2"/>
      <c r="N32" s="7">
        <f t="shared" si="15"/>
        <v>0.44640020661931562</v>
      </c>
      <c r="O32" s="11"/>
      <c r="P32" s="6">
        <v>3285.38</v>
      </c>
      <c r="Q32" s="2"/>
      <c r="R32" s="7">
        <f t="shared" si="16"/>
        <v>4.8750111585521049E-3</v>
      </c>
      <c r="S32" s="2"/>
      <c r="T32" s="6">
        <v>2485.135153846154</v>
      </c>
      <c r="U32" s="2"/>
      <c r="V32" s="7">
        <f t="shared" si="17"/>
        <v>3.0369487398828718E-3</v>
      </c>
      <c r="W32" s="2"/>
      <c r="X32" s="6">
        <f t="shared" si="18"/>
        <v>800.24484615384608</v>
      </c>
      <c r="Y32" s="2"/>
      <c r="Z32" s="7">
        <f t="shared" si="19"/>
        <v>0.32201260559826533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492.14</v>
      </c>
      <c r="E33" s="2"/>
      <c r="F33" s="7">
        <f t="shared" si="12"/>
        <v>4.2013173188025039E-3</v>
      </c>
      <c r="G33" s="2"/>
      <c r="H33" s="6">
        <v>895.38472615384592</v>
      </c>
      <c r="I33" s="2"/>
      <c r="J33" s="7">
        <f t="shared" si="13"/>
        <v>7.4615393846153826E-3</v>
      </c>
      <c r="K33" s="2"/>
      <c r="L33" s="6">
        <f t="shared" si="14"/>
        <v>-403.24472615384593</v>
      </c>
      <c r="M33" s="2"/>
      <c r="N33" s="7">
        <f t="shared" si="15"/>
        <v>-0.45035917452601265</v>
      </c>
      <c r="O33" s="11"/>
      <c r="P33" s="6">
        <v>3935.94</v>
      </c>
      <c r="Q33" s="2"/>
      <c r="R33" s="7">
        <f t="shared" si="16"/>
        <v>5.8403446235721808E-3</v>
      </c>
      <c r="S33" s="2"/>
      <c r="T33" s="6">
        <v>6656.5672338461554</v>
      </c>
      <c r="U33" s="2"/>
      <c r="V33" s="7">
        <f t="shared" si="17"/>
        <v>8.134629394899371E-3</v>
      </c>
      <c r="W33" s="2"/>
      <c r="X33" s="6">
        <f t="shared" si="18"/>
        <v>-2720.6272338461554</v>
      </c>
      <c r="Y33" s="2"/>
      <c r="Z33" s="7">
        <f t="shared" si="19"/>
        <v>-0.40871325087994054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333.9</v>
      </c>
      <c r="E34" s="2"/>
      <c r="F34" s="7">
        <f t="shared" si="12"/>
        <v>2.8504487600035681E-3</v>
      </c>
      <c r="G34" s="2"/>
      <c r="H34" s="6"/>
      <c r="I34" s="2"/>
      <c r="J34" s="7">
        <f t="shared" si="13"/>
        <v>0</v>
      </c>
      <c r="K34" s="2"/>
      <c r="L34" s="6">
        <f t="shared" si="14"/>
        <v>333.9</v>
      </c>
      <c r="M34" s="2"/>
      <c r="N34" s="7">
        <f t="shared" si="15"/>
        <v>0</v>
      </c>
      <c r="O34" s="11"/>
      <c r="P34" s="6">
        <v>2307.54</v>
      </c>
      <c r="Q34" s="2"/>
      <c r="R34" s="7">
        <f t="shared" si="16"/>
        <v>3.4240432609942604E-3</v>
      </c>
      <c r="S34" s="2"/>
      <c r="T34" s="6"/>
      <c r="U34" s="2"/>
      <c r="V34" s="7">
        <f t="shared" si="17"/>
        <v>0</v>
      </c>
      <c r="W34" s="2"/>
      <c r="X34" s="6">
        <f t="shared" si="18"/>
        <v>2307.54</v>
      </c>
      <c r="Y34" s="2"/>
      <c r="Z34" s="7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29272.880000000001</v>
      </c>
      <c r="E35" s="1"/>
      <c r="F35" s="5">
        <f t="shared" ref="F35:F45" si="20">IF(D$12=0,0,D35/D$12)</f>
        <v>0.24989770739063569</v>
      </c>
      <c r="G35" s="1"/>
      <c r="H35" s="1">
        <f>SUM(OSRRefH22_1x_0)</f>
        <v>29278.126646153847</v>
      </c>
      <c r="I35" s="1"/>
      <c r="J35" s="5">
        <f t="shared" ref="J35:J45" si="21">IF(H$12=0,0,H35/H$12)</f>
        <v>0.24398438871794872</v>
      </c>
      <c r="K35" s="1"/>
      <c r="L35" s="1">
        <f t="shared" ref="L35:L45" si="22">+D35-H35</f>
        <v>-5.2466461538460862</v>
      </c>
      <c r="M35" s="1"/>
      <c r="N35" s="5">
        <f t="shared" ref="N35:N45" si="23">IF(H35=0,0,L35/H35)</f>
        <v>-1.7920020011032083E-4</v>
      </c>
      <c r="O35" s="13"/>
      <c r="P35" s="1">
        <f>SUM(OSRRefP22_1x_0)</f>
        <v>212567.19</v>
      </c>
      <c r="Q35" s="1"/>
      <c r="R35" s="5">
        <f t="shared" ref="R35:R45" si="24">IF(P$12=0,0,P35/P$12)</f>
        <v>0.31541782782876421</v>
      </c>
      <c r="S35" s="1"/>
      <c r="T35" s="1">
        <f>SUM(OSRRefT22_1x_0)</f>
        <v>216915.30415384617</v>
      </c>
      <c r="U35" s="1"/>
      <c r="V35" s="5">
        <f t="shared" ref="V35:V45" si="25">IF(T$12=0,0,T35/T$12)</f>
        <v>0.26508041568354657</v>
      </c>
      <c r="W35" s="1"/>
      <c r="X35" s="1">
        <f t="shared" ref="X35:X45" si="26">+P35-T35</f>
        <v>-4348.114153846167</v>
      </c>
      <c r="Y35" s="1"/>
      <c r="Z35" s="5">
        <f t="shared" ref="Z35:Z45" si="27">IF(T35=0,0,X35/T35)</f>
        <v>-2.0045216130818909E-2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8486.08</v>
      </c>
      <c r="E37" s="2"/>
      <c r="F37" s="7">
        <f t="shared" si="20"/>
        <v>7.24442534090778E-2</v>
      </c>
      <c r="G37" s="2"/>
      <c r="H37" s="6">
        <v>8899.1506461538502</v>
      </c>
      <c r="I37" s="2"/>
      <c r="J37" s="7">
        <f t="shared" si="21"/>
        <v>7.4159588717948755E-2</v>
      </c>
      <c r="K37" s="2"/>
      <c r="L37" s="6">
        <f t="shared" si="22"/>
        <v>-413.07064615385025</v>
      </c>
      <c r="M37" s="2"/>
      <c r="N37" s="7">
        <f t="shared" si="23"/>
        <v>-4.6416861853257475E-2</v>
      </c>
      <c r="O37" s="11"/>
      <c r="P37" s="6">
        <v>84878.86</v>
      </c>
      <c r="Q37" s="2"/>
      <c r="R37" s="7">
        <f t="shared" si="24"/>
        <v>0.12594749758785342</v>
      </c>
      <c r="S37" s="2"/>
      <c r="T37" s="6">
        <v>77867.56815384615</v>
      </c>
      <c r="U37" s="2"/>
      <c r="V37" s="7">
        <f t="shared" si="25"/>
        <v>9.5157727182996643E-2</v>
      </c>
      <c r="W37" s="2"/>
      <c r="X37" s="6">
        <f t="shared" si="26"/>
        <v>7011.2918461538502</v>
      </c>
      <c r="Y37" s="2"/>
      <c r="Z37" s="7">
        <f t="shared" si="27"/>
        <v>9.0041232985488301E-2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>
        <v>45.5</v>
      </c>
      <c r="Q40" s="2"/>
      <c r="R40" s="7">
        <f t="shared" si="24"/>
        <v>6.7515175630861803E-5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45.5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19767.86</v>
      </c>
      <c r="E42" s="2"/>
      <c r="F42" s="7">
        <f t="shared" si="20"/>
        <v>0.16875493268920078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19767.86</v>
      </c>
      <c r="M42" s="2"/>
      <c r="N42" s="7">
        <f t="shared" si="23"/>
        <v>0</v>
      </c>
      <c r="O42" s="11"/>
      <c r="P42" s="6">
        <v>121789.39</v>
      </c>
      <c r="Q42" s="2"/>
      <c r="R42" s="7">
        <f t="shared" si="24"/>
        <v>0.18071718804012141</v>
      </c>
      <c r="S42" s="2"/>
      <c r="T42" s="6">
        <v>18800</v>
      </c>
      <c r="U42" s="2"/>
      <c r="V42" s="7">
        <f t="shared" si="25"/>
        <v>2.2974459244775754E-2</v>
      </c>
      <c r="W42" s="2"/>
      <c r="X42" s="6">
        <f t="shared" si="26"/>
        <v>102989.39</v>
      </c>
      <c r="Y42" s="2"/>
      <c r="Z42" s="7">
        <f t="shared" si="27"/>
        <v>5.4781590425531919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1018.94</v>
      </c>
      <c r="E43" s="2"/>
      <c r="F43" s="7">
        <f t="shared" si="20"/>
        <v>8.6985212923571011E-3</v>
      </c>
      <c r="G43" s="2"/>
      <c r="H43" s="6">
        <v>20378.975999999999</v>
      </c>
      <c r="I43" s="2"/>
      <c r="J43" s="7">
        <f t="shared" si="21"/>
        <v>0.1698248</v>
      </c>
      <c r="K43" s="2"/>
      <c r="L43" s="6">
        <f t="shared" si="22"/>
        <v>-19360.036</v>
      </c>
      <c r="M43" s="2"/>
      <c r="N43" s="7">
        <f t="shared" si="23"/>
        <v>-0.95000043181757521</v>
      </c>
      <c r="O43" s="11"/>
      <c r="P43" s="6">
        <v>5853.44</v>
      </c>
      <c r="Q43" s="2"/>
      <c r="R43" s="7">
        <f t="shared" si="24"/>
        <v>8.6856270251584999E-3</v>
      </c>
      <c r="S43" s="2"/>
      <c r="T43" s="6">
        <v>120247.736</v>
      </c>
      <c r="U43" s="2"/>
      <c r="V43" s="7">
        <f t="shared" si="25"/>
        <v>0.14694822925577417</v>
      </c>
      <c r="W43" s="2"/>
      <c r="X43" s="6">
        <f t="shared" si="26"/>
        <v>-114394.296</v>
      </c>
      <c r="Y43" s="2"/>
      <c r="Z43" s="7">
        <f t="shared" si="27"/>
        <v>-0.95132182779724017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169.37</v>
      </c>
      <c r="E46" s="1"/>
      <c r="F46" s="5">
        <f t="shared" ref="F46:F55" si="28">IF(D$12=0,0,D46/D$12)</f>
        <v>1.4458835174657213E-3</v>
      </c>
      <c r="G46" s="1"/>
      <c r="H46" s="1">
        <f>SUM(OSRRefH22_2x_0)</f>
        <v>150</v>
      </c>
      <c r="I46" s="1"/>
      <c r="J46" s="5">
        <f t="shared" ref="J46:J55" si="29">IF(H$12=0,0,H46/H$12)</f>
        <v>1.25E-3</v>
      </c>
      <c r="K46" s="1"/>
      <c r="L46" s="1">
        <f t="shared" ref="L46:L55" si="30">+D46-H46</f>
        <v>19.370000000000005</v>
      </c>
      <c r="M46" s="1"/>
      <c r="N46" s="5">
        <f t="shared" ref="N46:N55" si="31">IF(H46=0,0,L46/H46)</f>
        <v>0.12913333333333335</v>
      </c>
      <c r="O46" s="13"/>
      <c r="P46" s="1">
        <f>SUM(OSRRefP22_2x_0)</f>
        <v>1352.66</v>
      </c>
      <c r="Q46" s="1"/>
      <c r="R46" s="5">
        <f t="shared" ref="R46:R55" si="32">IF(P$12=0,0,P46/P$12)</f>
        <v>2.0071445597547592E-3</v>
      </c>
      <c r="S46" s="1"/>
      <c r="T46" s="1">
        <f>SUM(OSRRefT22_2x_0)</f>
        <v>1200</v>
      </c>
      <c r="U46" s="1"/>
      <c r="V46" s="5">
        <f t="shared" ref="V46:V55" si="33">IF(T$12=0,0,T46/T$12)</f>
        <v>1.4664548454112183E-3</v>
      </c>
      <c r="W46" s="1"/>
      <c r="X46" s="1">
        <f t="shared" ref="X46:X55" si="34">+P46-T46</f>
        <v>152.66000000000008</v>
      </c>
      <c r="Y46" s="1"/>
      <c r="Z46" s="5">
        <f t="shared" ref="Z46:Z55" si="35">IF(T46=0,0,X46/T46)</f>
        <v>0.12721666666666673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169.37</v>
      </c>
      <c r="E47" s="2"/>
      <c r="F47" s="7">
        <f t="shared" si="28"/>
        <v>1.4458835174657213E-3</v>
      </c>
      <c r="G47" s="2"/>
      <c r="H47" s="6">
        <v>150</v>
      </c>
      <c r="I47" s="2"/>
      <c r="J47" s="7">
        <f t="shared" si="29"/>
        <v>1.25E-3</v>
      </c>
      <c r="K47" s="2"/>
      <c r="L47" s="6">
        <f t="shared" si="30"/>
        <v>19.370000000000005</v>
      </c>
      <c r="M47" s="2"/>
      <c r="N47" s="7">
        <f t="shared" si="31"/>
        <v>0.12913333333333335</v>
      </c>
      <c r="O47" s="11"/>
      <c r="P47" s="6">
        <v>1352.66</v>
      </c>
      <c r="Q47" s="2"/>
      <c r="R47" s="7">
        <f t="shared" si="32"/>
        <v>2.0071445597547592E-3</v>
      </c>
      <c r="S47" s="2"/>
      <c r="T47" s="6">
        <v>1200</v>
      </c>
      <c r="U47" s="2"/>
      <c r="V47" s="7">
        <f t="shared" si="33"/>
        <v>1.4664548454112183E-3</v>
      </c>
      <c r="W47" s="2"/>
      <c r="X47" s="6">
        <f t="shared" si="34"/>
        <v>152.66000000000008</v>
      </c>
      <c r="Y47" s="2"/>
      <c r="Z47" s="7">
        <f t="shared" si="35"/>
        <v>0.12721666666666673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124.6</v>
      </c>
      <c r="E48" s="1"/>
      <c r="F48" s="5">
        <f t="shared" si="28"/>
        <v>1.0636894743828828E-3</v>
      </c>
      <c r="G48" s="1"/>
      <c r="H48" s="1">
        <f>SUM(OSRRefH22_3x_0)</f>
        <v>20</v>
      </c>
      <c r="I48" s="1"/>
      <c r="J48" s="5">
        <f t="shared" si="29"/>
        <v>1.6666666666666666E-4</v>
      </c>
      <c r="K48" s="1"/>
      <c r="L48" s="1">
        <f t="shared" si="30"/>
        <v>104.6</v>
      </c>
      <c r="M48" s="1"/>
      <c r="N48" s="5">
        <f t="shared" si="31"/>
        <v>5.2299999999999995</v>
      </c>
      <c r="O48" s="13"/>
      <c r="P48" s="1">
        <f>SUM(OSRRefP22_3x_0)</f>
        <v>174.57</v>
      </c>
      <c r="Q48" s="1"/>
      <c r="R48" s="5">
        <f t="shared" si="32"/>
        <v>2.5903569692042959E-4</v>
      </c>
      <c r="S48" s="1"/>
      <c r="T48" s="1">
        <f>SUM(OSRRefT22_3x_0)</f>
        <v>160</v>
      </c>
      <c r="U48" s="1"/>
      <c r="V48" s="5">
        <f t="shared" si="33"/>
        <v>1.9552731272149578E-4</v>
      </c>
      <c r="W48" s="1"/>
      <c r="X48" s="1">
        <f t="shared" si="34"/>
        <v>14.569999999999993</v>
      </c>
      <c r="Y48" s="1"/>
      <c r="Z48" s="5">
        <f t="shared" si="35"/>
        <v>9.1062499999999963E-2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124.6</v>
      </c>
      <c r="E49" s="2"/>
      <c r="F49" s="7">
        <f t="shared" si="28"/>
        <v>1.0636894743828828E-3</v>
      </c>
      <c r="G49" s="2"/>
      <c r="H49" s="6">
        <v>20</v>
      </c>
      <c r="I49" s="2"/>
      <c r="J49" s="7">
        <f t="shared" si="29"/>
        <v>1.6666666666666666E-4</v>
      </c>
      <c r="K49" s="2"/>
      <c r="L49" s="6">
        <f t="shared" si="30"/>
        <v>104.6</v>
      </c>
      <c r="M49" s="2"/>
      <c r="N49" s="7">
        <f t="shared" si="31"/>
        <v>5.2299999999999995</v>
      </c>
      <c r="O49" s="11"/>
      <c r="P49" s="6">
        <v>174.57</v>
      </c>
      <c r="Q49" s="2"/>
      <c r="R49" s="7">
        <f t="shared" si="32"/>
        <v>2.5903569692042959E-4</v>
      </c>
      <c r="S49" s="2"/>
      <c r="T49" s="6">
        <v>160</v>
      </c>
      <c r="U49" s="2"/>
      <c r="V49" s="7">
        <f t="shared" si="33"/>
        <v>1.9552731272149578E-4</v>
      </c>
      <c r="W49" s="2"/>
      <c r="X49" s="6">
        <f t="shared" si="34"/>
        <v>14.569999999999993</v>
      </c>
      <c r="Y49" s="2"/>
      <c r="Z49" s="7">
        <f t="shared" si="35"/>
        <v>9.1062499999999963E-2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2561.7399999999998</v>
      </c>
      <c r="E50" s="1"/>
      <c r="F50" s="5">
        <f t="shared" si="28"/>
        <v>2.1869148267300211E-2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2561.7399999999998</v>
      </c>
      <c r="M50" s="1"/>
      <c r="N50" s="5">
        <f t="shared" si="31"/>
        <v>0</v>
      </c>
      <c r="O50" s="13"/>
      <c r="P50" s="1">
        <f>SUM(OSRRefP22_4x_0)</f>
        <v>22098.670000000002</v>
      </c>
      <c r="Q50" s="1"/>
      <c r="R50" s="5">
        <f t="shared" si="32"/>
        <v>3.2791111785900155E-2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22098.670000000002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2561.7399999999998</v>
      </c>
      <c r="E51" s="2"/>
      <c r="F51" s="7">
        <f t="shared" si="28"/>
        <v>2.1869148267300211E-2</v>
      </c>
      <c r="G51" s="2"/>
      <c r="H51" s="6"/>
      <c r="I51" s="2"/>
      <c r="J51" s="7">
        <f t="shared" si="29"/>
        <v>0</v>
      </c>
      <c r="K51" s="2"/>
      <c r="L51" s="6">
        <f t="shared" si="30"/>
        <v>2561.7399999999998</v>
      </c>
      <c r="M51" s="2"/>
      <c r="N51" s="7">
        <f t="shared" si="31"/>
        <v>0</v>
      </c>
      <c r="O51" s="11"/>
      <c r="P51" s="6">
        <v>22098.670000000002</v>
      </c>
      <c r="Q51" s="2"/>
      <c r="R51" s="7">
        <f t="shared" si="32"/>
        <v>3.2791111785900155E-2</v>
      </c>
      <c r="S51" s="2"/>
      <c r="T51" s="6"/>
      <c r="U51" s="2"/>
      <c r="V51" s="7">
        <f t="shared" si="33"/>
        <v>0</v>
      </c>
      <c r="W51" s="2"/>
      <c r="X51" s="6">
        <f t="shared" si="34"/>
        <v>22098.670000000002</v>
      </c>
      <c r="Y51" s="2"/>
      <c r="Z51" s="7">
        <f t="shared" si="35"/>
        <v>0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5612.57</v>
      </c>
      <c r="E52" s="1"/>
      <c r="F52" s="5">
        <f t="shared" si="28"/>
        <v>4.7913576510731436E-2</v>
      </c>
      <c r="G52" s="1"/>
      <c r="H52" s="1">
        <f>SUM(OSRRefH22_5x_0)</f>
        <v>6318</v>
      </c>
      <c r="I52" s="1"/>
      <c r="J52" s="5">
        <f t="shared" si="29"/>
        <v>5.2650000000000002E-2</v>
      </c>
      <c r="K52" s="1"/>
      <c r="L52" s="1">
        <f t="shared" si="30"/>
        <v>-705.43000000000029</v>
      </c>
      <c r="M52" s="1"/>
      <c r="N52" s="5">
        <f t="shared" si="31"/>
        <v>-0.11165400443178225</v>
      </c>
      <c r="O52" s="13"/>
      <c r="P52" s="1">
        <f>SUM(OSRRefP22_5x_0)</f>
        <v>44900.56</v>
      </c>
      <c r="Q52" s="1"/>
      <c r="R52" s="5">
        <f t="shared" si="32"/>
        <v>6.6625696578550511E-2</v>
      </c>
      <c r="S52" s="1"/>
      <c r="T52" s="1">
        <f>SUM(OSRRefT22_5x_0)</f>
        <v>49210</v>
      </c>
      <c r="U52" s="1"/>
      <c r="V52" s="5">
        <f t="shared" si="33"/>
        <v>6.0136869118905048E-2</v>
      </c>
      <c r="W52" s="1"/>
      <c r="X52" s="1">
        <f t="shared" si="34"/>
        <v>-4309.4400000000023</v>
      </c>
      <c r="Y52" s="1"/>
      <c r="Z52" s="5">
        <f t="shared" si="35"/>
        <v>-8.7572444625076254E-2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8"/>
        <v>3.9495660940870043E-2</v>
      </c>
      <c r="G53" s="2"/>
      <c r="H53" s="6">
        <v>5165</v>
      </c>
      <c r="I53" s="2"/>
      <c r="J53" s="7">
        <f t="shared" si="29"/>
        <v>4.3041666666666666E-2</v>
      </c>
      <c r="K53" s="2"/>
      <c r="L53" s="6">
        <f t="shared" si="30"/>
        <v>-538.5</v>
      </c>
      <c r="M53" s="2"/>
      <c r="N53" s="7">
        <f t="shared" si="31"/>
        <v>-0.1042594385285576</v>
      </c>
      <c r="O53" s="11"/>
      <c r="P53" s="6">
        <v>37012</v>
      </c>
      <c r="Q53" s="2"/>
      <c r="R53" s="7">
        <f t="shared" si="32"/>
        <v>5.4920256713174881E-2</v>
      </c>
      <c r="S53" s="2"/>
      <c r="T53" s="6">
        <v>41320</v>
      </c>
      <c r="U53" s="2"/>
      <c r="V53" s="7">
        <f t="shared" si="33"/>
        <v>5.049492851032629E-2</v>
      </c>
      <c r="W53" s="2"/>
      <c r="X53" s="6">
        <f t="shared" si="34"/>
        <v>-4308</v>
      </c>
      <c r="Y53" s="2"/>
      <c r="Z53" s="7">
        <f t="shared" si="35"/>
        <v>-0.1042594385285576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986.07</v>
      </c>
      <c r="E54" s="2"/>
      <c r="F54" s="7">
        <f t="shared" si="28"/>
        <v>8.4179155698613905E-3</v>
      </c>
      <c r="G54" s="2"/>
      <c r="H54" s="6">
        <v>486</v>
      </c>
      <c r="I54" s="2"/>
      <c r="J54" s="7">
        <f t="shared" si="29"/>
        <v>4.0499999999999998E-3</v>
      </c>
      <c r="K54" s="2"/>
      <c r="L54" s="6">
        <f t="shared" si="30"/>
        <v>500.07000000000005</v>
      </c>
      <c r="M54" s="2"/>
      <c r="N54" s="7">
        <f t="shared" si="31"/>
        <v>1.0289506172839507</v>
      </c>
      <c r="O54" s="11"/>
      <c r="P54" s="6">
        <v>7888.56</v>
      </c>
      <c r="Q54" s="2"/>
      <c r="R54" s="7">
        <f t="shared" si="32"/>
        <v>1.1705439865375632E-2</v>
      </c>
      <c r="S54" s="2"/>
      <c r="T54" s="6">
        <v>3888</v>
      </c>
      <c r="U54" s="2"/>
      <c r="V54" s="7">
        <f t="shared" si="33"/>
        <v>4.7513136991323476E-3</v>
      </c>
      <c r="W54" s="2"/>
      <c r="X54" s="6">
        <f t="shared" si="34"/>
        <v>4000.5600000000004</v>
      </c>
      <c r="Y54" s="2"/>
      <c r="Z54" s="7">
        <f t="shared" si="35"/>
        <v>1.0289506172839507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667</v>
      </c>
      <c r="I55" s="2"/>
      <c r="J55" s="7">
        <f t="shared" si="29"/>
        <v>5.5583333333333335E-3</v>
      </c>
      <c r="K55" s="2"/>
      <c r="L55" s="6">
        <f t="shared" si="30"/>
        <v>-667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4002</v>
      </c>
      <c r="U55" s="2"/>
      <c r="V55" s="7">
        <f t="shared" si="33"/>
        <v>4.8906269094464135E-3</v>
      </c>
      <c r="W55" s="2"/>
      <c r="X55" s="6">
        <f t="shared" si="34"/>
        <v>-4002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0</v>
      </c>
      <c r="I56" s="1"/>
      <c r="J56" s="5">
        <f t="shared" ref="J56:J69" si="37">IF(H$12=0,0,H56/H$12)</f>
        <v>0</v>
      </c>
      <c r="K56" s="1"/>
      <c r="L56" s="1">
        <f t="shared" ref="L56:L69" si="38">+D56-H56</f>
        <v>0</v>
      </c>
      <c r="M56" s="1"/>
      <c r="N56" s="5">
        <f t="shared" ref="N56:N69" si="39">IF(H56=0,0,L56/H56)</f>
        <v>0</v>
      </c>
      <c r="O56" s="13"/>
      <c r="P56" s="1">
        <f>SUM(OSRRefP22_6x_0)</f>
        <v>0</v>
      </c>
      <c r="Q56" s="1"/>
      <c r="R56" s="5">
        <f t="shared" ref="R56:R69" si="40">IF(P$12=0,0,P56/P$12)</f>
        <v>0</v>
      </c>
      <c r="S56" s="1"/>
      <c r="T56" s="1">
        <f>SUM(OSRRefT22_6x_0)</f>
        <v>2000</v>
      </c>
      <c r="U56" s="1"/>
      <c r="V56" s="5">
        <f t="shared" ref="V56:V69" si="41">IF(T$12=0,0,T56/T$12)</f>
        <v>2.4440914090186972E-3</v>
      </c>
      <c r="W56" s="1"/>
      <c r="X56" s="1">
        <f t="shared" ref="X56:X69" si="42">+P56-T56</f>
        <v>-2000</v>
      </c>
      <c r="Y56" s="1"/>
      <c r="Z56" s="5">
        <f t="shared" ref="Z56:Z69" si="43">IF(T56=0,0,X56/T56)</f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2000</v>
      </c>
      <c r="U57" s="2"/>
      <c r="V57" s="7">
        <f t="shared" si="41"/>
        <v>2.4440914090186972E-3</v>
      </c>
      <c r="W57" s="2"/>
      <c r="X57" s="6">
        <f t="shared" si="42"/>
        <v>-2000</v>
      </c>
      <c r="Y57" s="2"/>
      <c r="Z57" s="7">
        <f t="shared" si="43"/>
        <v>-1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75</v>
      </c>
      <c r="I58" s="1"/>
      <c r="J58" s="5">
        <f t="shared" si="37"/>
        <v>6.2500000000000001E-4</v>
      </c>
      <c r="K58" s="1"/>
      <c r="L58" s="1">
        <f t="shared" si="38"/>
        <v>-75</v>
      </c>
      <c r="M58" s="1"/>
      <c r="N58" s="5">
        <f t="shared" si="39"/>
        <v>-1</v>
      </c>
      <c r="O58" s="13"/>
      <c r="P58" s="1">
        <f>SUM(OSRRefP22_7x_0)</f>
        <v>186.48</v>
      </c>
      <c r="Q58" s="1"/>
      <c r="R58" s="5">
        <f t="shared" si="40"/>
        <v>2.7670835058556283E-4</v>
      </c>
      <c r="S58" s="1"/>
      <c r="T58" s="1">
        <f>SUM(OSRRefT22_7x_0)</f>
        <v>675</v>
      </c>
      <c r="U58" s="1"/>
      <c r="V58" s="5">
        <f t="shared" si="41"/>
        <v>8.2488085054381035E-4</v>
      </c>
      <c r="W58" s="1"/>
      <c r="X58" s="1">
        <f t="shared" si="42"/>
        <v>-488.52</v>
      </c>
      <c r="Y58" s="1"/>
      <c r="Z58" s="5">
        <f t="shared" si="43"/>
        <v>-0.72373333333333334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6"/>
        <v>0</v>
      </c>
      <c r="G59" s="2"/>
      <c r="H59" s="6">
        <v>75</v>
      </c>
      <c r="I59" s="2"/>
      <c r="J59" s="7">
        <f t="shared" si="37"/>
        <v>6.2500000000000001E-4</v>
      </c>
      <c r="K59" s="2"/>
      <c r="L59" s="6">
        <f t="shared" si="38"/>
        <v>-75</v>
      </c>
      <c r="M59" s="2"/>
      <c r="N59" s="7">
        <f t="shared" si="39"/>
        <v>-1</v>
      </c>
      <c r="O59" s="11"/>
      <c r="P59" s="6">
        <v>186.48</v>
      </c>
      <c r="Q59" s="2"/>
      <c r="R59" s="7">
        <f t="shared" si="40"/>
        <v>2.7670835058556283E-4</v>
      </c>
      <c r="S59" s="2"/>
      <c r="T59" s="6">
        <v>675</v>
      </c>
      <c r="U59" s="2"/>
      <c r="V59" s="7">
        <f t="shared" si="41"/>
        <v>8.2488085054381035E-4</v>
      </c>
      <c r="W59" s="2"/>
      <c r="X59" s="6">
        <f t="shared" si="42"/>
        <v>-488.52</v>
      </c>
      <c r="Y59" s="2"/>
      <c r="Z59" s="7">
        <f t="shared" si="43"/>
        <v>-0.72373333333333334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328.35</v>
      </c>
      <c r="E60" s="1"/>
      <c r="F60" s="5">
        <f t="shared" si="36"/>
        <v>2.8030693331751173E-3</v>
      </c>
      <c r="G60" s="1"/>
      <c r="H60" s="1">
        <f>SUM(OSRRefH22_8x_0)</f>
        <v>115</v>
      </c>
      <c r="I60" s="1"/>
      <c r="J60" s="5">
        <f t="shared" si="37"/>
        <v>9.5833333333333328E-4</v>
      </c>
      <c r="K60" s="1"/>
      <c r="L60" s="1">
        <f t="shared" si="38"/>
        <v>213.35000000000002</v>
      </c>
      <c r="M60" s="1"/>
      <c r="N60" s="5">
        <f t="shared" si="39"/>
        <v>1.8552173913043479</v>
      </c>
      <c r="O60" s="13"/>
      <c r="P60" s="1">
        <f>SUM(OSRRefP22_8x_0)</f>
        <v>3039.43</v>
      </c>
      <c r="Q60" s="1"/>
      <c r="R60" s="5">
        <f t="shared" si="40"/>
        <v>4.5100582476419841E-3</v>
      </c>
      <c r="S60" s="1"/>
      <c r="T60" s="1">
        <f>SUM(OSRRefT22_8x_0)</f>
        <v>920</v>
      </c>
      <c r="U60" s="1"/>
      <c r="V60" s="5">
        <f t="shared" si="41"/>
        <v>1.1242820481486007E-3</v>
      </c>
      <c r="W60" s="1"/>
      <c r="X60" s="1">
        <f t="shared" si="42"/>
        <v>2119.4299999999998</v>
      </c>
      <c r="Y60" s="1"/>
      <c r="Z60" s="5">
        <f t="shared" si="43"/>
        <v>2.3037282608695651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6">
        <v>328.35</v>
      </c>
      <c r="E61" s="2"/>
      <c r="F61" s="7">
        <f t="shared" si="36"/>
        <v>2.8030693331751173E-3</v>
      </c>
      <c r="G61" s="2"/>
      <c r="H61" s="6">
        <v>115</v>
      </c>
      <c r="I61" s="2"/>
      <c r="J61" s="7">
        <f t="shared" si="37"/>
        <v>9.5833333333333328E-4</v>
      </c>
      <c r="K61" s="2"/>
      <c r="L61" s="6">
        <f t="shared" si="38"/>
        <v>213.35000000000002</v>
      </c>
      <c r="M61" s="2"/>
      <c r="N61" s="7">
        <f t="shared" si="39"/>
        <v>1.8552173913043479</v>
      </c>
      <c r="O61" s="11"/>
      <c r="P61" s="6">
        <v>3039.43</v>
      </c>
      <c r="Q61" s="2"/>
      <c r="R61" s="7">
        <f t="shared" si="40"/>
        <v>4.5100582476419841E-3</v>
      </c>
      <c r="S61" s="2"/>
      <c r="T61" s="6">
        <v>920</v>
      </c>
      <c r="U61" s="2"/>
      <c r="V61" s="7">
        <f t="shared" si="41"/>
        <v>1.1242820481486007E-3</v>
      </c>
      <c r="W61" s="2"/>
      <c r="X61" s="6">
        <f t="shared" si="42"/>
        <v>2119.4299999999998</v>
      </c>
      <c r="Y61" s="2"/>
      <c r="Z61" s="7">
        <f t="shared" si="43"/>
        <v>2.3037282608695651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878.51</v>
      </c>
      <c r="E62" s="1"/>
      <c r="F62" s="5">
        <f t="shared" si="36"/>
        <v>7.4996937410923472E-3</v>
      </c>
      <c r="G62" s="1"/>
      <c r="H62" s="1">
        <f>SUM(OSRRefH22_9x_0)</f>
        <v>1000</v>
      </c>
      <c r="I62" s="1"/>
      <c r="J62" s="5">
        <f t="shared" si="37"/>
        <v>8.3333333333333332E-3</v>
      </c>
      <c r="K62" s="1"/>
      <c r="L62" s="1">
        <f t="shared" si="38"/>
        <v>-121.49000000000001</v>
      </c>
      <c r="M62" s="1"/>
      <c r="N62" s="5">
        <f t="shared" si="39"/>
        <v>-0.12149000000000001</v>
      </c>
      <c r="O62" s="13"/>
      <c r="P62" s="1">
        <f>SUM(OSRRefP22_9x_0)</f>
        <v>8340.4</v>
      </c>
      <c r="Q62" s="1"/>
      <c r="R62" s="5">
        <f t="shared" si="40"/>
        <v>1.2375902655640435E-2</v>
      </c>
      <c r="S62" s="1"/>
      <c r="T62" s="1">
        <f>SUM(OSRRefT22_9x_0)</f>
        <v>8000</v>
      </c>
      <c r="U62" s="1"/>
      <c r="V62" s="5">
        <f t="shared" si="41"/>
        <v>9.7763656360747887E-3</v>
      </c>
      <c r="W62" s="1"/>
      <c r="X62" s="1">
        <f t="shared" si="42"/>
        <v>340.39999999999964</v>
      </c>
      <c r="Y62" s="1"/>
      <c r="Z62" s="5">
        <f t="shared" si="43"/>
        <v>4.2549999999999956E-2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>
        <v>878.51</v>
      </c>
      <c r="E63" s="2"/>
      <c r="F63" s="7">
        <f t="shared" si="36"/>
        <v>7.4996937410923472E-3</v>
      </c>
      <c r="G63" s="2"/>
      <c r="H63" s="6">
        <v>1000</v>
      </c>
      <c r="I63" s="2"/>
      <c r="J63" s="7">
        <f t="shared" si="37"/>
        <v>8.3333333333333332E-3</v>
      </c>
      <c r="K63" s="2"/>
      <c r="L63" s="6">
        <f t="shared" si="38"/>
        <v>-121.49000000000001</v>
      </c>
      <c r="M63" s="2"/>
      <c r="N63" s="7">
        <f t="shared" si="39"/>
        <v>-0.12149000000000001</v>
      </c>
      <c r="O63" s="11"/>
      <c r="P63" s="6">
        <v>8340.4</v>
      </c>
      <c r="Q63" s="2"/>
      <c r="R63" s="7">
        <f t="shared" si="40"/>
        <v>1.2375902655640435E-2</v>
      </c>
      <c r="S63" s="2"/>
      <c r="T63" s="6">
        <v>8000</v>
      </c>
      <c r="U63" s="2"/>
      <c r="V63" s="7">
        <f t="shared" si="41"/>
        <v>9.7763656360747887E-3</v>
      </c>
      <c r="W63" s="2"/>
      <c r="X63" s="6">
        <f t="shared" si="42"/>
        <v>340.39999999999964</v>
      </c>
      <c r="Y63" s="2"/>
      <c r="Z63" s="7">
        <f t="shared" si="43"/>
        <v>4.2549999999999956E-2</v>
      </c>
    </row>
    <row r="64" spans="1:26" s="27" customFormat="1" outlineLevel="1" collapsed="1" x14ac:dyDescent="0.25">
      <c r="A64" s="26"/>
      <c r="B64" s="13" t="str">
        <f>CONCATENATE("     ","Rent                                              ")</f>
        <v xml:space="preserve">     Rent                                              </v>
      </c>
      <c r="C64" s="13"/>
      <c r="D64" s="1">
        <f>SUM(OSRRefD22_10x_0)</f>
        <v>1850</v>
      </c>
      <c r="E64" s="1"/>
      <c r="F64" s="5">
        <f t="shared" si="36"/>
        <v>1.5793142276150349E-2</v>
      </c>
      <c r="G64" s="1"/>
      <c r="H64" s="1">
        <f>SUM(OSRRefH22_10x_0)</f>
        <v>1850</v>
      </c>
      <c r="I64" s="1"/>
      <c r="J64" s="5">
        <f t="shared" si="37"/>
        <v>1.5416666666666667E-2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14800</v>
      </c>
      <c r="Q64" s="1"/>
      <c r="R64" s="5">
        <f t="shared" si="40"/>
        <v>2.1960980205203401E-2</v>
      </c>
      <c r="S64" s="1"/>
      <c r="T64" s="1">
        <f>SUM(OSRRefT22_10x_0)</f>
        <v>14800</v>
      </c>
      <c r="U64" s="1"/>
      <c r="V64" s="5">
        <f t="shared" si="41"/>
        <v>1.8086276426738358E-2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25">
      <c r="A65" s="25"/>
      <c r="B65" s="11" t="str">
        <f>CONCATENATE("          ", "6273", " - ", "RENT")</f>
        <v xml:space="preserve">          6273 - RENT</v>
      </c>
      <c r="C65" s="11"/>
      <c r="D65" s="6">
        <v>1850</v>
      </c>
      <c r="E65" s="2"/>
      <c r="F65" s="7">
        <f t="shared" si="36"/>
        <v>1.5793142276150349E-2</v>
      </c>
      <c r="G65" s="2"/>
      <c r="H65" s="6">
        <v>1850</v>
      </c>
      <c r="I65" s="2"/>
      <c r="J65" s="7">
        <f t="shared" si="37"/>
        <v>1.5416666666666667E-2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14800</v>
      </c>
      <c r="Q65" s="2"/>
      <c r="R65" s="7">
        <f t="shared" si="40"/>
        <v>2.1960980205203401E-2</v>
      </c>
      <c r="S65" s="2"/>
      <c r="T65" s="6">
        <v>14800</v>
      </c>
      <c r="U65" s="2"/>
      <c r="V65" s="7">
        <f t="shared" si="41"/>
        <v>1.8086276426738358E-2</v>
      </c>
      <c r="W65" s="2"/>
      <c r="X65" s="6">
        <f t="shared" si="42"/>
        <v>0</v>
      </c>
      <c r="Y65" s="2"/>
      <c r="Z65" s="7">
        <f t="shared" si="43"/>
        <v>0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2470.13</v>
      </c>
      <c r="E66" s="1"/>
      <c r="F66" s="5">
        <f t="shared" si="36"/>
        <v>2.1087088935452573E-2</v>
      </c>
      <c r="G66" s="1"/>
      <c r="H66" s="1">
        <f>SUM(OSRRefH22_11x_0)</f>
        <v>1000</v>
      </c>
      <c r="I66" s="1"/>
      <c r="J66" s="5">
        <f t="shared" si="37"/>
        <v>8.3333333333333332E-3</v>
      </c>
      <c r="K66" s="1"/>
      <c r="L66" s="1">
        <f t="shared" si="38"/>
        <v>1470.13</v>
      </c>
      <c r="M66" s="1"/>
      <c r="N66" s="5">
        <f t="shared" si="39"/>
        <v>1.4701300000000002</v>
      </c>
      <c r="O66" s="13"/>
      <c r="P66" s="1">
        <f>SUM(OSRRefP22_11x_0)</f>
        <v>22826.080000000002</v>
      </c>
      <c r="Q66" s="1"/>
      <c r="R66" s="5">
        <f t="shared" si="40"/>
        <v>3.3870479124485764E-2</v>
      </c>
      <c r="S66" s="1"/>
      <c r="T66" s="1">
        <f>SUM(OSRRefT22_11x_0)</f>
        <v>9400</v>
      </c>
      <c r="U66" s="1"/>
      <c r="V66" s="5">
        <f t="shared" si="41"/>
        <v>1.1487229622387877E-2</v>
      </c>
      <c r="W66" s="1"/>
      <c r="X66" s="1">
        <f t="shared" si="42"/>
        <v>13426.080000000002</v>
      </c>
      <c r="Y66" s="1"/>
      <c r="Z66" s="5">
        <f t="shared" si="43"/>
        <v>1.4283063829787237</v>
      </c>
    </row>
    <row r="67" spans="1:26" s="24" customFormat="1" hidden="1" outlineLevel="2" x14ac:dyDescent="0.25">
      <c r="A67" s="25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200</v>
      </c>
      <c r="U67" s="2"/>
      <c r="V67" s="7">
        <f t="shared" si="41"/>
        <v>2.4440914090186972E-4</v>
      </c>
      <c r="W67" s="2"/>
      <c r="X67" s="6">
        <f t="shared" si="42"/>
        <v>-200</v>
      </c>
      <c r="Y67" s="2"/>
      <c r="Z67" s="7">
        <f t="shared" si="43"/>
        <v>-1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1799</v>
      </c>
      <c r="E68" s="2"/>
      <c r="F68" s="7">
        <f t="shared" si="36"/>
        <v>1.5357763759348365E-2</v>
      </c>
      <c r="G68" s="2"/>
      <c r="H68" s="6">
        <v>1000</v>
      </c>
      <c r="I68" s="2"/>
      <c r="J68" s="7">
        <f t="shared" si="37"/>
        <v>8.3333333333333332E-3</v>
      </c>
      <c r="K68" s="2"/>
      <c r="L68" s="6">
        <f t="shared" si="38"/>
        <v>799</v>
      </c>
      <c r="M68" s="2"/>
      <c r="N68" s="7">
        <f t="shared" si="39"/>
        <v>0.79900000000000004</v>
      </c>
      <c r="O68" s="11"/>
      <c r="P68" s="6">
        <v>14518.41</v>
      </c>
      <c r="Q68" s="2"/>
      <c r="R68" s="7">
        <f t="shared" si="40"/>
        <v>2.1543142879799127E-2</v>
      </c>
      <c r="S68" s="2"/>
      <c r="T68" s="6">
        <v>8000</v>
      </c>
      <c r="U68" s="2"/>
      <c r="V68" s="7">
        <f t="shared" si="41"/>
        <v>9.7763656360747887E-3</v>
      </c>
      <c r="W68" s="2"/>
      <c r="X68" s="6">
        <f t="shared" si="42"/>
        <v>6518.41</v>
      </c>
      <c r="Y68" s="2"/>
      <c r="Z68" s="7">
        <f t="shared" si="43"/>
        <v>0.81480125000000003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671.13</v>
      </c>
      <c r="E69" s="2"/>
      <c r="F69" s="7">
        <f t="shared" si="36"/>
        <v>5.7293251761042071E-3</v>
      </c>
      <c r="G69" s="2"/>
      <c r="H69" s="6"/>
      <c r="I69" s="2"/>
      <c r="J69" s="7">
        <f t="shared" si="37"/>
        <v>0</v>
      </c>
      <c r="K69" s="2"/>
      <c r="L69" s="6">
        <f t="shared" si="38"/>
        <v>671.13</v>
      </c>
      <c r="M69" s="2"/>
      <c r="N69" s="7">
        <f t="shared" si="39"/>
        <v>0</v>
      </c>
      <c r="O69" s="11"/>
      <c r="P69" s="6">
        <v>8307.67</v>
      </c>
      <c r="Q69" s="2"/>
      <c r="R69" s="7">
        <f t="shared" si="40"/>
        <v>1.2327336244686632E-2</v>
      </c>
      <c r="S69" s="2"/>
      <c r="T69" s="6">
        <v>1200</v>
      </c>
      <c r="U69" s="2"/>
      <c r="V69" s="7">
        <f t="shared" si="41"/>
        <v>1.4664548454112183E-3</v>
      </c>
      <c r="W69" s="2"/>
      <c r="X69" s="6">
        <f t="shared" si="42"/>
        <v>7107.67</v>
      </c>
      <c r="Y69" s="2"/>
      <c r="Z69" s="7">
        <f t="shared" si="43"/>
        <v>5.9230583333333335</v>
      </c>
    </row>
    <row r="70" spans="1:26" s="27" customFormat="1" outlineLevel="1" collapsed="1" x14ac:dyDescent="0.25">
      <c r="A70" s="26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SUM(OSRRefD22_12x_0)</f>
        <v>9371.1200000000008</v>
      </c>
      <c r="E70" s="1"/>
      <c r="F70" s="5">
        <f t="shared" ref="F70:F75" si="44">IF(D$12=0,0,D70/D$12)</f>
        <v>7.999969267398814E-2</v>
      </c>
      <c r="G70" s="1"/>
      <c r="H70" s="1">
        <f>SUM(OSRRefH22_12x_0)</f>
        <v>9600</v>
      </c>
      <c r="I70" s="1"/>
      <c r="J70" s="5">
        <f t="shared" ref="J70:J75" si="45">IF(H$12=0,0,H70/H$12)</f>
        <v>0.08</v>
      </c>
      <c r="K70" s="1"/>
      <c r="L70" s="1">
        <f t="shared" ref="L70:L75" si="46">+D70-H70</f>
        <v>-228.8799999999992</v>
      </c>
      <c r="M70" s="1"/>
      <c r="N70" s="5">
        <f t="shared" ref="N70:N75" si="47">IF(H70=0,0,L70/H70)</f>
        <v>-2.3841666666666584E-2</v>
      </c>
      <c r="O70" s="13"/>
      <c r="P70" s="1">
        <f>SUM(OSRRefP22_12x_0)</f>
        <v>56742.8</v>
      </c>
      <c r="Q70" s="1"/>
      <c r="R70" s="5">
        <f t="shared" ref="R70:R75" si="48">IF(P$12=0,0,P70/P$12)</f>
        <v>8.4197804566744291E-2</v>
      </c>
      <c r="S70" s="1"/>
      <c r="T70" s="1">
        <f>SUM(OSRRefT22_12x_0)</f>
        <v>65464</v>
      </c>
      <c r="U70" s="1"/>
      <c r="V70" s="5">
        <f t="shared" ref="V70:V75" si="49">IF(T$12=0,0,T70/T$12)</f>
        <v>0.08</v>
      </c>
      <c r="W70" s="1"/>
      <c r="X70" s="1">
        <f t="shared" ref="X70:X75" si="50">+P70-T70</f>
        <v>-8721.1999999999971</v>
      </c>
      <c r="Y70" s="1"/>
      <c r="Z70" s="5">
        <f t="shared" ref="Z70:Z75" si="51">IF(T70=0,0,X70/T70)</f>
        <v>-0.1332213124770866</v>
      </c>
    </row>
    <row r="71" spans="1:26" s="24" customFormat="1" hidden="1" outlineLevel="2" x14ac:dyDescent="0.25">
      <c r="A71" s="25"/>
      <c r="B71" s="11" t="str">
        <f>CONCATENATE("          ", "6259", " - ", "ROYALTY &amp; COMMISSIONS")</f>
        <v xml:space="preserve">          6259 - ROYALTY &amp; COMMISSIONS</v>
      </c>
      <c r="C71" s="11"/>
      <c r="D71" s="6">
        <v>9371.1200000000008</v>
      </c>
      <c r="E71" s="2"/>
      <c r="F71" s="7">
        <f t="shared" si="44"/>
        <v>7.999969267398814E-2</v>
      </c>
      <c r="G71" s="2"/>
      <c r="H71" s="6">
        <v>9600</v>
      </c>
      <c r="I71" s="2"/>
      <c r="J71" s="7">
        <f t="shared" si="45"/>
        <v>0.08</v>
      </c>
      <c r="K71" s="2"/>
      <c r="L71" s="6">
        <f t="shared" si="46"/>
        <v>-228.8799999999992</v>
      </c>
      <c r="M71" s="2"/>
      <c r="N71" s="7">
        <f t="shared" si="47"/>
        <v>-2.3841666666666584E-2</v>
      </c>
      <c r="O71" s="11"/>
      <c r="P71" s="6">
        <v>56742.8</v>
      </c>
      <c r="Q71" s="2"/>
      <c r="R71" s="7">
        <f t="shared" si="48"/>
        <v>8.4197804566744291E-2</v>
      </c>
      <c r="S71" s="2"/>
      <c r="T71" s="6">
        <v>65464</v>
      </c>
      <c r="U71" s="2"/>
      <c r="V71" s="7">
        <f t="shared" si="49"/>
        <v>0.08</v>
      </c>
      <c r="W71" s="2"/>
      <c r="X71" s="6">
        <f t="shared" si="50"/>
        <v>-8721.1999999999971</v>
      </c>
      <c r="Y71" s="2"/>
      <c r="Z71" s="7">
        <f t="shared" si="51"/>
        <v>-0.1332213124770866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SUM(OSRRefD22_13x_0)</f>
        <v>373.29999999999995</v>
      </c>
      <c r="E72" s="1"/>
      <c r="F72" s="5">
        <f t="shared" si="44"/>
        <v>3.1868000063172562E-3</v>
      </c>
      <c r="G72" s="1"/>
      <c r="H72" s="1">
        <f>SUM(OSRRefH22_13x_0)</f>
        <v>360</v>
      </c>
      <c r="I72" s="1"/>
      <c r="J72" s="5">
        <f t="shared" si="45"/>
        <v>3.0000000000000001E-3</v>
      </c>
      <c r="K72" s="1"/>
      <c r="L72" s="1">
        <f t="shared" si="46"/>
        <v>13.299999999999955</v>
      </c>
      <c r="M72" s="1"/>
      <c r="N72" s="5">
        <f t="shared" si="47"/>
        <v>3.6944444444444322E-2</v>
      </c>
      <c r="O72" s="13"/>
      <c r="P72" s="1">
        <f>SUM(OSRRefP22_13x_0)</f>
        <v>3563.39</v>
      </c>
      <c r="Q72" s="1"/>
      <c r="R72" s="5">
        <f t="shared" si="48"/>
        <v>5.2875363009067394E-3</v>
      </c>
      <c r="S72" s="1"/>
      <c r="T72" s="1">
        <f>SUM(OSRRefT22_13x_0)</f>
        <v>2880</v>
      </c>
      <c r="U72" s="1"/>
      <c r="V72" s="5">
        <f t="shared" si="49"/>
        <v>3.5194916289869242E-3</v>
      </c>
      <c r="W72" s="1"/>
      <c r="X72" s="1">
        <f t="shared" si="50"/>
        <v>683.38999999999987</v>
      </c>
      <c r="Y72" s="1"/>
      <c r="Z72" s="5">
        <f t="shared" si="51"/>
        <v>0.23728819444444441</v>
      </c>
    </row>
    <row r="73" spans="1:26" s="24" customFormat="1" hidden="1" outlineLevel="2" x14ac:dyDescent="0.25">
      <c r="A73" s="25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96.96</v>
      </c>
      <c r="E73" s="2"/>
      <c r="F73" s="7">
        <f t="shared" si="44"/>
        <v>8.2773139194353379E-4</v>
      </c>
      <c r="G73" s="2"/>
      <c r="H73" s="6">
        <v>100</v>
      </c>
      <c r="I73" s="2"/>
      <c r="J73" s="7">
        <f t="shared" si="45"/>
        <v>8.3333333333333339E-4</v>
      </c>
      <c r="K73" s="2"/>
      <c r="L73" s="6">
        <f t="shared" si="46"/>
        <v>-3.0400000000000063</v>
      </c>
      <c r="M73" s="2"/>
      <c r="N73" s="7">
        <f t="shared" si="47"/>
        <v>-3.0400000000000062E-2</v>
      </c>
      <c r="O73" s="11"/>
      <c r="P73" s="6">
        <v>872.64</v>
      </c>
      <c r="Q73" s="2"/>
      <c r="R73" s="7">
        <f t="shared" si="48"/>
        <v>1.2948668760992361E-3</v>
      </c>
      <c r="S73" s="2"/>
      <c r="T73" s="6">
        <v>800</v>
      </c>
      <c r="U73" s="2"/>
      <c r="V73" s="7">
        <f t="shared" si="49"/>
        <v>9.7763656360747887E-4</v>
      </c>
      <c r="W73" s="2"/>
      <c r="X73" s="6">
        <f t="shared" si="50"/>
        <v>72.639999999999986</v>
      </c>
      <c r="Y73" s="2"/>
      <c r="Z73" s="7">
        <f t="shared" si="51"/>
        <v>9.0799999999999978E-2</v>
      </c>
    </row>
    <row r="74" spans="1:26" s="24" customFormat="1" hidden="1" outlineLevel="2" x14ac:dyDescent="0.25">
      <c r="A74" s="25"/>
      <c r="B74" s="11" t="str">
        <f>CONCATENATE("          ", "6284", " - ", "TRASH REMOVAL EXPENSE")</f>
        <v xml:space="preserve">          6284 - TRASH REMOVAL EXPENSE</v>
      </c>
      <c r="C74" s="11"/>
      <c r="D74" s="6">
        <v>115</v>
      </c>
      <c r="E74" s="2"/>
      <c r="F74" s="7">
        <f t="shared" si="44"/>
        <v>9.8173587122015664E-4</v>
      </c>
      <c r="G74" s="2"/>
      <c r="H74" s="6">
        <v>40</v>
      </c>
      <c r="I74" s="2"/>
      <c r="J74" s="7">
        <f t="shared" si="45"/>
        <v>3.3333333333333332E-4</v>
      </c>
      <c r="K74" s="2"/>
      <c r="L74" s="6">
        <f t="shared" si="46"/>
        <v>75</v>
      </c>
      <c r="M74" s="2"/>
      <c r="N74" s="7">
        <f t="shared" si="47"/>
        <v>1.875</v>
      </c>
      <c r="O74" s="11"/>
      <c r="P74" s="6">
        <v>824</v>
      </c>
      <c r="Q74" s="2"/>
      <c r="R74" s="7">
        <f t="shared" si="48"/>
        <v>1.222692411424838E-3</v>
      </c>
      <c r="S74" s="2"/>
      <c r="T74" s="6">
        <v>320</v>
      </c>
      <c r="U74" s="2"/>
      <c r="V74" s="7">
        <f t="shared" si="49"/>
        <v>3.9105462544299156E-4</v>
      </c>
      <c r="W74" s="2"/>
      <c r="X74" s="6">
        <f t="shared" si="50"/>
        <v>504</v>
      </c>
      <c r="Y74" s="2"/>
      <c r="Z74" s="7">
        <f t="shared" si="51"/>
        <v>1.575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6">
        <v>161.34</v>
      </c>
      <c r="E75" s="2"/>
      <c r="F75" s="7">
        <f t="shared" si="44"/>
        <v>1.377332743153566E-3</v>
      </c>
      <c r="G75" s="2"/>
      <c r="H75" s="6">
        <v>220</v>
      </c>
      <c r="I75" s="2"/>
      <c r="J75" s="7">
        <f t="shared" si="45"/>
        <v>1.8333333333333333E-3</v>
      </c>
      <c r="K75" s="2"/>
      <c r="L75" s="6">
        <f t="shared" si="46"/>
        <v>-58.66</v>
      </c>
      <c r="M75" s="2"/>
      <c r="N75" s="7">
        <f t="shared" si="47"/>
        <v>-0.26663636363636362</v>
      </c>
      <c r="O75" s="11"/>
      <c r="P75" s="6">
        <v>1866.75</v>
      </c>
      <c r="Q75" s="2"/>
      <c r="R75" s="7">
        <f t="shared" si="48"/>
        <v>2.7699770133826655E-3</v>
      </c>
      <c r="S75" s="2"/>
      <c r="T75" s="6">
        <v>1760</v>
      </c>
      <c r="U75" s="2"/>
      <c r="V75" s="7">
        <f t="shared" si="49"/>
        <v>2.1508004399364536E-3</v>
      </c>
      <c r="W75" s="2"/>
      <c r="X75" s="6">
        <f t="shared" si="50"/>
        <v>106.75</v>
      </c>
      <c r="Y75" s="2"/>
      <c r="Z75" s="7">
        <f t="shared" si="51"/>
        <v>6.0653409090909091E-2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SUM(OSRRefD22_14x_0)</f>
        <v>0</v>
      </c>
      <c r="E76" s="1"/>
      <c r="F76" s="5">
        <f t="shared" ref="F76:F78" si="52">IF(D$12=0,0,D76/D$12)</f>
        <v>0</v>
      </c>
      <c r="G76" s="1"/>
      <c r="H76" s="1">
        <f>SUM(OSRRefH22_14x_0)</f>
        <v>0</v>
      </c>
      <c r="I76" s="1"/>
      <c r="J76" s="5">
        <f t="shared" ref="J76:J78" si="53">IF(H$12=0,0,H76/H$12)</f>
        <v>0</v>
      </c>
      <c r="K76" s="1"/>
      <c r="L76" s="1">
        <f t="shared" ref="L76:L78" si="54">+D76-H76</f>
        <v>0</v>
      </c>
      <c r="M76" s="1"/>
      <c r="N76" s="5">
        <f t="shared" ref="N76:N78" si="55">IF(H76=0,0,L76/H76)</f>
        <v>0</v>
      </c>
      <c r="O76" s="13"/>
      <c r="P76" s="1">
        <f>SUM(OSRRefP22_14x_0)</f>
        <v>1101.72</v>
      </c>
      <c r="Q76" s="1"/>
      <c r="R76" s="5">
        <f t="shared" ref="R76:R78" si="56">IF(P$12=0,0,P76/P$12)</f>
        <v>1.6347872372754521E-3</v>
      </c>
      <c r="S76" s="1"/>
      <c r="T76" s="1">
        <f>SUM(OSRRefT22_14x_0)</f>
        <v>0</v>
      </c>
      <c r="U76" s="1"/>
      <c r="V76" s="5">
        <f t="shared" ref="V76:V78" si="57">IF(T$12=0,0,T76/T$12)</f>
        <v>0</v>
      </c>
      <c r="W76" s="1"/>
      <c r="X76" s="1">
        <f t="shared" ref="X76:X78" si="58">+P76-T76</f>
        <v>1101.72</v>
      </c>
      <c r="Y76" s="1"/>
      <c r="Z76" s="5">
        <f t="shared" ref="Z76:Z78" si="59">IF(T76=0,0,X76/T76)</f>
        <v>0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979</v>
      </c>
      <c r="Q77" s="2"/>
      <c r="R77" s="7">
        <f t="shared" si="56"/>
        <v>1.4526891635739277E-3</v>
      </c>
      <c r="S77" s="2"/>
      <c r="T77" s="6"/>
      <c r="U77" s="2"/>
      <c r="V77" s="7">
        <f t="shared" si="57"/>
        <v>0</v>
      </c>
      <c r="W77" s="2"/>
      <c r="X77" s="6">
        <f t="shared" si="58"/>
        <v>979</v>
      </c>
      <c r="Y77" s="2"/>
      <c r="Z77" s="7">
        <f t="shared" si="59"/>
        <v>0</v>
      </c>
    </row>
    <row r="78" spans="1:26" s="24" customFormat="1" hidden="1" outlineLevel="2" x14ac:dyDescent="0.25">
      <c r="A78" s="25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122.72</v>
      </c>
      <c r="Q78" s="2"/>
      <c r="R78" s="7">
        <f t="shared" si="56"/>
        <v>1.8209807370152441E-4</v>
      </c>
      <c r="S78" s="2"/>
      <c r="T78" s="6"/>
      <c r="U78" s="2"/>
      <c r="V78" s="7">
        <f t="shared" si="57"/>
        <v>0</v>
      </c>
      <c r="W78" s="2"/>
      <c r="X78" s="6">
        <f t="shared" si="58"/>
        <v>122.72</v>
      </c>
      <c r="Y78" s="2"/>
      <c r="Z78" s="7">
        <f t="shared" si="59"/>
        <v>0</v>
      </c>
    </row>
    <row r="79" spans="1:26" s="27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SUM(OSRRefD22_15x_0)</f>
        <v>790.54</v>
      </c>
      <c r="E79" s="1"/>
      <c r="F79" s="5">
        <f t="shared" ref="F79:F88" si="60">IF(D$12=0,0,D79/D$12)</f>
        <v>6.7487084837772405E-3</v>
      </c>
      <c r="G79" s="1"/>
      <c r="H79" s="1">
        <f>SUM(OSRRefH22_15x_0)</f>
        <v>400</v>
      </c>
      <c r="I79" s="1"/>
      <c r="J79" s="5">
        <f t="shared" ref="J79:J88" si="61">IF(H$12=0,0,H79/H$12)</f>
        <v>3.3333333333333335E-3</v>
      </c>
      <c r="K79" s="1"/>
      <c r="L79" s="1">
        <f t="shared" ref="L79:L88" si="62">+D79-H79</f>
        <v>390.53999999999996</v>
      </c>
      <c r="M79" s="1"/>
      <c r="N79" s="5">
        <f t="shared" ref="N79:N88" si="63">IF(H79=0,0,L79/H79)</f>
        <v>0.97634999999999994</v>
      </c>
      <c r="O79" s="13"/>
      <c r="P79" s="1">
        <f>SUM(OSRRefP22_15x_0)</f>
        <v>10707.150000000001</v>
      </c>
      <c r="Q79" s="1"/>
      <c r="R79" s="5">
        <f t="shared" ref="R79:R88" si="64">IF(P$12=0,0,P79/P$12)</f>
        <v>1.5887804675955651E-2</v>
      </c>
      <c r="S79" s="1"/>
      <c r="T79" s="1">
        <f>SUM(OSRRefT22_15x_0)</f>
        <v>10550</v>
      </c>
      <c r="U79" s="1"/>
      <c r="V79" s="5">
        <f t="shared" ref="V79:V88" si="65">IF(T$12=0,0,T79/T$12)</f>
        <v>1.2892582182573628E-2</v>
      </c>
      <c r="W79" s="1"/>
      <c r="X79" s="1">
        <f t="shared" ref="X79:X88" si="66">+P79-T79</f>
        <v>157.15000000000146</v>
      </c>
      <c r="Y79" s="1"/>
      <c r="Z79" s="5">
        <f t="shared" ref="Z79:Z88" si="67">IF(T79=0,0,X79/T79)</f>
        <v>1.4895734597156537E-2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6">
        <v>316.27999999999997</v>
      </c>
      <c r="E80" s="2"/>
      <c r="F80" s="7">
        <f t="shared" si="60"/>
        <v>2.7000297508653144E-3</v>
      </c>
      <c r="G80" s="2"/>
      <c r="H80" s="6">
        <v>100</v>
      </c>
      <c r="I80" s="2"/>
      <c r="J80" s="7">
        <f t="shared" si="61"/>
        <v>8.3333333333333339E-4</v>
      </c>
      <c r="K80" s="2"/>
      <c r="L80" s="6">
        <f t="shared" si="62"/>
        <v>216.27999999999997</v>
      </c>
      <c r="M80" s="2"/>
      <c r="N80" s="7">
        <f t="shared" si="63"/>
        <v>2.1627999999999998</v>
      </c>
      <c r="O80" s="11"/>
      <c r="P80" s="6">
        <v>1744.91</v>
      </c>
      <c r="Q80" s="2"/>
      <c r="R80" s="7">
        <f t="shared" si="64"/>
        <v>2.5891847276933427E-3</v>
      </c>
      <c r="S80" s="2"/>
      <c r="T80" s="6">
        <v>800</v>
      </c>
      <c r="U80" s="2"/>
      <c r="V80" s="7">
        <f t="shared" si="65"/>
        <v>9.7763656360747887E-4</v>
      </c>
      <c r="W80" s="2"/>
      <c r="X80" s="6">
        <f t="shared" si="66"/>
        <v>944.91000000000008</v>
      </c>
      <c r="Y80" s="2"/>
      <c r="Z80" s="7">
        <f t="shared" si="67"/>
        <v>1.1811375000000002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6">
        <v>283.62</v>
      </c>
      <c r="E81" s="2"/>
      <c r="F81" s="7">
        <f t="shared" si="60"/>
        <v>2.42121676343879E-3</v>
      </c>
      <c r="G81" s="2"/>
      <c r="H81" s="6"/>
      <c r="I81" s="2"/>
      <c r="J81" s="7">
        <f t="shared" si="61"/>
        <v>0</v>
      </c>
      <c r="K81" s="2"/>
      <c r="L81" s="6">
        <f t="shared" si="62"/>
        <v>283.62</v>
      </c>
      <c r="M81" s="2"/>
      <c r="N81" s="7">
        <f t="shared" si="63"/>
        <v>0</v>
      </c>
      <c r="O81" s="11"/>
      <c r="P81" s="6">
        <v>4284.8599999999997</v>
      </c>
      <c r="Q81" s="2"/>
      <c r="R81" s="7">
        <f t="shared" si="64"/>
        <v>6.3580895704099891E-3</v>
      </c>
      <c r="S81" s="2"/>
      <c r="T81" s="6">
        <v>4900</v>
      </c>
      <c r="U81" s="2"/>
      <c r="V81" s="7">
        <f t="shared" si="65"/>
        <v>5.9880239520958087E-3</v>
      </c>
      <c r="W81" s="2"/>
      <c r="X81" s="6">
        <f t="shared" si="66"/>
        <v>-615.14000000000033</v>
      </c>
      <c r="Y81" s="2"/>
      <c r="Z81" s="7">
        <f t="shared" si="67"/>
        <v>-0.12553877551020415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60"/>
        <v>0</v>
      </c>
      <c r="G82" s="2"/>
      <c r="H82" s="6">
        <v>100</v>
      </c>
      <c r="I82" s="2"/>
      <c r="J82" s="7">
        <f t="shared" si="61"/>
        <v>8.3333333333333339E-4</v>
      </c>
      <c r="K82" s="2"/>
      <c r="L82" s="6">
        <f t="shared" si="62"/>
        <v>-100</v>
      </c>
      <c r="M82" s="2"/>
      <c r="N82" s="7">
        <f t="shared" si="63"/>
        <v>-1</v>
      </c>
      <c r="O82" s="11"/>
      <c r="P82" s="6">
        <v>1405.42</v>
      </c>
      <c r="Q82" s="2"/>
      <c r="R82" s="7">
        <f t="shared" si="64"/>
        <v>2.0854324864862813E-3</v>
      </c>
      <c r="S82" s="2"/>
      <c r="T82" s="6">
        <v>800</v>
      </c>
      <c r="U82" s="2"/>
      <c r="V82" s="7">
        <f t="shared" si="65"/>
        <v>9.7763656360747887E-4</v>
      </c>
      <c r="W82" s="2"/>
      <c r="X82" s="6">
        <f t="shared" si="66"/>
        <v>605.42000000000007</v>
      </c>
      <c r="Y82" s="2"/>
      <c r="Z82" s="7">
        <f t="shared" si="67"/>
        <v>0.75677500000000009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6">
        <v>190.64</v>
      </c>
      <c r="E83" s="2"/>
      <c r="F83" s="7">
        <f t="shared" si="60"/>
        <v>1.6274619694731363E-3</v>
      </c>
      <c r="G83" s="2"/>
      <c r="H83" s="6"/>
      <c r="I83" s="2"/>
      <c r="J83" s="7">
        <f t="shared" si="61"/>
        <v>0</v>
      </c>
      <c r="K83" s="2"/>
      <c r="L83" s="6">
        <f t="shared" si="62"/>
        <v>190.64</v>
      </c>
      <c r="M83" s="2"/>
      <c r="N83" s="7">
        <f t="shared" si="63"/>
        <v>0</v>
      </c>
      <c r="O83" s="11"/>
      <c r="P83" s="6">
        <v>4537.51</v>
      </c>
      <c r="Q83" s="2"/>
      <c r="R83" s="7">
        <f t="shared" si="64"/>
        <v>6.7329842764130062E-3</v>
      </c>
      <c r="S83" s="2"/>
      <c r="T83" s="6"/>
      <c r="U83" s="2"/>
      <c r="V83" s="7">
        <f t="shared" si="65"/>
        <v>0</v>
      </c>
      <c r="W83" s="2"/>
      <c r="X83" s="6">
        <f t="shared" si="66"/>
        <v>4537.51</v>
      </c>
      <c r="Y83" s="2"/>
      <c r="Z83" s="7">
        <f t="shared" si="67"/>
        <v>0</v>
      </c>
    </row>
    <row r="84" spans="1:26" s="24" customFormat="1" hidden="1" outlineLevel="2" x14ac:dyDescent="0.25">
      <c r="A84" s="25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60"/>
        <v>0</v>
      </c>
      <c r="G84" s="2"/>
      <c r="H84" s="6">
        <v>50</v>
      </c>
      <c r="I84" s="2"/>
      <c r="J84" s="7">
        <f t="shared" si="61"/>
        <v>4.1666666666666669E-4</v>
      </c>
      <c r="K84" s="2"/>
      <c r="L84" s="6">
        <f t="shared" si="62"/>
        <v>-50</v>
      </c>
      <c r="M84" s="2"/>
      <c r="N84" s="7">
        <f t="shared" si="63"/>
        <v>-1</v>
      </c>
      <c r="O84" s="11"/>
      <c r="P84" s="6"/>
      <c r="Q84" s="2"/>
      <c r="R84" s="7">
        <f t="shared" si="64"/>
        <v>0</v>
      </c>
      <c r="S84" s="2"/>
      <c r="T84" s="6">
        <v>400</v>
      </c>
      <c r="U84" s="2"/>
      <c r="V84" s="7">
        <f t="shared" si="65"/>
        <v>4.8881828180373944E-4</v>
      </c>
      <c r="W84" s="2"/>
      <c r="X84" s="6">
        <f t="shared" si="66"/>
        <v>-400</v>
      </c>
      <c r="Y84" s="2"/>
      <c r="Z84" s="7">
        <f t="shared" si="67"/>
        <v>-1</v>
      </c>
    </row>
    <row r="85" spans="1:26" s="24" customFormat="1" hidden="1" outlineLevel="2" x14ac:dyDescent="0.25">
      <c r="A85" s="25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0"/>
        <v>0</v>
      </c>
      <c r="G85" s="2"/>
      <c r="H85" s="6">
        <v>50</v>
      </c>
      <c r="I85" s="2"/>
      <c r="J85" s="7">
        <f t="shared" si="61"/>
        <v>4.1666666666666669E-4</v>
      </c>
      <c r="K85" s="2"/>
      <c r="L85" s="6">
        <f t="shared" si="62"/>
        <v>-50</v>
      </c>
      <c r="M85" s="2"/>
      <c r="N85" s="7">
        <f t="shared" si="63"/>
        <v>-1</v>
      </c>
      <c r="O85" s="11"/>
      <c r="P85" s="6">
        <v>66.930000000000007</v>
      </c>
      <c r="Q85" s="2"/>
      <c r="R85" s="7">
        <f t="shared" si="64"/>
        <v>9.9314081427990793E-5</v>
      </c>
      <c r="S85" s="2"/>
      <c r="T85" s="6">
        <v>500</v>
      </c>
      <c r="U85" s="2"/>
      <c r="V85" s="7">
        <f t="shared" si="65"/>
        <v>6.110228522546743E-4</v>
      </c>
      <c r="W85" s="2"/>
      <c r="X85" s="6">
        <f t="shared" si="66"/>
        <v>-433.07</v>
      </c>
      <c r="Y85" s="2"/>
      <c r="Z85" s="7">
        <f t="shared" si="67"/>
        <v>-0.86614000000000002</v>
      </c>
    </row>
    <row r="86" spans="1:26" s="24" customFormat="1" hidden="1" outlineLevel="2" x14ac:dyDescent="0.25">
      <c r="A86" s="25"/>
      <c r="B86" s="11" t="str">
        <f>CONCATENATE("          ", "6246", " - ", "REPLACEMENTS")</f>
        <v xml:space="preserve">          6246 - REPLACEMENTS</v>
      </c>
      <c r="C86" s="11"/>
      <c r="D86" s="6"/>
      <c r="E86" s="2"/>
      <c r="F86" s="7">
        <f t="shared" si="60"/>
        <v>0</v>
      </c>
      <c r="G86" s="2"/>
      <c r="H86" s="6"/>
      <c r="I86" s="2"/>
      <c r="J86" s="7">
        <f t="shared" si="61"/>
        <v>0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/>
      <c r="Q86" s="2"/>
      <c r="R86" s="7">
        <f t="shared" si="64"/>
        <v>0</v>
      </c>
      <c r="S86" s="2"/>
      <c r="T86" s="6">
        <v>2400</v>
      </c>
      <c r="U86" s="2"/>
      <c r="V86" s="7">
        <f t="shared" si="65"/>
        <v>2.9329096908224366E-3</v>
      </c>
      <c r="W86" s="2"/>
      <c r="X86" s="6">
        <f t="shared" si="66"/>
        <v>-2400</v>
      </c>
      <c r="Y86" s="2"/>
      <c r="Z86" s="7">
        <f t="shared" si="67"/>
        <v>-1</v>
      </c>
    </row>
    <row r="87" spans="1:26" s="24" customFormat="1" hidden="1" outlineLevel="2" x14ac:dyDescent="0.25">
      <c r="A87" s="25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60"/>
        <v>0</v>
      </c>
      <c r="G87" s="2"/>
      <c r="H87" s="6">
        <v>100</v>
      </c>
      <c r="I87" s="2"/>
      <c r="J87" s="7">
        <f t="shared" si="61"/>
        <v>8.3333333333333339E-4</v>
      </c>
      <c r="K87" s="2"/>
      <c r="L87" s="6">
        <f t="shared" si="62"/>
        <v>-100</v>
      </c>
      <c r="M87" s="2"/>
      <c r="N87" s="7">
        <f t="shared" si="63"/>
        <v>-1</v>
      </c>
      <c r="O87" s="11"/>
      <c r="P87" s="6">
        <v>-1466.56</v>
      </c>
      <c r="Q87" s="2"/>
      <c r="R87" s="7">
        <f t="shared" si="64"/>
        <v>-2.1761550763339933E-3</v>
      </c>
      <c r="S87" s="2"/>
      <c r="T87" s="6">
        <v>750</v>
      </c>
      <c r="U87" s="2"/>
      <c r="V87" s="7">
        <f t="shared" si="65"/>
        <v>9.1653427838201144E-4</v>
      </c>
      <c r="W87" s="2"/>
      <c r="X87" s="6">
        <f t="shared" si="66"/>
        <v>-2216.56</v>
      </c>
      <c r="Y87" s="2"/>
      <c r="Z87" s="7">
        <f t="shared" si="67"/>
        <v>-2.9554133333333334</v>
      </c>
    </row>
    <row r="88" spans="1:26" s="24" customFormat="1" hidden="1" outlineLevel="2" x14ac:dyDescent="0.25">
      <c r="A88" s="25"/>
      <c r="B88" s="11" t="str">
        <f>CONCATENATE("          ", "6248", " - ", "UNIFORMS")</f>
        <v xml:space="preserve">          6248 - UNIFORMS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>
        <v>134.08000000000001</v>
      </c>
      <c r="Q88" s="2"/>
      <c r="R88" s="7">
        <f t="shared" si="64"/>
        <v>1.9895460985903192E-4</v>
      </c>
      <c r="S88" s="2"/>
      <c r="T88" s="6"/>
      <c r="U88" s="2"/>
      <c r="V88" s="7">
        <f t="shared" si="65"/>
        <v>0</v>
      </c>
      <c r="W88" s="2"/>
      <c r="X88" s="6">
        <f t="shared" si="66"/>
        <v>134.08000000000001</v>
      </c>
      <c r="Y88" s="2"/>
      <c r="Z88" s="7">
        <f t="shared" si="67"/>
        <v>0</v>
      </c>
    </row>
    <row r="89" spans="1:26" s="27" customFormat="1" outlineLevel="1" collapsed="1" x14ac:dyDescent="0.25">
      <c r="A89" s="26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SUM(OSRRefD22_16x_0)</f>
        <v>73.150000000000006</v>
      </c>
      <c r="E89" s="1"/>
      <c r="F89" s="5">
        <f t="shared" ref="F89:F96" si="68">IF(D$12=0,0,D89/D$12)</f>
        <v>6.2446938243264762E-4</v>
      </c>
      <c r="G89" s="1"/>
      <c r="H89" s="1">
        <f>SUM(OSRRefH22_16x_0)</f>
        <v>50</v>
      </c>
      <c r="I89" s="1"/>
      <c r="J89" s="5">
        <f t="shared" ref="J89:J96" si="69">IF(H$12=0,0,H89/H$12)</f>
        <v>4.1666666666666669E-4</v>
      </c>
      <c r="K89" s="1"/>
      <c r="L89" s="1">
        <f t="shared" ref="L89:L96" si="70">+D89-H89</f>
        <v>23.150000000000006</v>
      </c>
      <c r="M89" s="1"/>
      <c r="N89" s="5">
        <f t="shared" ref="N89:N96" si="71">IF(H89=0,0,L89/H89)</f>
        <v>0.46300000000000013</v>
      </c>
      <c r="O89" s="13"/>
      <c r="P89" s="1">
        <f>SUM(OSRRefP22_16x_0)</f>
        <v>1388.65</v>
      </c>
      <c r="Q89" s="1"/>
      <c r="R89" s="5">
        <f t="shared" ref="R89:R96" si="72">IF(P$12=0,0,P89/P$12)</f>
        <v>2.060548321753764E-3</v>
      </c>
      <c r="S89" s="1"/>
      <c r="T89" s="1">
        <f>SUM(OSRRefT22_16x_0)</f>
        <v>400</v>
      </c>
      <c r="U89" s="1"/>
      <c r="V89" s="5">
        <f t="shared" ref="V89:V96" si="73">IF(T$12=0,0,T89/T$12)</f>
        <v>4.8881828180373944E-4</v>
      </c>
      <c r="W89" s="1"/>
      <c r="X89" s="1">
        <f t="shared" ref="X89:X96" si="74">+P89-T89</f>
        <v>988.65000000000009</v>
      </c>
      <c r="Y89" s="1"/>
      <c r="Z89" s="5">
        <f t="shared" ref="Z89:Z96" si="75">IF(T89=0,0,X89/T89)</f>
        <v>2.4716250000000004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6">
        <v>73.150000000000006</v>
      </c>
      <c r="E90" s="2"/>
      <c r="F90" s="7">
        <f t="shared" si="68"/>
        <v>6.2446938243264762E-4</v>
      </c>
      <c r="G90" s="2"/>
      <c r="H90" s="6">
        <v>50</v>
      </c>
      <c r="I90" s="2"/>
      <c r="J90" s="7">
        <f t="shared" si="69"/>
        <v>4.1666666666666669E-4</v>
      </c>
      <c r="K90" s="2"/>
      <c r="L90" s="6">
        <f t="shared" si="70"/>
        <v>23.150000000000006</v>
      </c>
      <c r="M90" s="2"/>
      <c r="N90" s="7">
        <f t="shared" si="71"/>
        <v>0.46300000000000013</v>
      </c>
      <c r="O90" s="11"/>
      <c r="P90" s="6">
        <v>1388.65</v>
      </c>
      <c r="Q90" s="2"/>
      <c r="R90" s="7">
        <f t="shared" si="72"/>
        <v>2.060548321753764E-3</v>
      </c>
      <c r="S90" s="2"/>
      <c r="T90" s="6">
        <v>400</v>
      </c>
      <c r="U90" s="2"/>
      <c r="V90" s="7">
        <f t="shared" si="73"/>
        <v>4.8881828180373944E-4</v>
      </c>
      <c r="W90" s="2"/>
      <c r="X90" s="6">
        <f t="shared" si="74"/>
        <v>988.65000000000009</v>
      </c>
      <c r="Y90" s="2"/>
      <c r="Z90" s="7">
        <f t="shared" si="75"/>
        <v>2.4716250000000004</v>
      </c>
    </row>
    <row r="91" spans="1:26" s="27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SUM(OSRRefD22_17x_0)</f>
        <v>0</v>
      </c>
      <c r="E91" s="1"/>
      <c r="F91" s="5">
        <f t="shared" si="68"/>
        <v>0</v>
      </c>
      <c r="G91" s="1"/>
      <c r="H91" s="1">
        <f>SUM(OSRRefH22_17x_0)</f>
        <v>0</v>
      </c>
      <c r="I91" s="1"/>
      <c r="J91" s="5">
        <f t="shared" si="69"/>
        <v>0</v>
      </c>
      <c r="K91" s="1"/>
      <c r="L91" s="1">
        <f t="shared" si="70"/>
        <v>0</v>
      </c>
      <c r="M91" s="1"/>
      <c r="N91" s="5">
        <f t="shared" si="71"/>
        <v>0</v>
      </c>
      <c r="O91" s="13"/>
      <c r="P91" s="1">
        <f>SUM(OSRRefP22_17x_0)</f>
        <v>465.65</v>
      </c>
      <c r="Q91" s="1"/>
      <c r="R91" s="5">
        <f t="shared" si="72"/>
        <v>6.9095475895628131E-4</v>
      </c>
      <c r="S91" s="1"/>
      <c r="T91" s="1">
        <f>SUM(OSRRefT22_17x_0)</f>
        <v>1000</v>
      </c>
      <c r="U91" s="1"/>
      <c r="V91" s="5">
        <f t="shared" si="73"/>
        <v>1.2220457045093486E-3</v>
      </c>
      <c r="W91" s="1"/>
      <c r="X91" s="1">
        <f t="shared" si="74"/>
        <v>-534.35</v>
      </c>
      <c r="Y91" s="1"/>
      <c r="Z91" s="5">
        <f t="shared" si="75"/>
        <v>-0.53434999999999999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6"/>
      <c r="E92" s="2"/>
      <c r="F92" s="7">
        <f t="shared" si="68"/>
        <v>0</v>
      </c>
      <c r="G92" s="2"/>
      <c r="H92" s="6"/>
      <c r="I92" s="2"/>
      <c r="J92" s="7">
        <f t="shared" si="69"/>
        <v>0</v>
      </c>
      <c r="K92" s="2"/>
      <c r="L92" s="6">
        <f t="shared" si="70"/>
        <v>0</v>
      </c>
      <c r="M92" s="2"/>
      <c r="N92" s="7">
        <f t="shared" si="71"/>
        <v>0</v>
      </c>
      <c r="O92" s="11"/>
      <c r="P92" s="6">
        <v>465.65</v>
      </c>
      <c r="Q92" s="2"/>
      <c r="R92" s="7">
        <f t="shared" si="72"/>
        <v>6.9095475895628131E-4</v>
      </c>
      <c r="S92" s="2"/>
      <c r="T92" s="6">
        <v>1000</v>
      </c>
      <c r="U92" s="2"/>
      <c r="V92" s="7">
        <f t="shared" si="73"/>
        <v>1.2220457045093486E-3</v>
      </c>
      <c r="W92" s="2"/>
      <c r="X92" s="6">
        <f t="shared" si="74"/>
        <v>-534.35</v>
      </c>
      <c r="Y92" s="2"/>
      <c r="Z92" s="7">
        <f t="shared" si="75"/>
        <v>-0.53434999999999999</v>
      </c>
    </row>
    <row r="93" spans="1:26" s="27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SUM(OSRRefD22_18x_0)</f>
        <v>0</v>
      </c>
      <c r="E93" s="1"/>
      <c r="F93" s="5">
        <f t="shared" si="68"/>
        <v>0</v>
      </c>
      <c r="G93" s="1"/>
      <c r="H93" s="1">
        <f>SUM(OSRRefH22_18x_0)</f>
        <v>0</v>
      </c>
      <c r="I93" s="1"/>
      <c r="J93" s="5">
        <f t="shared" si="69"/>
        <v>0</v>
      </c>
      <c r="K93" s="1"/>
      <c r="L93" s="1">
        <f t="shared" si="70"/>
        <v>0</v>
      </c>
      <c r="M93" s="1"/>
      <c r="N93" s="5">
        <f t="shared" si="71"/>
        <v>0</v>
      </c>
      <c r="O93" s="13"/>
      <c r="P93" s="1">
        <f>SUM(OSRRefP22_18x_0)</f>
        <v>0</v>
      </c>
      <c r="Q93" s="1"/>
      <c r="R93" s="5">
        <f t="shared" si="72"/>
        <v>0</v>
      </c>
      <c r="S93" s="1"/>
      <c r="T93" s="1">
        <f>SUM(OSRRefT22_18x_0)</f>
        <v>1000</v>
      </c>
      <c r="U93" s="1"/>
      <c r="V93" s="5">
        <f t="shared" si="73"/>
        <v>1.2220457045093486E-3</v>
      </c>
      <c r="W93" s="1"/>
      <c r="X93" s="1">
        <f t="shared" si="74"/>
        <v>-1000</v>
      </c>
      <c r="Y93" s="1"/>
      <c r="Z93" s="5">
        <f t="shared" si="75"/>
        <v>-1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8"/>
        <v>0</v>
      </c>
      <c r="G94" s="2"/>
      <c r="H94" s="6"/>
      <c r="I94" s="2"/>
      <c r="J94" s="7">
        <f t="shared" si="69"/>
        <v>0</v>
      </c>
      <c r="K94" s="2"/>
      <c r="L94" s="6">
        <f t="shared" si="70"/>
        <v>0</v>
      </c>
      <c r="M94" s="2"/>
      <c r="N94" s="7">
        <f t="shared" si="71"/>
        <v>0</v>
      </c>
      <c r="O94" s="11"/>
      <c r="P94" s="6"/>
      <c r="Q94" s="2"/>
      <c r="R94" s="7">
        <f t="shared" si="72"/>
        <v>0</v>
      </c>
      <c r="S94" s="2"/>
      <c r="T94" s="6">
        <v>1000</v>
      </c>
      <c r="U94" s="2"/>
      <c r="V94" s="7">
        <f t="shared" si="73"/>
        <v>1.2220457045093486E-3</v>
      </c>
      <c r="W94" s="2"/>
      <c r="X94" s="6">
        <f t="shared" si="74"/>
        <v>-1000</v>
      </c>
      <c r="Y94" s="2"/>
      <c r="Z94" s="7">
        <f t="shared" si="75"/>
        <v>-1</v>
      </c>
    </row>
    <row r="95" spans="1:26" s="27" customFormat="1" outlineLevel="1" collapsed="1" x14ac:dyDescent="0.25">
      <c r="A95" s="26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SUM(OSRRefD22_19x_0)</f>
        <v>348</v>
      </c>
      <c r="E95" s="1"/>
      <c r="F95" s="5">
        <f t="shared" si="68"/>
        <v>2.9708181146488222E-3</v>
      </c>
      <c r="G95" s="1"/>
      <c r="H95" s="1">
        <f>SUM(OSRRefH22_19x_0)</f>
        <v>350</v>
      </c>
      <c r="I95" s="1"/>
      <c r="J95" s="5">
        <f t="shared" si="69"/>
        <v>2.9166666666666668E-3</v>
      </c>
      <c r="K95" s="1"/>
      <c r="L95" s="1">
        <f t="shared" si="70"/>
        <v>-2</v>
      </c>
      <c r="M95" s="1"/>
      <c r="N95" s="5">
        <f t="shared" si="71"/>
        <v>-5.7142857142857143E-3</v>
      </c>
      <c r="O95" s="13"/>
      <c r="P95" s="1">
        <f>SUM(OSRRefP22_19x_0)</f>
        <v>2780</v>
      </c>
      <c r="Q95" s="1"/>
      <c r="R95" s="5">
        <f t="shared" si="72"/>
        <v>4.125103038544963E-3</v>
      </c>
      <c r="S95" s="1"/>
      <c r="T95" s="1">
        <f>SUM(OSRRefT22_19x_0)</f>
        <v>2800</v>
      </c>
      <c r="U95" s="1"/>
      <c r="V95" s="5">
        <f t="shared" si="73"/>
        <v>3.4217279726261761E-3</v>
      </c>
      <c r="W95" s="1"/>
      <c r="X95" s="1">
        <f t="shared" si="74"/>
        <v>-20</v>
      </c>
      <c r="Y95" s="1"/>
      <c r="Z95" s="5">
        <f t="shared" si="75"/>
        <v>-7.1428571428571426E-3</v>
      </c>
    </row>
    <row r="96" spans="1:26" s="24" customFormat="1" hidden="1" outlineLevel="2" x14ac:dyDescent="0.25">
      <c r="A96" s="25"/>
      <c r="B96" s="11" t="str">
        <f>CONCATENATE("          ", "6274", " - ", "UTILITIES")</f>
        <v xml:space="preserve">          6274 - UTILITIES</v>
      </c>
      <c r="C96" s="11"/>
      <c r="D96" s="6">
        <v>348</v>
      </c>
      <c r="E96" s="2"/>
      <c r="F96" s="7">
        <f t="shared" si="68"/>
        <v>2.9708181146488222E-3</v>
      </c>
      <c r="G96" s="2"/>
      <c r="H96" s="6">
        <v>350</v>
      </c>
      <c r="I96" s="2"/>
      <c r="J96" s="7">
        <f t="shared" si="69"/>
        <v>2.9166666666666668E-3</v>
      </c>
      <c r="K96" s="2"/>
      <c r="L96" s="6">
        <f t="shared" si="70"/>
        <v>-2</v>
      </c>
      <c r="M96" s="2"/>
      <c r="N96" s="7">
        <f t="shared" si="71"/>
        <v>-5.7142857142857143E-3</v>
      </c>
      <c r="O96" s="11"/>
      <c r="P96" s="6">
        <v>2780</v>
      </c>
      <c r="Q96" s="2"/>
      <c r="R96" s="7">
        <f t="shared" si="72"/>
        <v>4.125103038544963E-3</v>
      </c>
      <c r="S96" s="2"/>
      <c r="T96" s="6">
        <v>2800</v>
      </c>
      <c r="U96" s="2"/>
      <c r="V96" s="7">
        <f t="shared" si="73"/>
        <v>3.4217279726261761E-3</v>
      </c>
      <c r="W96" s="2"/>
      <c r="X96" s="6">
        <f t="shared" si="74"/>
        <v>-20</v>
      </c>
      <c r="Y96" s="2"/>
      <c r="Z96" s="7">
        <f t="shared" si="75"/>
        <v>-7.1428571428571426E-3</v>
      </c>
    </row>
    <row r="97" spans="1:26" s="5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9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1">
        <f>+D22-D24+D98</f>
        <v>15716.85000000002</v>
      </c>
      <c r="E100" s="14"/>
      <c r="F100" s="22">
        <f>IF(D$12=0,0,D100/D$12)</f>
        <v>0.13417213415292645</v>
      </c>
      <c r="G100" s="14"/>
      <c r="H100" s="21">
        <f>+H22-H24+H98</f>
        <v>25754.141243999999</v>
      </c>
      <c r="I100" s="14"/>
      <c r="J100" s="22">
        <f>IF(H$12=0,0,H100/H$12)</f>
        <v>0.21461784369999998</v>
      </c>
      <c r="K100" s="15"/>
      <c r="L100" s="21">
        <f>+D100-H100</f>
        <v>-10037.291243999978</v>
      </c>
      <c r="M100" s="15"/>
      <c r="N100" s="22">
        <f>IF(H100=0,0,L100/H100)</f>
        <v>-0.38973503907214879</v>
      </c>
      <c r="O100" s="29"/>
      <c r="P100" s="21">
        <f>+P22-P24+P98</f>
        <v>-37297.090000000026</v>
      </c>
      <c r="Q100" s="14"/>
      <c r="R100" s="22">
        <f>IF(P$12=0,0,P100/P$12)</f>
        <v>-5.5343287513627722E-2</v>
      </c>
      <c r="S100" s="14"/>
      <c r="T100" s="21">
        <f>+T22-T24+T98</f>
        <v>109231.53279059997</v>
      </c>
      <c r="U100" s="14"/>
      <c r="V100" s="22">
        <f>IF(T$12=0,0,T100/T$12)</f>
        <v>0.13348592544372476</v>
      </c>
      <c r="W100" s="15"/>
      <c r="X100" s="21">
        <f>+P100-T100</f>
        <v>-146528.6227906</v>
      </c>
      <c r="Y100" s="15"/>
      <c r="Z100" s="22">
        <f>IF(T100=0,0,X100/T100)</f>
        <v>-1.3414498455450554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10621.45</v>
      </c>
      <c r="E102" s="4"/>
      <c r="F102" s="12">
        <f>IF(D$12=0,0,D102/D$12)</f>
        <v>9.0673551907576824E-2</v>
      </c>
      <c r="G102" s="4"/>
      <c r="H102" s="4">
        <v>12424</v>
      </c>
      <c r="I102" s="4"/>
      <c r="J102" s="12">
        <f>IF(H$12=0,0,H102/H$12)</f>
        <v>0.10353333333333334</v>
      </c>
      <c r="K102" s="4"/>
      <c r="L102" s="4">
        <f>+D102-H102</f>
        <v>-1802.5499999999993</v>
      </c>
      <c r="M102" s="4"/>
      <c r="N102" s="12">
        <f>IF(H102=0,0,L102/H102)</f>
        <v>-0.14508612363168055</v>
      </c>
      <c r="O102" s="10"/>
      <c r="P102" s="4">
        <v>68686.040000000008</v>
      </c>
      <c r="Q102" s="4"/>
      <c r="R102" s="12">
        <f>IF(P$12=0,0,P102/P$12)</f>
        <v>0.10191978140633846</v>
      </c>
      <c r="S102" s="4"/>
      <c r="T102" s="4">
        <v>98402</v>
      </c>
      <c r="U102" s="4"/>
      <c r="V102" s="12">
        <f>IF(T$12=0,0,T102/T$12)</f>
        <v>0.12025174141512893</v>
      </c>
      <c r="W102" s="4"/>
      <c r="X102" s="4">
        <f>+P102-T102</f>
        <v>-29715.959999999992</v>
      </c>
      <c r="Y102" s="4"/>
      <c r="Z102" s="12">
        <f>IF(T102=0,0,X102/T102)</f>
        <v>-0.30198532550151413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5095.4000000000196</v>
      </c>
      <c r="E104" s="14"/>
      <c r="F104" s="32">
        <f>IF(D$12=0,0,D104/D$12)</f>
        <v>4.3498582245349617E-2</v>
      </c>
      <c r="G104" s="14"/>
      <c r="H104" s="31">
        <f>+H100-H102</f>
        <v>13330.141243999999</v>
      </c>
      <c r="I104" s="14"/>
      <c r="J104" s="32">
        <f>IF(H$12=0,0,H104/H$12)</f>
        <v>0.11108451036666665</v>
      </c>
      <c r="K104" s="15"/>
      <c r="L104" s="31">
        <f>D104-H104</f>
        <v>-8234.7412439999789</v>
      </c>
      <c r="M104" s="15"/>
      <c r="N104" s="32">
        <f>IF(H104=0,0,L104/H104)</f>
        <v>-0.61775348762388405</v>
      </c>
      <c r="O104" s="29"/>
      <c r="P104" s="31">
        <f>+P100-P102</f>
        <v>-105983.13000000003</v>
      </c>
      <c r="Q104" s="14"/>
      <c r="R104" s="32">
        <f>IF(P$12=0,0,P104/P$12)</f>
        <v>-0.15726306891996619</v>
      </c>
      <c r="S104" s="14"/>
      <c r="T104" s="31">
        <f>+T100-T102</f>
        <v>10829.532790599973</v>
      </c>
      <c r="U104" s="14"/>
      <c r="V104" s="32">
        <f>IF(T$12=0,0,T104/T$12)</f>
        <v>1.3234184028595837E-2</v>
      </c>
      <c r="W104" s="15"/>
      <c r="X104" s="31">
        <f>P104-T104</f>
        <v>-116812.66279060001</v>
      </c>
      <c r="Y104" s="15"/>
      <c r="Z104" s="32">
        <f>IF(T104=0,0,X104/T104)</f>
        <v>-10.786491444210162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3">
        <f>SUM(D104:D106)</f>
        <v>5095.4000000000196</v>
      </c>
      <c r="E107" s="14"/>
      <c r="F107" s="30">
        <f>IF(D$12=0,0,D107/D$12)</f>
        <v>4.3498582245349617E-2</v>
      </c>
      <c r="G107" s="14"/>
      <c r="H107" s="33">
        <f>SUM(H104:H106)</f>
        <v>13330.141243999999</v>
      </c>
      <c r="I107" s="14"/>
      <c r="J107" s="30">
        <f>IF(H$12=0,0,H107/H$12)</f>
        <v>0.11108451036666665</v>
      </c>
      <c r="K107" s="15"/>
      <c r="L107" s="33">
        <f>+D107-H107</f>
        <v>-8234.7412439999789</v>
      </c>
      <c r="M107" s="15"/>
      <c r="N107" s="30">
        <f>IF(H107=0,0,L107/H107)</f>
        <v>-0.61775348762388405</v>
      </c>
      <c r="O107" s="29"/>
      <c r="P107" s="33">
        <f>SUM(P104:P106)</f>
        <v>-105983.13000000003</v>
      </c>
      <c r="Q107" s="14"/>
      <c r="R107" s="30">
        <f>IF(P$12=0,0,P107/P$12)</f>
        <v>-0.15726306891996619</v>
      </c>
      <c r="S107" s="14"/>
      <c r="T107" s="33">
        <f>SUM(T104:T106)</f>
        <v>10829.532790599973</v>
      </c>
      <c r="U107" s="14"/>
      <c r="V107" s="30">
        <f>IF(T$12=0,0,T107/T$12)</f>
        <v>1.3234184028595837E-2</v>
      </c>
      <c r="W107" s="15"/>
      <c r="X107" s="33">
        <f>+P107-T107</f>
        <v>-116812.66279060001</v>
      </c>
      <c r="Y107" s="15"/>
      <c r="Z107" s="30">
        <f>IF(T107=0,0,X107/T107)</f>
        <v>-10.786491444210162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9">
        <v>43908.495029594909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3" t="s">
        <v>314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7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27083.920000000002</v>
      </c>
      <c r="E12" s="4"/>
      <c r="F12" s="12"/>
      <c r="G12" s="4"/>
      <c r="H12" s="4">
        <f>SUM(OSRRefH13x_0)</f>
        <v>46000</v>
      </c>
      <c r="I12" s="4"/>
      <c r="J12" s="12"/>
      <c r="K12" s="4"/>
      <c r="L12" s="4">
        <f t="shared" ref="L12:L16" si="0">+D12-H12</f>
        <v>-18916.079999999998</v>
      </c>
      <c r="M12" s="4"/>
      <c r="N12" s="12">
        <f t="shared" ref="N12:N16" si="1">IF(H12=0,0,L12/H12)</f>
        <v>-0.41121913043478259</v>
      </c>
      <c r="O12" s="10"/>
      <c r="P12" s="4">
        <f>SUM(OSRRefP13x_0)</f>
        <v>178629.31</v>
      </c>
      <c r="Q12" s="4"/>
      <c r="R12" s="12"/>
      <c r="S12" s="4"/>
      <c r="T12" s="4">
        <f>SUM(OSRRefT13x_0)</f>
        <v>287000</v>
      </c>
      <c r="U12" s="4"/>
      <c r="V12" s="12"/>
      <c r="W12" s="4"/>
      <c r="X12" s="4">
        <f t="shared" ref="X12:X16" si="2">+P12-T12</f>
        <v>-108370.69</v>
      </c>
      <c r="Y12" s="4"/>
      <c r="Z12" s="12">
        <f t="shared" ref="Z12:Z16" si="3">IF(T12=0,0,X12/T12)</f>
        <v>-0.37759822299651569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6000</v>
      </c>
      <c r="I13" s="2"/>
      <c r="J13" s="19"/>
      <c r="K13" s="2"/>
      <c r="L13" s="2">
        <f t="shared" si="0"/>
        <v>-6000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45000</v>
      </c>
      <c r="U13" s="2"/>
      <c r="V13" s="19"/>
      <c r="W13" s="2"/>
      <c r="X13" s="2">
        <f t="shared" si="2"/>
        <v>-45000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--5199.02</f>
        <v>5199.0200000000004</v>
      </c>
      <c r="E14" s="2"/>
      <c r="F14" s="19"/>
      <c r="G14" s="2"/>
      <c r="H14" s="2"/>
      <c r="I14" s="2"/>
      <c r="J14" s="19"/>
      <c r="K14" s="2"/>
      <c r="L14" s="2">
        <f t="shared" si="0"/>
        <v>5199.0200000000004</v>
      </c>
      <c r="M14" s="2"/>
      <c r="N14" s="19">
        <f t="shared" si="1"/>
        <v>0</v>
      </c>
      <c r="O14" s="11"/>
      <c r="P14" s="2">
        <f>--41649.65</f>
        <v>41649.65</v>
      </c>
      <c r="Q14" s="2"/>
      <c r="R14" s="19"/>
      <c r="S14" s="2"/>
      <c r="T14" s="2"/>
      <c r="U14" s="2"/>
      <c r="V14" s="19"/>
      <c r="W14" s="2"/>
      <c r="X14" s="2">
        <f t="shared" si="2"/>
        <v>41649.65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40000</v>
      </c>
      <c r="I15" s="2"/>
      <c r="J15" s="19"/>
      <c r="K15" s="2"/>
      <c r="L15" s="2">
        <f t="shared" si="0"/>
        <v>-40000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242000</v>
      </c>
      <c r="U15" s="2"/>
      <c r="V15" s="19"/>
      <c r="W15" s="2"/>
      <c r="X15" s="2">
        <f t="shared" si="2"/>
        <v>-242000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--21884.9</f>
        <v>21884.9</v>
      </c>
      <c r="E16" s="2"/>
      <c r="F16" s="19"/>
      <c r="G16" s="2"/>
      <c r="H16" s="2"/>
      <c r="I16" s="2"/>
      <c r="J16" s="19"/>
      <c r="K16" s="2"/>
      <c r="L16" s="2">
        <f t="shared" si="0"/>
        <v>21884.9</v>
      </c>
      <c r="M16" s="2"/>
      <c r="N16" s="19">
        <f t="shared" si="1"/>
        <v>0</v>
      </c>
      <c r="O16" s="11"/>
      <c r="P16" s="2">
        <f>--136979.66</f>
        <v>136979.66</v>
      </c>
      <c r="Q16" s="2"/>
      <c r="R16" s="19"/>
      <c r="S16" s="2"/>
      <c r="T16" s="2"/>
      <c r="U16" s="2"/>
      <c r="V16" s="19"/>
      <c r="W16" s="2"/>
      <c r="X16" s="2">
        <f t="shared" si="2"/>
        <v>136979.66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10343.74</v>
      </c>
      <c r="E18" s="4"/>
      <c r="F18" s="12">
        <f t="shared" ref="F18:F21" si="4">IF(D$12=0,0,D18/D$12)</f>
        <v>0.3819144348380884</v>
      </c>
      <c r="G18" s="4"/>
      <c r="H18" s="4">
        <f>SUM(OSRRefH16x_0)</f>
        <v>14720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-4376.26</v>
      </c>
      <c r="M18" s="4"/>
      <c r="N18" s="12">
        <f t="shared" ref="N18:N21" si="7">IF(H18=0,0,L18/H18)</f>
        <v>-0.29730027173913043</v>
      </c>
      <c r="O18" s="10"/>
      <c r="P18" s="4">
        <f>SUM(OSRRefP16x_0)</f>
        <v>63042.3</v>
      </c>
      <c r="Q18" s="4"/>
      <c r="R18" s="12">
        <f t="shared" ref="R18:R21" si="8">IF(P$12=0,0,P18/P$12)</f>
        <v>0.35292248511736402</v>
      </c>
      <c r="S18" s="4"/>
      <c r="T18" s="4">
        <f>SUM(OSRRefT16x_0)</f>
        <v>91840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-28797.699999999997</v>
      </c>
      <c r="Y18" s="4"/>
      <c r="Z18" s="12">
        <f t="shared" ref="Z18:Z21" si="11">IF(T18=0,0,X18/T18)</f>
        <v>-0.31356380662020905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14720</v>
      </c>
      <c r="I19" s="2"/>
      <c r="J19" s="19">
        <f t="shared" si="5"/>
        <v>0.32</v>
      </c>
      <c r="K19" s="2"/>
      <c r="L19" s="2">
        <f t="shared" si="6"/>
        <v>-14720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91840</v>
      </c>
      <c r="U19" s="2"/>
      <c r="V19" s="19">
        <f t="shared" si="9"/>
        <v>0.32</v>
      </c>
      <c r="W19" s="2"/>
      <c r="X19" s="2">
        <f t="shared" si="10"/>
        <v>-91840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8239.74</v>
      </c>
      <c r="E20" s="2"/>
      <c r="F20" s="19">
        <f t="shared" si="4"/>
        <v>0.30422996375709271</v>
      </c>
      <c r="G20" s="2"/>
      <c r="H20" s="2"/>
      <c r="I20" s="2"/>
      <c r="J20" s="19">
        <f t="shared" si="5"/>
        <v>0</v>
      </c>
      <c r="K20" s="2"/>
      <c r="L20" s="2">
        <f t="shared" si="6"/>
        <v>8239.74</v>
      </c>
      <c r="M20" s="2"/>
      <c r="N20" s="19">
        <f t="shared" si="7"/>
        <v>0</v>
      </c>
      <c r="O20" s="11"/>
      <c r="P20" s="2">
        <v>64300.920000000006</v>
      </c>
      <c r="Q20" s="2"/>
      <c r="R20" s="19">
        <f t="shared" si="8"/>
        <v>0.35996847325895176</v>
      </c>
      <c r="S20" s="2"/>
      <c r="T20" s="2"/>
      <c r="U20" s="2"/>
      <c r="V20" s="19">
        <f t="shared" si="9"/>
        <v>0</v>
      </c>
      <c r="W20" s="2"/>
      <c r="X20" s="2">
        <f t="shared" si="10"/>
        <v>64300.920000000006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2104</v>
      </c>
      <c r="E21" s="2"/>
      <c r="F21" s="19">
        <f t="shared" si="4"/>
        <v>7.768447108099566E-2</v>
      </c>
      <c r="G21" s="2"/>
      <c r="H21" s="2"/>
      <c r="I21" s="2"/>
      <c r="J21" s="19">
        <f t="shared" si="5"/>
        <v>0</v>
      </c>
      <c r="K21" s="2"/>
      <c r="L21" s="2">
        <f t="shared" si="6"/>
        <v>2104</v>
      </c>
      <c r="M21" s="2"/>
      <c r="N21" s="19">
        <f t="shared" si="7"/>
        <v>0</v>
      </c>
      <c r="O21" s="11"/>
      <c r="P21" s="2">
        <v>-1258.6199999999999</v>
      </c>
      <c r="Q21" s="2"/>
      <c r="R21" s="19">
        <f t="shared" si="8"/>
        <v>-7.0459881415877376E-3</v>
      </c>
      <c r="S21" s="2"/>
      <c r="T21" s="2"/>
      <c r="U21" s="2"/>
      <c r="V21" s="19">
        <f t="shared" si="9"/>
        <v>0</v>
      </c>
      <c r="W21" s="2"/>
      <c r="X21" s="2">
        <f t="shared" si="10"/>
        <v>-1258.6199999999999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16740.18</v>
      </c>
      <c r="E23" s="14"/>
      <c r="F23" s="22">
        <f>IF(D$12=0,0,D23/D$12)</f>
        <v>0.61808556516191149</v>
      </c>
      <c r="G23" s="14"/>
      <c r="H23" s="21">
        <f>H12-H18</f>
        <v>31280</v>
      </c>
      <c r="I23" s="14"/>
      <c r="J23" s="22">
        <f>IF(H$12=0,0,H23/H$12)</f>
        <v>0.68</v>
      </c>
      <c r="K23" s="15"/>
      <c r="L23" s="21">
        <f>+D23-H23</f>
        <v>-14539.82</v>
      </c>
      <c r="M23" s="15"/>
      <c r="N23" s="22">
        <f>IF(H23=0,0,L23/H23)</f>
        <v>-0.46482800511508948</v>
      </c>
      <c r="O23" s="29"/>
      <c r="P23" s="21">
        <f>P12-P18</f>
        <v>115587.01</v>
      </c>
      <c r="Q23" s="14"/>
      <c r="R23" s="22">
        <f>IF(P$12=0,0,P23/P$12)</f>
        <v>0.64707751488263598</v>
      </c>
      <c r="S23" s="14"/>
      <c r="T23" s="21">
        <f>T12-T18</f>
        <v>195160</v>
      </c>
      <c r="U23" s="14"/>
      <c r="V23" s="22">
        <f>IF(T$12=0,0,T23/T$12)</f>
        <v>0.68</v>
      </c>
      <c r="W23" s="15"/>
      <c r="X23" s="21">
        <f>+P23-T23</f>
        <v>-79572.990000000005</v>
      </c>
      <c r="Y23" s="15"/>
      <c r="Z23" s="22">
        <f>IF(T23=0,0,X23/T23)</f>
        <v>-0.40773206599713058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20061.830000000002</v>
      </c>
      <c r="E25" s="20"/>
      <c r="F25" s="34">
        <f t="shared" ref="F25:F35" si="12">IF(D$12=0,0,D25/D$12)</f>
        <v>0.74072844698994833</v>
      </c>
      <c r="G25" s="20"/>
      <c r="H25" s="20">
        <f>SUM(OSRRefH22x_0)</f>
        <v>20297.172656799998</v>
      </c>
      <c r="I25" s="20"/>
      <c r="J25" s="34">
        <f t="shared" ref="J25:J35" si="13">IF(H$12=0,0,H25/H$12)</f>
        <v>0.44124288384347821</v>
      </c>
      <c r="K25" s="4"/>
      <c r="L25" s="20">
        <f t="shared" ref="L25:L35" si="14">+D25-H25</f>
        <v>-235.34265679999589</v>
      </c>
      <c r="M25" s="4"/>
      <c r="N25" s="34">
        <f t="shared" ref="N25:N35" si="15">IF(H25=0,0,L25/H25)</f>
        <v>-1.159484923242011E-2</v>
      </c>
      <c r="O25" s="10"/>
      <c r="P25" s="20">
        <f>SUM(OSRRefP22x_0)</f>
        <v>164811.84000000003</v>
      </c>
      <c r="Q25" s="20"/>
      <c r="R25" s="34">
        <f t="shared" ref="R25:R35" si="16">IF(P$12=0,0,P25/P$12)</f>
        <v>0.92264724081395166</v>
      </c>
      <c r="S25" s="20"/>
      <c r="T25" s="20">
        <f>SUM(OSRRefT22x_0)</f>
        <v>144023.04834019998</v>
      </c>
      <c r="U25" s="20"/>
      <c r="V25" s="34">
        <f t="shared" ref="V25:V35" si="17">IF(T$12=0,0,T25/T$12)</f>
        <v>0.50182246808432052</v>
      </c>
      <c r="W25" s="4"/>
      <c r="X25" s="20">
        <f t="shared" ref="X25:X35" si="18">+P25-T25</f>
        <v>20788.791659800045</v>
      </c>
      <c r="Y25" s="4"/>
      <c r="Z25" s="34">
        <f t="shared" ref="Z25:Z35" si="19">IF(T25=0,0,X25/T25)</f>
        <v>0.14434350542764784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2388.7400000000002</v>
      </c>
      <c r="E26" s="1"/>
      <c r="F26" s="5">
        <f t="shared" si="12"/>
        <v>8.8197720270920904E-2</v>
      </c>
      <c r="G26" s="1"/>
      <c r="H26" s="1">
        <f>SUM(OSRRefH22_0x_0)</f>
        <v>2370.674195261538</v>
      </c>
      <c r="I26" s="1"/>
      <c r="J26" s="5">
        <f t="shared" si="13"/>
        <v>5.1536395549163866E-2</v>
      </c>
      <c r="K26" s="1"/>
      <c r="L26" s="1">
        <f t="shared" si="14"/>
        <v>18.065804738462248</v>
      </c>
      <c r="M26" s="1"/>
      <c r="N26" s="5">
        <f t="shared" si="15"/>
        <v>7.6205346034355385E-3</v>
      </c>
      <c r="O26" s="13"/>
      <c r="P26" s="1">
        <f>SUM(OSRRefP22_0x_0)</f>
        <v>17539.670000000002</v>
      </c>
      <c r="Q26" s="1"/>
      <c r="R26" s="5">
        <f t="shared" si="16"/>
        <v>9.819032498082203E-2</v>
      </c>
      <c r="S26" s="1"/>
      <c r="T26" s="1">
        <f>SUM(OSRRefT22_0x_0)</f>
        <v>17891.49680173846</v>
      </c>
      <c r="U26" s="1"/>
      <c r="V26" s="5">
        <f t="shared" si="17"/>
        <v>6.233971011058697E-2</v>
      </c>
      <c r="W26" s="1"/>
      <c r="X26" s="1">
        <f t="shared" si="18"/>
        <v>-351.82680173845802</v>
      </c>
      <c r="Y26" s="1"/>
      <c r="Z26" s="5">
        <f t="shared" si="19"/>
        <v>-1.9664469979072525E-2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884.63</v>
      </c>
      <c r="E27" s="2"/>
      <c r="F27" s="7">
        <f t="shared" si="12"/>
        <v>3.2662554017291436E-2</v>
      </c>
      <c r="G27" s="2"/>
      <c r="H27" s="6">
        <v>583.30506664615405</v>
      </c>
      <c r="I27" s="2"/>
      <c r="J27" s="7">
        <f t="shared" si="13"/>
        <v>1.2680544927090306E-2</v>
      </c>
      <c r="K27" s="2"/>
      <c r="L27" s="6">
        <f t="shared" si="14"/>
        <v>301.32493335384595</v>
      </c>
      <c r="M27" s="2"/>
      <c r="N27" s="7">
        <f t="shared" si="15"/>
        <v>0.51658206071547197</v>
      </c>
      <c r="O27" s="11"/>
      <c r="P27" s="6">
        <v>5942.28</v>
      </c>
      <c r="Q27" s="2"/>
      <c r="R27" s="7">
        <f t="shared" si="16"/>
        <v>3.3265985296589903E-2</v>
      </c>
      <c r="S27" s="2"/>
      <c r="T27" s="6">
        <v>4447.0807103538464</v>
      </c>
      <c r="U27" s="2"/>
      <c r="V27" s="7">
        <f t="shared" si="17"/>
        <v>1.5495054739908873E-2</v>
      </c>
      <c r="W27" s="2"/>
      <c r="X27" s="6">
        <f t="shared" si="18"/>
        <v>1495.1992896461534</v>
      </c>
      <c r="Y27" s="2"/>
      <c r="Z27" s="7">
        <f t="shared" si="19"/>
        <v>0.33622040773062178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560.87</v>
      </c>
      <c r="E28" s="2"/>
      <c r="F28" s="7">
        <f t="shared" si="12"/>
        <v>2.0708597573763324E-2</v>
      </c>
      <c r="G28" s="2"/>
      <c r="H28" s="6">
        <v>506.92641723076906</v>
      </c>
      <c r="I28" s="2"/>
      <c r="J28" s="7">
        <f t="shared" si="13"/>
        <v>1.1020139505016719E-2</v>
      </c>
      <c r="K28" s="2"/>
      <c r="L28" s="6">
        <f t="shared" si="14"/>
        <v>53.943582769230943</v>
      </c>
      <c r="M28" s="2"/>
      <c r="N28" s="7">
        <f t="shared" si="15"/>
        <v>0.10641304326555565</v>
      </c>
      <c r="O28" s="11"/>
      <c r="P28" s="6">
        <v>3480.18</v>
      </c>
      <c r="Q28" s="2"/>
      <c r="R28" s="7">
        <f t="shared" si="16"/>
        <v>1.9482692957835418E-2</v>
      </c>
      <c r="S28" s="2"/>
      <c r="T28" s="6">
        <v>3303.904822769231</v>
      </c>
      <c r="U28" s="2"/>
      <c r="V28" s="7">
        <f t="shared" si="17"/>
        <v>1.1511863493969446E-2</v>
      </c>
      <c r="W28" s="2"/>
      <c r="X28" s="6">
        <f t="shared" si="18"/>
        <v>176.2751772307688</v>
      </c>
      <c r="Y28" s="2"/>
      <c r="Z28" s="7">
        <f t="shared" si="19"/>
        <v>5.335358815906216E-2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36.049999999999997</v>
      </c>
      <c r="E29" s="2"/>
      <c r="F29" s="7">
        <f t="shared" si="12"/>
        <v>1.3310480905275159E-3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36.049999999999997</v>
      </c>
      <c r="M29" s="2"/>
      <c r="N29" s="7">
        <f t="shared" si="15"/>
        <v>0</v>
      </c>
      <c r="O29" s="11"/>
      <c r="P29" s="6">
        <v>281.92</v>
      </c>
      <c r="Q29" s="2"/>
      <c r="R29" s="7">
        <f t="shared" si="16"/>
        <v>1.5782404354582125E-3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281.92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37.58</v>
      </c>
      <c r="E30" s="2"/>
      <c r="F30" s="7">
        <f t="shared" si="12"/>
        <v>1.3875391745360344E-3</v>
      </c>
      <c r="G30" s="2"/>
      <c r="H30" s="6">
        <v>33.969296</v>
      </c>
      <c r="I30" s="2"/>
      <c r="J30" s="7">
        <f t="shared" si="13"/>
        <v>7.3846295652173915E-4</v>
      </c>
      <c r="K30" s="2"/>
      <c r="L30" s="6">
        <f t="shared" si="14"/>
        <v>3.6107039999999984</v>
      </c>
      <c r="M30" s="2"/>
      <c r="N30" s="7">
        <f t="shared" si="15"/>
        <v>0.10629316545153006</v>
      </c>
      <c r="O30" s="11"/>
      <c r="P30" s="6">
        <v>283.7</v>
      </c>
      <c r="Q30" s="2"/>
      <c r="R30" s="7">
        <f t="shared" si="16"/>
        <v>1.5882052055175044E-3</v>
      </c>
      <c r="S30" s="2"/>
      <c r="T30" s="6">
        <v>221.39568399999999</v>
      </c>
      <c r="U30" s="2"/>
      <c r="V30" s="7">
        <f t="shared" si="17"/>
        <v>7.7141353310104528E-4</v>
      </c>
      <c r="W30" s="2"/>
      <c r="X30" s="6">
        <f t="shared" si="18"/>
        <v>62.304316</v>
      </c>
      <c r="Y30" s="2"/>
      <c r="Z30" s="7">
        <f t="shared" si="19"/>
        <v>0.28141612733516524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315.45</v>
      </c>
      <c r="E31" s="2"/>
      <c r="F31" s="7">
        <f t="shared" si="12"/>
        <v>1.1647132320579885E-2</v>
      </c>
      <c r="G31" s="2"/>
      <c r="H31" s="6">
        <v>388.38923076923101</v>
      </c>
      <c r="I31" s="2"/>
      <c r="J31" s="7">
        <f t="shared" si="13"/>
        <v>8.4432441471571952E-3</v>
      </c>
      <c r="K31" s="2"/>
      <c r="L31" s="6">
        <f t="shared" si="14"/>
        <v>-72.939230769231017</v>
      </c>
      <c r="M31" s="2"/>
      <c r="N31" s="7">
        <f t="shared" si="15"/>
        <v>-0.18779931313947598</v>
      </c>
      <c r="O31" s="11"/>
      <c r="P31" s="6">
        <v>2681.33</v>
      </c>
      <c r="Q31" s="2"/>
      <c r="R31" s="7">
        <f t="shared" si="16"/>
        <v>1.5010582529821114E-2</v>
      </c>
      <c r="S31" s="2"/>
      <c r="T31" s="6">
        <v>3398.405769230772</v>
      </c>
      <c r="U31" s="2"/>
      <c r="V31" s="7">
        <f t="shared" si="17"/>
        <v>1.1841135084427776E-2</v>
      </c>
      <c r="W31" s="2"/>
      <c r="X31" s="6">
        <f t="shared" si="18"/>
        <v>-717.07576923077204</v>
      </c>
      <c r="Y31" s="2"/>
      <c r="Z31" s="7">
        <f t="shared" si="19"/>
        <v>-0.21100357577167186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173.88</v>
      </c>
      <c r="E33" s="2"/>
      <c r="F33" s="7">
        <f t="shared" si="12"/>
        <v>6.420045547321067E-3</v>
      </c>
      <c r="G33" s="2"/>
      <c r="H33" s="6">
        <v>225.80769230769201</v>
      </c>
      <c r="I33" s="2"/>
      <c r="J33" s="7">
        <f t="shared" si="13"/>
        <v>4.9088628762541742E-3</v>
      </c>
      <c r="K33" s="2"/>
      <c r="L33" s="6">
        <f t="shared" si="14"/>
        <v>-51.927692307692013</v>
      </c>
      <c r="M33" s="2"/>
      <c r="N33" s="7">
        <f t="shared" si="15"/>
        <v>-0.22996423096576293</v>
      </c>
      <c r="O33" s="11"/>
      <c r="P33" s="6">
        <v>1547.93</v>
      </c>
      <c r="Q33" s="2"/>
      <c r="R33" s="7">
        <f t="shared" si="16"/>
        <v>8.6655991673482927E-3</v>
      </c>
      <c r="S33" s="2"/>
      <c r="T33" s="6">
        <v>1975.8173076923049</v>
      </c>
      <c r="U33" s="2"/>
      <c r="V33" s="7">
        <f t="shared" si="17"/>
        <v>6.8843808630393898E-3</v>
      </c>
      <c r="W33" s="2"/>
      <c r="X33" s="6">
        <f t="shared" si="18"/>
        <v>-427.88730769230483</v>
      </c>
      <c r="Y33" s="2"/>
      <c r="Z33" s="7">
        <f t="shared" si="19"/>
        <v>-0.21656218215441403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208.3</v>
      </c>
      <c r="E34" s="2"/>
      <c r="F34" s="7">
        <f t="shared" si="12"/>
        <v>7.6909103261270893E-3</v>
      </c>
      <c r="G34" s="2"/>
      <c r="H34" s="6">
        <v>482.27649230769202</v>
      </c>
      <c r="I34" s="2"/>
      <c r="J34" s="7">
        <f t="shared" si="13"/>
        <v>1.0484271571906349E-2</v>
      </c>
      <c r="K34" s="2"/>
      <c r="L34" s="6">
        <f t="shared" si="14"/>
        <v>-273.97649230769201</v>
      </c>
      <c r="M34" s="2"/>
      <c r="N34" s="7">
        <f t="shared" si="15"/>
        <v>-0.5680900825099624</v>
      </c>
      <c r="O34" s="11"/>
      <c r="P34" s="6">
        <v>1892.38</v>
      </c>
      <c r="Q34" s="2"/>
      <c r="R34" s="7">
        <f t="shared" si="16"/>
        <v>1.0593894137529838E-2</v>
      </c>
      <c r="S34" s="2"/>
      <c r="T34" s="6">
        <v>3344.8925076923047</v>
      </c>
      <c r="U34" s="2"/>
      <c r="V34" s="7">
        <f t="shared" si="17"/>
        <v>1.1654677727150887E-2</v>
      </c>
      <c r="W34" s="2"/>
      <c r="X34" s="6">
        <f t="shared" si="18"/>
        <v>-1452.5125076923046</v>
      </c>
      <c r="Y34" s="2"/>
      <c r="Z34" s="7">
        <f t="shared" si="19"/>
        <v>-0.43424788819130583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171.98</v>
      </c>
      <c r="E35" s="2"/>
      <c r="F35" s="7">
        <f t="shared" si="12"/>
        <v>6.3498932207745398E-3</v>
      </c>
      <c r="G35" s="2"/>
      <c r="H35" s="6">
        <v>150</v>
      </c>
      <c r="I35" s="2"/>
      <c r="J35" s="7">
        <f t="shared" si="13"/>
        <v>3.2608695652173911E-3</v>
      </c>
      <c r="K35" s="2"/>
      <c r="L35" s="6">
        <f t="shared" si="14"/>
        <v>21.97999999999999</v>
      </c>
      <c r="M35" s="2"/>
      <c r="N35" s="7">
        <f t="shared" si="15"/>
        <v>0.14653333333333327</v>
      </c>
      <c r="O35" s="11"/>
      <c r="P35" s="6">
        <v>1429.95</v>
      </c>
      <c r="Q35" s="2"/>
      <c r="R35" s="7">
        <f t="shared" si="16"/>
        <v>8.0051252507217317E-3</v>
      </c>
      <c r="S35" s="2"/>
      <c r="T35" s="6">
        <v>1200</v>
      </c>
      <c r="U35" s="2"/>
      <c r="V35" s="7">
        <f t="shared" si="17"/>
        <v>4.181184668989547E-3</v>
      </c>
      <c r="W35" s="2"/>
      <c r="X35" s="6">
        <f t="shared" si="18"/>
        <v>229.95000000000005</v>
      </c>
      <c r="Y35" s="2"/>
      <c r="Z35" s="7">
        <f t="shared" si="19"/>
        <v>0.19162500000000005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13650.77</v>
      </c>
      <c r="E36" s="1"/>
      <c r="F36" s="5">
        <f t="shared" ref="F36:F46" si="20">IF(D$12=0,0,D36/D$12)</f>
        <v>0.50401751297448816</v>
      </c>
      <c r="G36" s="1"/>
      <c r="H36" s="1">
        <f>SUM(OSRRefH22_1x_0)</f>
        <v>12613.49846153846</v>
      </c>
      <c r="I36" s="1"/>
      <c r="J36" s="5">
        <f t="shared" ref="J36:J46" si="21">IF(H$12=0,0,H36/H$12)</f>
        <v>0.27420648829431438</v>
      </c>
      <c r="K36" s="1"/>
      <c r="L36" s="1">
        <f t="shared" ref="L36:L46" si="22">+D36-H36</f>
        <v>1037.2715384615403</v>
      </c>
      <c r="M36" s="1"/>
      <c r="N36" s="5">
        <f t="shared" ref="N36:N46" si="23">IF(H36=0,0,L36/H36)</f>
        <v>8.223503904364253E-2</v>
      </c>
      <c r="O36" s="13"/>
      <c r="P36" s="1">
        <f>SUM(OSRRefP22_1x_0)</f>
        <v>99815.12999999999</v>
      </c>
      <c r="Q36" s="1"/>
      <c r="R36" s="5">
        <f t="shared" ref="R36:R46" si="24">IF(P$12=0,0,P36/P$12)</f>
        <v>0.55878360611704758</v>
      </c>
      <c r="S36" s="1"/>
      <c r="T36" s="1">
        <f>SUM(OSRRefT22_1x_0)</f>
        <v>81200.551538461543</v>
      </c>
      <c r="U36" s="1"/>
      <c r="V36" s="5">
        <f t="shared" ref="V36:V46" si="25">IF(T$12=0,0,T36/T$12)</f>
        <v>0.28292875100509246</v>
      </c>
      <c r="W36" s="1"/>
      <c r="X36" s="1">
        <f t="shared" ref="X36:X46" si="26">+P36-T36</f>
        <v>18614.578461538447</v>
      </c>
      <c r="Y36" s="1"/>
      <c r="Z36" s="5">
        <f t="shared" ref="Z36:Z46" si="27">IF(T36=0,0,X36/T36)</f>
        <v>0.22924202002151975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4064.5384615384596</v>
      </c>
      <c r="I37" s="2"/>
      <c r="J37" s="7">
        <f t="shared" si="21"/>
        <v>8.8359531772575203E-2</v>
      </c>
      <c r="K37" s="2"/>
      <c r="L37" s="6">
        <f t="shared" si="22"/>
        <v>-4064.5384615384596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35564.711538461539</v>
      </c>
      <c r="U37" s="2"/>
      <c r="V37" s="7">
        <f t="shared" si="25"/>
        <v>0.1239188555347092</v>
      </c>
      <c r="W37" s="2"/>
      <c r="X37" s="6">
        <f t="shared" si="26"/>
        <v>-35564.711538461539</v>
      </c>
      <c r="Y37" s="2"/>
      <c r="Z37" s="7">
        <f t="shared" si="27"/>
        <v>-1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4419.59</v>
      </c>
      <c r="E38" s="2"/>
      <c r="F38" s="7">
        <f t="shared" si="20"/>
        <v>0.16318132677987529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4419.59</v>
      </c>
      <c r="M38" s="2"/>
      <c r="N38" s="7">
        <f t="shared" si="23"/>
        <v>0</v>
      </c>
      <c r="O38" s="11"/>
      <c r="P38" s="6">
        <v>36493.870000000003</v>
      </c>
      <c r="Q38" s="2"/>
      <c r="R38" s="7">
        <f t="shared" si="24"/>
        <v>0.20429945119308809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36493.870000000003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689.1</v>
      </c>
      <c r="E40" s="2"/>
      <c r="F40" s="7">
        <f t="shared" si="20"/>
        <v>2.5443141170111268E-2</v>
      </c>
      <c r="G40" s="2"/>
      <c r="H40" s="6">
        <v>3105.76</v>
      </c>
      <c r="I40" s="2"/>
      <c r="J40" s="7">
        <f t="shared" si="21"/>
        <v>6.7516521739130433E-2</v>
      </c>
      <c r="K40" s="2"/>
      <c r="L40" s="6">
        <f t="shared" si="22"/>
        <v>-2416.6600000000003</v>
      </c>
      <c r="M40" s="2"/>
      <c r="N40" s="7">
        <f t="shared" si="23"/>
        <v>-0.77812194116737932</v>
      </c>
      <c r="O40" s="11"/>
      <c r="P40" s="6">
        <v>689.1</v>
      </c>
      <c r="Q40" s="2"/>
      <c r="R40" s="7">
        <f t="shared" si="24"/>
        <v>3.8577095774484042E-3</v>
      </c>
      <c r="S40" s="2"/>
      <c r="T40" s="6">
        <v>18592.64</v>
      </c>
      <c r="U40" s="2"/>
      <c r="V40" s="7">
        <f t="shared" si="25"/>
        <v>6.4782717770034845E-2</v>
      </c>
      <c r="W40" s="2"/>
      <c r="X40" s="6">
        <f t="shared" si="26"/>
        <v>-17903.54</v>
      </c>
      <c r="Y40" s="2"/>
      <c r="Z40" s="7">
        <f t="shared" si="27"/>
        <v>-0.96293694709304334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5703.13</v>
      </c>
      <c r="E41" s="2"/>
      <c r="F41" s="7">
        <f t="shared" si="20"/>
        <v>0.2105725463669956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5703.13</v>
      </c>
      <c r="M41" s="2"/>
      <c r="N41" s="7">
        <f t="shared" si="23"/>
        <v>0</v>
      </c>
      <c r="O41" s="11"/>
      <c r="P41" s="6">
        <v>33202.21</v>
      </c>
      <c r="Q41" s="2"/>
      <c r="R41" s="7">
        <f t="shared" si="24"/>
        <v>0.18587212815186938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33202.21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>
        <v>526.11</v>
      </c>
      <c r="E42" s="2"/>
      <c r="F42" s="7">
        <f t="shared" si="20"/>
        <v>1.9425179220733186E-2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526.11</v>
      </c>
      <c r="M42" s="2"/>
      <c r="N42" s="7">
        <f t="shared" si="23"/>
        <v>0</v>
      </c>
      <c r="O42" s="11"/>
      <c r="P42" s="6">
        <v>704.86</v>
      </c>
      <c r="Q42" s="2"/>
      <c r="R42" s="7">
        <f t="shared" si="24"/>
        <v>3.9459369797711251E-3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704.86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1951.44</v>
      </c>
      <c r="E43" s="2"/>
      <c r="F43" s="7">
        <f t="shared" si="20"/>
        <v>7.2051608482080878E-2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1951.44</v>
      </c>
      <c r="M43" s="2"/>
      <c r="N43" s="7">
        <f t="shared" si="23"/>
        <v>0</v>
      </c>
      <c r="O43" s="11"/>
      <c r="P43" s="6">
        <v>26666.69</v>
      </c>
      <c r="Q43" s="2"/>
      <c r="R43" s="7">
        <f t="shared" si="24"/>
        <v>0.14928507533282193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26666.69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361.4</v>
      </c>
      <c r="E44" s="2"/>
      <c r="F44" s="7">
        <f t="shared" si="20"/>
        <v>1.3343710954691933E-2</v>
      </c>
      <c r="G44" s="2"/>
      <c r="H44" s="6">
        <v>5443.2</v>
      </c>
      <c r="I44" s="2"/>
      <c r="J44" s="7">
        <f t="shared" si="21"/>
        <v>0.1183304347826087</v>
      </c>
      <c r="K44" s="2"/>
      <c r="L44" s="6">
        <f t="shared" si="22"/>
        <v>-5081.8</v>
      </c>
      <c r="M44" s="2"/>
      <c r="N44" s="7">
        <f t="shared" si="23"/>
        <v>-0.93360523221634339</v>
      </c>
      <c r="O44" s="11"/>
      <c r="P44" s="6">
        <v>2058.4</v>
      </c>
      <c r="Q44" s="2"/>
      <c r="R44" s="7">
        <f t="shared" si="24"/>
        <v>1.1523304882048753E-2</v>
      </c>
      <c r="S44" s="2"/>
      <c r="T44" s="6">
        <v>27043.200000000001</v>
      </c>
      <c r="U44" s="2"/>
      <c r="V44" s="7">
        <f t="shared" si="25"/>
        <v>9.4227177700348441E-2</v>
      </c>
      <c r="W44" s="2"/>
      <c r="X44" s="6">
        <f t="shared" si="26"/>
        <v>-24984.799999999999</v>
      </c>
      <c r="Y44" s="2"/>
      <c r="Z44" s="7">
        <f t="shared" si="27"/>
        <v>-0.92388474736717541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111.99</v>
      </c>
      <c r="E47" s="1"/>
      <c r="F47" s="5">
        <f t="shared" ref="F47:F55" si="28">IF(D$12=0,0,D47/D$12)</f>
        <v>4.1349258157607907E-3</v>
      </c>
      <c r="G47" s="1"/>
      <c r="H47" s="1">
        <f>SUM(OSRRefH22_2x_0)</f>
        <v>200</v>
      </c>
      <c r="I47" s="1"/>
      <c r="J47" s="5">
        <f t="shared" ref="J47:J55" si="29">IF(H$12=0,0,H47/H$12)</f>
        <v>4.3478260869565218E-3</v>
      </c>
      <c r="K47" s="1"/>
      <c r="L47" s="1">
        <f t="shared" ref="L47:L55" si="30">+D47-H47</f>
        <v>-88.01</v>
      </c>
      <c r="M47" s="1"/>
      <c r="N47" s="5">
        <f t="shared" ref="N47:N55" si="31">IF(H47=0,0,L47/H47)</f>
        <v>-0.44005000000000005</v>
      </c>
      <c r="O47" s="13"/>
      <c r="P47" s="1">
        <f>SUM(OSRRefP22_2x_0)</f>
        <v>3228.7</v>
      </c>
      <c r="Q47" s="1"/>
      <c r="R47" s="5">
        <f t="shared" ref="R47:R55" si="32">IF(P$12=0,0,P47/P$12)</f>
        <v>1.8074861286761952E-2</v>
      </c>
      <c r="S47" s="1"/>
      <c r="T47" s="1">
        <f>SUM(OSRRefT22_2x_0)</f>
        <v>1400</v>
      </c>
      <c r="U47" s="1"/>
      <c r="V47" s="5">
        <f t="shared" ref="V47:V55" si="33">IF(T$12=0,0,T47/T$12)</f>
        <v>4.8780487804878049E-3</v>
      </c>
      <c r="W47" s="1"/>
      <c r="X47" s="1">
        <f t="shared" ref="X47:X55" si="34">+P47-T47</f>
        <v>1828.6999999999998</v>
      </c>
      <c r="Y47" s="1"/>
      <c r="Z47" s="5">
        <f t="shared" ref="Z47:Z55" si="35">IF(T47=0,0,X47/T47)</f>
        <v>1.3062142857142856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111.99</v>
      </c>
      <c r="E48" s="2"/>
      <c r="F48" s="7">
        <f t="shared" si="28"/>
        <v>4.1349258157607907E-3</v>
      </c>
      <c r="G48" s="2"/>
      <c r="H48" s="6">
        <v>200</v>
      </c>
      <c r="I48" s="2"/>
      <c r="J48" s="7">
        <f t="shared" si="29"/>
        <v>4.3478260869565218E-3</v>
      </c>
      <c r="K48" s="2"/>
      <c r="L48" s="6">
        <f t="shared" si="30"/>
        <v>-88.01</v>
      </c>
      <c r="M48" s="2"/>
      <c r="N48" s="7">
        <f t="shared" si="31"/>
        <v>-0.44005000000000005</v>
      </c>
      <c r="O48" s="11"/>
      <c r="P48" s="6">
        <v>3228.7</v>
      </c>
      <c r="Q48" s="2"/>
      <c r="R48" s="7">
        <f t="shared" si="32"/>
        <v>1.8074861286761952E-2</v>
      </c>
      <c r="S48" s="2"/>
      <c r="T48" s="6">
        <v>1400</v>
      </c>
      <c r="U48" s="2"/>
      <c r="V48" s="7">
        <f t="shared" si="33"/>
        <v>4.8780487804878049E-3</v>
      </c>
      <c r="W48" s="2"/>
      <c r="X48" s="6">
        <f t="shared" si="34"/>
        <v>1828.6999999999998</v>
      </c>
      <c r="Y48" s="2"/>
      <c r="Z48" s="7">
        <f t="shared" si="35"/>
        <v>1.3062142857142856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-15.39</v>
      </c>
      <c r="E49" s="1"/>
      <c r="F49" s="5">
        <f t="shared" si="28"/>
        <v>-5.6823384502686458E-4</v>
      </c>
      <c r="G49" s="1"/>
      <c r="H49" s="1">
        <f>SUM(OSRRefH22_3x_0)</f>
        <v>25</v>
      </c>
      <c r="I49" s="1"/>
      <c r="J49" s="5">
        <f t="shared" si="29"/>
        <v>5.4347826086956522E-4</v>
      </c>
      <c r="K49" s="1"/>
      <c r="L49" s="1">
        <f t="shared" si="30"/>
        <v>-40.39</v>
      </c>
      <c r="M49" s="1"/>
      <c r="N49" s="5">
        <f t="shared" si="31"/>
        <v>-1.6155999999999999</v>
      </c>
      <c r="O49" s="13"/>
      <c r="P49" s="1">
        <f>SUM(OSRRefP22_3x_0)</f>
        <v>-36.369999999999997</v>
      </c>
      <c r="Q49" s="1"/>
      <c r="R49" s="5">
        <f t="shared" si="32"/>
        <v>-2.0360600396429902E-4</v>
      </c>
      <c r="S49" s="1"/>
      <c r="T49" s="1">
        <f>SUM(OSRRefT22_3x_0)</f>
        <v>175</v>
      </c>
      <c r="U49" s="1"/>
      <c r="V49" s="5">
        <f t="shared" si="33"/>
        <v>6.0975609756097561E-4</v>
      </c>
      <c r="W49" s="1"/>
      <c r="X49" s="1">
        <f t="shared" si="34"/>
        <v>-211.37</v>
      </c>
      <c r="Y49" s="1"/>
      <c r="Z49" s="5">
        <f t="shared" si="35"/>
        <v>-1.2078285714285715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-15.39</v>
      </c>
      <c r="E50" s="2"/>
      <c r="F50" s="7">
        <f t="shared" si="28"/>
        <v>-5.6823384502686458E-4</v>
      </c>
      <c r="G50" s="2"/>
      <c r="H50" s="6">
        <v>25</v>
      </c>
      <c r="I50" s="2"/>
      <c r="J50" s="7">
        <f t="shared" si="29"/>
        <v>5.4347826086956522E-4</v>
      </c>
      <c r="K50" s="2"/>
      <c r="L50" s="6">
        <f t="shared" si="30"/>
        <v>-40.39</v>
      </c>
      <c r="M50" s="2"/>
      <c r="N50" s="7">
        <f t="shared" si="31"/>
        <v>-1.6155999999999999</v>
      </c>
      <c r="O50" s="11"/>
      <c r="P50" s="6">
        <v>-36.369999999999997</v>
      </c>
      <c r="Q50" s="2"/>
      <c r="R50" s="7">
        <f t="shared" si="32"/>
        <v>-2.0360600396429902E-4</v>
      </c>
      <c r="S50" s="2"/>
      <c r="T50" s="6">
        <v>175</v>
      </c>
      <c r="U50" s="2"/>
      <c r="V50" s="7">
        <f t="shared" si="33"/>
        <v>6.0975609756097561E-4</v>
      </c>
      <c r="W50" s="2"/>
      <c r="X50" s="6">
        <f t="shared" si="34"/>
        <v>-211.37</v>
      </c>
      <c r="Y50" s="2"/>
      <c r="Z50" s="7">
        <f t="shared" si="35"/>
        <v>-1.2078285714285715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755.19</v>
      </c>
      <c r="E51" s="1"/>
      <c r="F51" s="5">
        <f t="shared" si="28"/>
        <v>2.7883334465616499E-2</v>
      </c>
      <c r="G51" s="1"/>
      <c r="H51" s="1">
        <f>SUM(OSRRefH22_4x_0)</f>
        <v>1080</v>
      </c>
      <c r="I51" s="1"/>
      <c r="J51" s="5">
        <f t="shared" si="29"/>
        <v>2.3478260869565216E-2</v>
      </c>
      <c r="K51" s="1"/>
      <c r="L51" s="1">
        <f t="shared" si="30"/>
        <v>-324.80999999999995</v>
      </c>
      <c r="M51" s="1"/>
      <c r="N51" s="5">
        <f t="shared" si="31"/>
        <v>-0.30074999999999996</v>
      </c>
      <c r="O51" s="13"/>
      <c r="P51" s="1">
        <f>SUM(OSRRefP22_4x_0)</f>
        <v>6514.81</v>
      </c>
      <c r="Q51" s="1"/>
      <c r="R51" s="5">
        <f t="shared" si="32"/>
        <v>3.6471114398863212E-2</v>
      </c>
      <c r="S51" s="1"/>
      <c r="T51" s="1">
        <f>SUM(OSRRefT22_4x_0)</f>
        <v>6542</v>
      </c>
      <c r="U51" s="1"/>
      <c r="V51" s="5">
        <f t="shared" si="33"/>
        <v>2.2794425087108015E-2</v>
      </c>
      <c r="W51" s="1"/>
      <c r="X51" s="1">
        <f t="shared" si="34"/>
        <v>-27.1899999999996</v>
      </c>
      <c r="Y51" s="1"/>
      <c r="Z51" s="5">
        <f t="shared" si="35"/>
        <v>-4.1562213390399878E-3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755.19</v>
      </c>
      <c r="E52" s="2"/>
      <c r="F52" s="7">
        <f t="shared" si="28"/>
        <v>2.7883334465616499E-2</v>
      </c>
      <c r="G52" s="2"/>
      <c r="H52" s="6">
        <v>1080</v>
      </c>
      <c r="I52" s="2"/>
      <c r="J52" s="7">
        <f t="shared" si="29"/>
        <v>2.3478260869565216E-2</v>
      </c>
      <c r="K52" s="2"/>
      <c r="L52" s="6">
        <f t="shared" si="30"/>
        <v>-324.80999999999995</v>
      </c>
      <c r="M52" s="2"/>
      <c r="N52" s="7">
        <f t="shared" si="31"/>
        <v>-0.30074999999999996</v>
      </c>
      <c r="O52" s="11"/>
      <c r="P52" s="6">
        <v>6514.81</v>
      </c>
      <c r="Q52" s="2"/>
      <c r="R52" s="7">
        <f t="shared" si="32"/>
        <v>3.6471114398863212E-2</v>
      </c>
      <c r="S52" s="2"/>
      <c r="T52" s="6">
        <v>6542</v>
      </c>
      <c r="U52" s="2"/>
      <c r="V52" s="7">
        <f t="shared" si="33"/>
        <v>2.2794425087108015E-2</v>
      </c>
      <c r="W52" s="2"/>
      <c r="X52" s="6">
        <f t="shared" si="34"/>
        <v>-27.1899999999996</v>
      </c>
      <c r="Y52" s="2"/>
      <c r="Z52" s="7">
        <f t="shared" si="35"/>
        <v>-4.1562213390399878E-3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2775.32</v>
      </c>
      <c r="E53" s="1"/>
      <c r="F53" s="5">
        <f t="shared" si="28"/>
        <v>0.10247113416373996</v>
      </c>
      <c r="G53" s="1"/>
      <c r="H53" s="1">
        <f>SUM(OSRRefH22_5x_0)</f>
        <v>2906</v>
      </c>
      <c r="I53" s="1"/>
      <c r="J53" s="5">
        <f t="shared" si="29"/>
        <v>6.3173913043478261E-2</v>
      </c>
      <c r="K53" s="1"/>
      <c r="L53" s="1">
        <f t="shared" si="30"/>
        <v>-130.67999999999984</v>
      </c>
      <c r="M53" s="1"/>
      <c r="N53" s="5">
        <f t="shared" si="31"/>
        <v>-4.4969029593943506E-2</v>
      </c>
      <c r="O53" s="13"/>
      <c r="P53" s="1">
        <f>SUM(OSRRefP22_5x_0)</f>
        <v>22202.560000000001</v>
      </c>
      <c r="Q53" s="1"/>
      <c r="R53" s="5">
        <f t="shared" si="32"/>
        <v>0.12429404782451436</v>
      </c>
      <c r="S53" s="1"/>
      <c r="T53" s="1">
        <f>SUM(OSRRefT22_5x_0)</f>
        <v>22498</v>
      </c>
      <c r="U53" s="1"/>
      <c r="V53" s="5">
        <f t="shared" si="33"/>
        <v>7.8390243902439025E-2</v>
      </c>
      <c r="W53" s="1"/>
      <c r="X53" s="1">
        <f t="shared" si="34"/>
        <v>-295.43999999999869</v>
      </c>
      <c r="Y53" s="1"/>
      <c r="Z53" s="5">
        <f t="shared" si="35"/>
        <v>-1.3131833940794679E-2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2775.32</v>
      </c>
      <c r="E54" s="2"/>
      <c r="F54" s="7">
        <f t="shared" si="28"/>
        <v>0.10247113416373996</v>
      </c>
      <c r="G54" s="2"/>
      <c r="H54" s="6">
        <v>2656</v>
      </c>
      <c r="I54" s="2"/>
      <c r="J54" s="7">
        <f t="shared" si="29"/>
        <v>5.7739130434782605E-2</v>
      </c>
      <c r="K54" s="2"/>
      <c r="L54" s="6">
        <f t="shared" si="30"/>
        <v>119.32000000000016</v>
      </c>
      <c r="M54" s="2"/>
      <c r="N54" s="7">
        <f t="shared" si="31"/>
        <v>4.4924698795180781E-2</v>
      </c>
      <c r="O54" s="11"/>
      <c r="P54" s="6">
        <v>22202.560000000001</v>
      </c>
      <c r="Q54" s="2"/>
      <c r="R54" s="7">
        <f t="shared" si="32"/>
        <v>0.12429404782451436</v>
      </c>
      <c r="S54" s="2"/>
      <c r="T54" s="6">
        <v>21248</v>
      </c>
      <c r="U54" s="2"/>
      <c r="V54" s="7">
        <f t="shared" si="33"/>
        <v>7.4034843205574907E-2</v>
      </c>
      <c r="W54" s="2"/>
      <c r="X54" s="6">
        <f t="shared" si="34"/>
        <v>954.56000000000131</v>
      </c>
      <c r="Y54" s="2"/>
      <c r="Z54" s="7">
        <f t="shared" si="35"/>
        <v>4.4924698795180781E-2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250</v>
      </c>
      <c r="I55" s="2"/>
      <c r="J55" s="7">
        <f t="shared" si="29"/>
        <v>5.434782608695652E-3</v>
      </c>
      <c r="K55" s="2"/>
      <c r="L55" s="6">
        <f t="shared" si="30"/>
        <v>-250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1250</v>
      </c>
      <c r="U55" s="2"/>
      <c r="V55" s="7">
        <f t="shared" si="33"/>
        <v>4.3554006968641113E-3</v>
      </c>
      <c r="W55" s="2"/>
      <c r="X55" s="6">
        <f t="shared" si="34"/>
        <v>-1250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5" si="36">IF(D$12=0,0,D56/D$12)</f>
        <v>0</v>
      </c>
      <c r="G56" s="1"/>
      <c r="H56" s="1">
        <f>SUM(OSRRefH22_6x_0)</f>
        <v>0</v>
      </c>
      <c r="I56" s="1"/>
      <c r="J56" s="5">
        <f t="shared" ref="J56:J65" si="37">IF(H$12=0,0,H56/H$12)</f>
        <v>0</v>
      </c>
      <c r="K56" s="1"/>
      <c r="L56" s="1">
        <f t="shared" ref="L56:L65" si="38">+D56-H56</f>
        <v>0</v>
      </c>
      <c r="M56" s="1"/>
      <c r="N56" s="5">
        <f t="shared" ref="N56:N65" si="39">IF(H56=0,0,L56/H56)</f>
        <v>0</v>
      </c>
      <c r="O56" s="13"/>
      <c r="P56" s="1">
        <f>SUM(OSRRefP22_6x_0)</f>
        <v>107.51</v>
      </c>
      <c r="Q56" s="1"/>
      <c r="R56" s="5">
        <f t="shared" ref="R56:R65" si="40">IF(P$12=0,0,P56/P$12)</f>
        <v>6.0186091521038736E-4</v>
      </c>
      <c r="S56" s="1"/>
      <c r="T56" s="1">
        <f>SUM(OSRRefT22_6x_0)</f>
        <v>300</v>
      </c>
      <c r="U56" s="1"/>
      <c r="V56" s="5">
        <f t="shared" ref="V56:V65" si="41">IF(T$12=0,0,T56/T$12)</f>
        <v>1.0452961672473868E-3</v>
      </c>
      <c r="W56" s="1"/>
      <c r="X56" s="1">
        <f t="shared" ref="X56:X65" si="42">+P56-T56</f>
        <v>-192.49</v>
      </c>
      <c r="Y56" s="1"/>
      <c r="Z56" s="5">
        <f t="shared" ref="Z56:Z65" si="43">IF(T56=0,0,X56/T56)</f>
        <v>-0.64163333333333339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107.51</v>
      </c>
      <c r="Q57" s="2"/>
      <c r="R57" s="7">
        <f t="shared" si="40"/>
        <v>6.0186091521038736E-4</v>
      </c>
      <c r="S57" s="2"/>
      <c r="T57" s="6">
        <v>300</v>
      </c>
      <c r="U57" s="2"/>
      <c r="V57" s="7">
        <f t="shared" si="41"/>
        <v>1.0452961672473868E-3</v>
      </c>
      <c r="W57" s="2"/>
      <c r="X57" s="6">
        <f t="shared" si="42"/>
        <v>-192.49</v>
      </c>
      <c r="Y57" s="2"/>
      <c r="Z57" s="7">
        <f t="shared" si="43"/>
        <v>-0.64163333333333339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64.02</v>
      </c>
      <c r="E58" s="1"/>
      <c r="F58" s="5">
        <f t="shared" si="36"/>
        <v>2.3637641818466453E-3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64.02</v>
      </c>
      <c r="M58" s="1"/>
      <c r="N58" s="5">
        <f t="shared" si="39"/>
        <v>0</v>
      </c>
      <c r="O58" s="13"/>
      <c r="P58" s="1">
        <f>SUM(OSRRefP22_7x_0)</f>
        <v>1337.22</v>
      </c>
      <c r="Q58" s="1"/>
      <c r="R58" s="5">
        <f t="shared" si="40"/>
        <v>7.4860055161160288E-3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1337.22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64.02</v>
      </c>
      <c r="E59" s="2"/>
      <c r="F59" s="7">
        <f t="shared" si="36"/>
        <v>2.3637641818466453E-3</v>
      </c>
      <c r="G59" s="2"/>
      <c r="H59" s="6"/>
      <c r="I59" s="2"/>
      <c r="J59" s="7">
        <f t="shared" si="37"/>
        <v>0</v>
      </c>
      <c r="K59" s="2"/>
      <c r="L59" s="6">
        <f t="shared" si="38"/>
        <v>64.02</v>
      </c>
      <c r="M59" s="2"/>
      <c r="N59" s="7">
        <f t="shared" si="39"/>
        <v>0</v>
      </c>
      <c r="O59" s="11"/>
      <c r="P59" s="6">
        <v>1337.22</v>
      </c>
      <c r="Q59" s="2"/>
      <c r="R59" s="7">
        <f t="shared" si="40"/>
        <v>7.4860055161160288E-3</v>
      </c>
      <c r="S59" s="2"/>
      <c r="T59" s="6"/>
      <c r="U59" s="2"/>
      <c r="V59" s="7">
        <f t="shared" si="41"/>
        <v>0</v>
      </c>
      <c r="W59" s="2"/>
      <c r="X59" s="6">
        <f t="shared" si="42"/>
        <v>1337.22</v>
      </c>
      <c r="Y59" s="2"/>
      <c r="Z59" s="7">
        <f t="shared" si="43"/>
        <v>0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SUM(OSRRefP22_8x_0)</f>
        <v>761.55</v>
      </c>
      <c r="Q60" s="1"/>
      <c r="R60" s="5">
        <f t="shared" si="40"/>
        <v>4.2632981116032974E-3</v>
      </c>
      <c r="S60" s="1"/>
      <c r="T60" s="1">
        <f>SUM(OSRRefT22_8x_0)</f>
        <v>0</v>
      </c>
      <c r="U60" s="1"/>
      <c r="V60" s="5">
        <f t="shared" si="41"/>
        <v>0</v>
      </c>
      <c r="W60" s="1"/>
      <c r="X60" s="1">
        <f t="shared" si="42"/>
        <v>761.55</v>
      </c>
      <c r="Y60" s="1"/>
      <c r="Z60" s="5">
        <f t="shared" si="43"/>
        <v>0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761.55</v>
      </c>
      <c r="Q61" s="2"/>
      <c r="R61" s="7">
        <f t="shared" si="40"/>
        <v>4.2632981116032974E-3</v>
      </c>
      <c r="S61" s="2"/>
      <c r="T61" s="6"/>
      <c r="U61" s="2"/>
      <c r="V61" s="7">
        <f t="shared" si="41"/>
        <v>0</v>
      </c>
      <c r="W61" s="2"/>
      <c r="X61" s="6">
        <f t="shared" si="42"/>
        <v>761.55</v>
      </c>
      <c r="Y61" s="2"/>
      <c r="Z61" s="7">
        <f t="shared" si="43"/>
        <v>0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0</v>
      </c>
      <c r="E62" s="1"/>
      <c r="F62" s="5">
        <f t="shared" si="36"/>
        <v>0</v>
      </c>
      <c r="G62" s="1"/>
      <c r="H62" s="1">
        <f>SUM(OSRRefH22_9x_0)</f>
        <v>50</v>
      </c>
      <c r="I62" s="1"/>
      <c r="J62" s="5">
        <f t="shared" si="37"/>
        <v>1.0869565217391304E-3</v>
      </c>
      <c r="K62" s="1"/>
      <c r="L62" s="1">
        <f t="shared" si="38"/>
        <v>-50</v>
      </c>
      <c r="M62" s="1"/>
      <c r="N62" s="5">
        <f t="shared" si="39"/>
        <v>-1</v>
      </c>
      <c r="O62" s="13"/>
      <c r="P62" s="1">
        <f>SUM(OSRRefP22_9x_0)</f>
        <v>5425.2999999999993</v>
      </c>
      <c r="Q62" s="1"/>
      <c r="R62" s="5">
        <f t="shared" si="40"/>
        <v>3.0371835394762479E-2</v>
      </c>
      <c r="S62" s="1"/>
      <c r="T62" s="1">
        <f>SUM(OSRRefT22_9x_0)</f>
        <v>1200</v>
      </c>
      <c r="U62" s="1"/>
      <c r="V62" s="5">
        <f t="shared" si="41"/>
        <v>4.181184668989547E-3</v>
      </c>
      <c r="W62" s="1"/>
      <c r="X62" s="1">
        <f t="shared" si="42"/>
        <v>4225.2999999999993</v>
      </c>
      <c r="Y62" s="1"/>
      <c r="Z62" s="5">
        <f t="shared" si="43"/>
        <v>3.5210833333333329</v>
      </c>
    </row>
    <row r="63" spans="1:26" s="24" customFormat="1" hidden="1" outlineLevel="2" x14ac:dyDescent="0.25">
      <c r="A63" s="25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>
        <v>50</v>
      </c>
      <c r="I63" s="2"/>
      <c r="J63" s="7">
        <f t="shared" si="37"/>
        <v>1.0869565217391304E-3</v>
      </c>
      <c r="K63" s="2"/>
      <c r="L63" s="6">
        <f t="shared" si="38"/>
        <v>-50</v>
      </c>
      <c r="M63" s="2"/>
      <c r="N63" s="7">
        <f t="shared" si="39"/>
        <v>-1</v>
      </c>
      <c r="O63" s="11"/>
      <c r="P63" s="6">
        <v>2186.54</v>
      </c>
      <c r="Q63" s="2"/>
      <c r="R63" s="7">
        <f t="shared" si="40"/>
        <v>1.2240656362609249E-2</v>
      </c>
      <c r="S63" s="2"/>
      <c r="T63" s="6">
        <v>400</v>
      </c>
      <c r="U63" s="2"/>
      <c r="V63" s="7">
        <f t="shared" si="41"/>
        <v>1.3937282229965157E-3</v>
      </c>
      <c r="W63" s="2"/>
      <c r="X63" s="6">
        <f t="shared" si="42"/>
        <v>1786.54</v>
      </c>
      <c r="Y63" s="2"/>
      <c r="Z63" s="7">
        <f t="shared" si="43"/>
        <v>4.4663500000000003</v>
      </c>
    </row>
    <row r="64" spans="1:26" s="24" customFormat="1" hidden="1" outlineLevel="2" x14ac:dyDescent="0.25">
      <c r="A64" s="25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840.28</v>
      </c>
      <c r="Q64" s="2"/>
      <c r="R64" s="7">
        <f t="shared" si="40"/>
        <v>4.7040432502370409E-3</v>
      </c>
      <c r="S64" s="2"/>
      <c r="T64" s="6"/>
      <c r="U64" s="2"/>
      <c r="V64" s="7">
        <f t="shared" si="41"/>
        <v>0</v>
      </c>
      <c r="W64" s="2"/>
      <c r="X64" s="6">
        <f t="shared" si="42"/>
        <v>840.28</v>
      </c>
      <c r="Y64" s="2"/>
      <c r="Z64" s="7">
        <f t="shared" si="43"/>
        <v>0</v>
      </c>
    </row>
    <row r="65" spans="1:26" s="24" customFormat="1" hidden="1" outlineLevel="2" x14ac:dyDescent="0.25">
      <c r="A65" s="25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2398.48</v>
      </c>
      <c r="Q65" s="2"/>
      <c r="R65" s="7">
        <f t="shared" si="40"/>
        <v>1.3427135781916193E-2</v>
      </c>
      <c r="S65" s="2"/>
      <c r="T65" s="6">
        <v>800</v>
      </c>
      <c r="U65" s="2"/>
      <c r="V65" s="7">
        <f t="shared" si="41"/>
        <v>2.7874564459930314E-3</v>
      </c>
      <c r="W65" s="2"/>
      <c r="X65" s="6">
        <f t="shared" si="42"/>
        <v>1598.48</v>
      </c>
      <c r="Y65" s="2"/>
      <c r="Z65" s="7">
        <f t="shared" si="43"/>
        <v>1.9981</v>
      </c>
    </row>
    <row r="66" spans="1:26" s="27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65.599999999999994</v>
      </c>
      <c r="E66" s="1"/>
      <c r="F66" s="5">
        <f t="shared" ref="F66:F69" si="44">IF(D$12=0,0,D66/D$12)</f>
        <v>2.4221013797116513E-3</v>
      </c>
      <c r="G66" s="1"/>
      <c r="H66" s="1">
        <f>SUM(OSRRefH22_10x_0)</f>
        <v>546</v>
      </c>
      <c r="I66" s="1"/>
      <c r="J66" s="5">
        <f t="shared" ref="J66:J69" si="45">IF(H$12=0,0,H66/H$12)</f>
        <v>1.1869565217391305E-2</v>
      </c>
      <c r="K66" s="1"/>
      <c r="L66" s="1">
        <f t="shared" ref="L66:L69" si="46">+D66-H66</f>
        <v>-480.4</v>
      </c>
      <c r="M66" s="1"/>
      <c r="N66" s="5">
        <f t="shared" ref="N66:N69" si="47">IF(H66=0,0,L66/H66)</f>
        <v>-0.87985347985347984</v>
      </c>
      <c r="O66" s="13"/>
      <c r="P66" s="1">
        <f>SUM(OSRRefP22_10x_0)</f>
        <v>1038.57</v>
      </c>
      <c r="Q66" s="1"/>
      <c r="R66" s="5">
        <f t="shared" ref="R66:R69" si="48">IF(P$12=0,0,P66/P$12)</f>
        <v>5.8141074384713233E-3</v>
      </c>
      <c r="S66" s="1"/>
      <c r="T66" s="1">
        <f>SUM(OSRRefT22_10x_0)</f>
        <v>4368</v>
      </c>
      <c r="U66" s="1"/>
      <c r="V66" s="5">
        <f t="shared" ref="V66:V69" si="49">IF(T$12=0,0,T66/T$12)</f>
        <v>1.5219512195121951E-2</v>
      </c>
      <c r="W66" s="1"/>
      <c r="X66" s="1">
        <f t="shared" ref="X66:X69" si="50">+P66-T66</f>
        <v>-3329.4300000000003</v>
      </c>
      <c r="Y66" s="1"/>
      <c r="Z66" s="5">
        <f t="shared" ref="Z66:Z69" si="51">IF(T66=0,0,X66/T66)</f>
        <v>-0.76223214285714291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4"/>
        <v>0</v>
      </c>
      <c r="G67" s="2"/>
      <c r="H67" s="6">
        <v>50</v>
      </c>
      <c r="I67" s="2"/>
      <c r="J67" s="7">
        <f t="shared" si="45"/>
        <v>1.0869565217391304E-3</v>
      </c>
      <c r="K67" s="2"/>
      <c r="L67" s="6">
        <f t="shared" si="46"/>
        <v>-50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400</v>
      </c>
      <c r="U67" s="2"/>
      <c r="V67" s="7">
        <f t="shared" si="49"/>
        <v>1.3937282229965157E-3</v>
      </c>
      <c r="W67" s="2"/>
      <c r="X67" s="6">
        <f t="shared" si="50"/>
        <v>-400</v>
      </c>
      <c r="Y67" s="2"/>
      <c r="Z67" s="7">
        <f t="shared" si="51"/>
        <v>-1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4"/>
        <v>0</v>
      </c>
      <c r="G68" s="2"/>
      <c r="H68" s="6">
        <v>396</v>
      </c>
      <c r="I68" s="2"/>
      <c r="J68" s="7">
        <f t="shared" si="45"/>
        <v>8.6086956521739134E-3</v>
      </c>
      <c r="K68" s="2"/>
      <c r="L68" s="6">
        <f t="shared" si="46"/>
        <v>-396</v>
      </c>
      <c r="M68" s="2"/>
      <c r="N68" s="7">
        <f t="shared" si="47"/>
        <v>-1</v>
      </c>
      <c r="O68" s="11"/>
      <c r="P68" s="6">
        <v>637</v>
      </c>
      <c r="Q68" s="2"/>
      <c r="R68" s="7">
        <f t="shared" si="48"/>
        <v>3.5660441167241815E-3</v>
      </c>
      <c r="S68" s="2"/>
      <c r="T68" s="6">
        <v>3168</v>
      </c>
      <c r="U68" s="2"/>
      <c r="V68" s="7">
        <f t="shared" si="49"/>
        <v>1.1038327526132404E-2</v>
      </c>
      <c r="W68" s="2"/>
      <c r="X68" s="6">
        <f t="shared" si="50"/>
        <v>-2531</v>
      </c>
      <c r="Y68" s="2"/>
      <c r="Z68" s="7">
        <f t="shared" si="51"/>
        <v>-0.79892676767676762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65.599999999999994</v>
      </c>
      <c r="E69" s="2"/>
      <c r="F69" s="7">
        <f t="shared" si="44"/>
        <v>2.4221013797116513E-3</v>
      </c>
      <c r="G69" s="2"/>
      <c r="H69" s="6">
        <v>100</v>
      </c>
      <c r="I69" s="2"/>
      <c r="J69" s="7">
        <f t="shared" si="45"/>
        <v>2.1739130434782609E-3</v>
      </c>
      <c r="K69" s="2"/>
      <c r="L69" s="6">
        <f t="shared" si="46"/>
        <v>-34.400000000000006</v>
      </c>
      <c r="M69" s="2"/>
      <c r="N69" s="7">
        <f t="shared" si="47"/>
        <v>-0.34400000000000008</v>
      </c>
      <c r="O69" s="11"/>
      <c r="P69" s="6">
        <v>401.57</v>
      </c>
      <c r="Q69" s="2"/>
      <c r="R69" s="7">
        <f t="shared" si="48"/>
        <v>2.2480633217471422E-3</v>
      </c>
      <c r="S69" s="2"/>
      <c r="T69" s="6">
        <v>800</v>
      </c>
      <c r="U69" s="2"/>
      <c r="V69" s="7">
        <f t="shared" si="49"/>
        <v>2.7874564459930314E-3</v>
      </c>
      <c r="W69" s="2"/>
      <c r="X69" s="6">
        <f t="shared" si="50"/>
        <v>-398.43</v>
      </c>
      <c r="Y69" s="2"/>
      <c r="Z69" s="7">
        <f t="shared" si="51"/>
        <v>-0.49803750000000002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SUM(OSRRefD22_11x_0)</f>
        <v>161.59</v>
      </c>
      <c r="E70" s="1"/>
      <c r="F70" s="5">
        <f t="shared" ref="F70:F76" si="52">IF(D$12=0,0,D70/D$12)</f>
        <v>5.9662707613964295E-3</v>
      </c>
      <c r="G70" s="1"/>
      <c r="H70" s="1">
        <f>SUM(OSRRefH22_11x_0)</f>
        <v>411</v>
      </c>
      <c r="I70" s="1"/>
      <c r="J70" s="5">
        <f t="shared" ref="J70:J76" si="53">IF(H$12=0,0,H70/H$12)</f>
        <v>8.9347826086956517E-3</v>
      </c>
      <c r="K70" s="1"/>
      <c r="L70" s="1">
        <f t="shared" ref="L70:L76" si="54">+D70-H70</f>
        <v>-249.41</v>
      </c>
      <c r="M70" s="1"/>
      <c r="N70" s="5">
        <f t="shared" ref="N70:N76" si="55">IF(H70=0,0,L70/H70)</f>
        <v>-0.60683698296836985</v>
      </c>
      <c r="O70" s="13"/>
      <c r="P70" s="1">
        <f>SUM(OSRRefP22_11x_0)</f>
        <v>6012.74</v>
      </c>
      <c r="Q70" s="1"/>
      <c r="R70" s="5">
        <f t="shared" ref="R70:R76" si="56">IF(P$12=0,0,P70/P$12)</f>
        <v>3.3660433441745928E-2</v>
      </c>
      <c r="S70" s="1"/>
      <c r="T70" s="1">
        <f>SUM(OSRRefT22_11x_0)</f>
        <v>3688</v>
      </c>
      <c r="U70" s="1"/>
      <c r="V70" s="5">
        <f t="shared" ref="V70:V76" si="57">IF(T$12=0,0,T70/T$12)</f>
        <v>1.2850174216027875E-2</v>
      </c>
      <c r="W70" s="1"/>
      <c r="X70" s="1">
        <f t="shared" ref="X70:X76" si="58">+P70-T70</f>
        <v>2324.7399999999998</v>
      </c>
      <c r="Y70" s="1"/>
      <c r="Z70" s="5">
        <f t="shared" ref="Z70:Z76" si="59">IF(T70=0,0,X70/T70)</f>
        <v>0.63035249457700648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2"/>
        <v>0</v>
      </c>
      <c r="G71" s="2"/>
      <c r="H71" s="6">
        <v>11</v>
      </c>
      <c r="I71" s="2"/>
      <c r="J71" s="7">
        <f t="shared" si="53"/>
        <v>2.391304347826087E-4</v>
      </c>
      <c r="K71" s="2"/>
      <c r="L71" s="6">
        <f t="shared" si="54"/>
        <v>-11</v>
      </c>
      <c r="M71" s="2"/>
      <c r="N71" s="7">
        <f t="shared" si="55"/>
        <v>-1</v>
      </c>
      <c r="O71" s="11"/>
      <c r="P71" s="6"/>
      <c r="Q71" s="2"/>
      <c r="R71" s="7">
        <f t="shared" si="56"/>
        <v>0</v>
      </c>
      <c r="S71" s="2"/>
      <c r="T71" s="6">
        <v>88</v>
      </c>
      <c r="U71" s="2"/>
      <c r="V71" s="7">
        <f t="shared" si="57"/>
        <v>3.0662020905923343E-4</v>
      </c>
      <c r="W71" s="2"/>
      <c r="X71" s="6">
        <f t="shared" si="58"/>
        <v>-88</v>
      </c>
      <c r="Y71" s="2"/>
      <c r="Z71" s="7">
        <f t="shared" si="59"/>
        <v>-1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2898.22</v>
      </c>
      <c r="Q72" s="2"/>
      <c r="R72" s="7">
        <f t="shared" si="56"/>
        <v>1.622477296698957E-2</v>
      </c>
      <c r="S72" s="2"/>
      <c r="T72" s="6">
        <v>300</v>
      </c>
      <c r="U72" s="2"/>
      <c r="V72" s="7">
        <f t="shared" si="57"/>
        <v>1.0452961672473868E-3</v>
      </c>
      <c r="W72" s="2"/>
      <c r="X72" s="6">
        <f t="shared" si="58"/>
        <v>2598.2199999999998</v>
      </c>
      <c r="Y72" s="2"/>
      <c r="Z72" s="7">
        <f t="shared" si="59"/>
        <v>8.660733333333333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>
        <v>649.99</v>
      </c>
      <c r="Q73" s="2"/>
      <c r="R73" s="7">
        <f t="shared" si="56"/>
        <v>3.6387645454153072E-3</v>
      </c>
      <c r="S73" s="2"/>
      <c r="T73" s="6"/>
      <c r="U73" s="2"/>
      <c r="V73" s="7">
        <f t="shared" si="57"/>
        <v>0</v>
      </c>
      <c r="W73" s="2"/>
      <c r="X73" s="6">
        <f t="shared" si="58"/>
        <v>649.99</v>
      </c>
      <c r="Y73" s="2"/>
      <c r="Z73" s="7">
        <f t="shared" si="59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>
        <v>161.59</v>
      </c>
      <c r="E74" s="2"/>
      <c r="F74" s="7">
        <f t="shared" si="52"/>
        <v>5.9662707613964295E-3</v>
      </c>
      <c r="G74" s="2"/>
      <c r="H74" s="6">
        <v>400</v>
      </c>
      <c r="I74" s="2"/>
      <c r="J74" s="7">
        <f t="shared" si="53"/>
        <v>8.6956521739130436E-3</v>
      </c>
      <c r="K74" s="2"/>
      <c r="L74" s="6">
        <f t="shared" si="54"/>
        <v>-238.41</v>
      </c>
      <c r="M74" s="2"/>
      <c r="N74" s="7">
        <f t="shared" si="55"/>
        <v>-0.59602500000000003</v>
      </c>
      <c r="O74" s="11"/>
      <c r="P74" s="6">
        <v>1724.86</v>
      </c>
      <c r="Q74" s="2"/>
      <c r="R74" s="7">
        <f t="shared" si="56"/>
        <v>9.6560861148710705E-3</v>
      </c>
      <c r="S74" s="2"/>
      <c r="T74" s="6">
        <v>2700</v>
      </c>
      <c r="U74" s="2"/>
      <c r="V74" s="7">
        <f t="shared" si="57"/>
        <v>9.4076655052264813E-3</v>
      </c>
      <c r="W74" s="2"/>
      <c r="X74" s="6">
        <f t="shared" si="58"/>
        <v>-975.1400000000001</v>
      </c>
      <c r="Y74" s="2"/>
      <c r="Z74" s="7">
        <f t="shared" si="59"/>
        <v>-0.36116296296296302</v>
      </c>
    </row>
    <row r="75" spans="1:26" s="24" customFormat="1" hidden="1" outlineLevel="2" x14ac:dyDescent="0.25">
      <c r="A75" s="25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102.64</v>
      </c>
      <c r="Q75" s="2"/>
      <c r="R75" s="7">
        <f t="shared" si="56"/>
        <v>5.7459775218299844E-4</v>
      </c>
      <c r="S75" s="2"/>
      <c r="T75" s="6"/>
      <c r="U75" s="2"/>
      <c r="V75" s="7">
        <f t="shared" si="57"/>
        <v>0</v>
      </c>
      <c r="W75" s="2"/>
      <c r="X75" s="6">
        <f t="shared" si="58"/>
        <v>102.64</v>
      </c>
      <c r="Y75" s="2"/>
      <c r="Z75" s="7">
        <f t="shared" si="59"/>
        <v>0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637.03</v>
      </c>
      <c r="Q76" s="2"/>
      <c r="R76" s="7">
        <f t="shared" si="56"/>
        <v>3.5662120622869786E-3</v>
      </c>
      <c r="S76" s="2"/>
      <c r="T76" s="6">
        <v>600</v>
      </c>
      <c r="U76" s="2"/>
      <c r="V76" s="7">
        <f t="shared" si="57"/>
        <v>2.0905923344947735E-3</v>
      </c>
      <c r="W76" s="2"/>
      <c r="X76" s="6">
        <f t="shared" si="58"/>
        <v>37.029999999999973</v>
      </c>
      <c r="Y76" s="2"/>
      <c r="Z76" s="7">
        <f t="shared" si="59"/>
        <v>6.1716666666666621E-2</v>
      </c>
    </row>
    <row r="77" spans="1:26" s="27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86</v>
      </c>
      <c r="E77" s="1"/>
      <c r="F77" s="5">
        <f t="shared" ref="F77:F79" si="60">IF(D$12=0,0,D77/D$12)</f>
        <v>3.1753158331585675E-3</v>
      </c>
      <c r="G77" s="1"/>
      <c r="H77" s="1">
        <f>SUM(OSRRefH22_12x_0)</f>
        <v>95</v>
      </c>
      <c r="I77" s="1"/>
      <c r="J77" s="5">
        <f t="shared" ref="J77:J79" si="61">IF(H$12=0,0,H77/H$12)</f>
        <v>2.0652173913043477E-3</v>
      </c>
      <c r="K77" s="1"/>
      <c r="L77" s="1">
        <f t="shared" ref="L77:L79" si="62">+D77-H77</f>
        <v>-9</v>
      </c>
      <c r="M77" s="1"/>
      <c r="N77" s="5">
        <f t="shared" ref="N77:N79" si="63">IF(H77=0,0,L77/H77)</f>
        <v>-9.4736842105263161E-2</v>
      </c>
      <c r="O77" s="13"/>
      <c r="P77" s="1">
        <f>SUM(OSRRefP22_12x_0)</f>
        <v>693.5</v>
      </c>
      <c r="Q77" s="1"/>
      <c r="R77" s="5">
        <f t="shared" ref="R77:R79" si="64">IF(P$12=0,0,P77/P$12)</f>
        <v>3.8823415933253061E-3</v>
      </c>
      <c r="S77" s="1"/>
      <c r="T77" s="1">
        <f>SUM(OSRRefT22_12x_0)</f>
        <v>760</v>
      </c>
      <c r="U77" s="1"/>
      <c r="V77" s="5">
        <f t="shared" ref="V77:V79" si="65">IF(T$12=0,0,T77/T$12)</f>
        <v>2.6480836236933798E-3</v>
      </c>
      <c r="W77" s="1"/>
      <c r="X77" s="1">
        <f t="shared" ref="X77:X79" si="66">+P77-T77</f>
        <v>-66.5</v>
      </c>
      <c r="Y77" s="1"/>
      <c r="Z77" s="5">
        <f t="shared" ref="Z77:Z79" si="67">IF(T77=0,0,X77/T77)</f>
        <v>-8.7499999999999994E-2</v>
      </c>
    </row>
    <row r="78" spans="1:26" s="24" customFormat="1" hidden="1" outlineLevel="2" x14ac:dyDescent="0.25">
      <c r="A78" s="25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60"/>
        <v>0</v>
      </c>
      <c r="G78" s="2"/>
      <c r="H78" s="6">
        <v>50</v>
      </c>
      <c r="I78" s="2"/>
      <c r="J78" s="7">
        <f t="shared" si="61"/>
        <v>1.0869565217391304E-3</v>
      </c>
      <c r="K78" s="2"/>
      <c r="L78" s="6">
        <f t="shared" si="62"/>
        <v>-50</v>
      </c>
      <c r="M78" s="2"/>
      <c r="N78" s="7">
        <f t="shared" si="63"/>
        <v>-1</v>
      </c>
      <c r="O78" s="11"/>
      <c r="P78" s="6"/>
      <c r="Q78" s="2"/>
      <c r="R78" s="7">
        <f t="shared" si="64"/>
        <v>0</v>
      </c>
      <c r="S78" s="2"/>
      <c r="T78" s="6">
        <v>400</v>
      </c>
      <c r="U78" s="2"/>
      <c r="V78" s="7">
        <f t="shared" si="65"/>
        <v>1.3937282229965157E-3</v>
      </c>
      <c r="W78" s="2"/>
      <c r="X78" s="6">
        <f t="shared" si="66"/>
        <v>-400</v>
      </c>
      <c r="Y78" s="2"/>
      <c r="Z78" s="7">
        <f t="shared" si="67"/>
        <v>-1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86</v>
      </c>
      <c r="E79" s="2"/>
      <c r="F79" s="7">
        <f t="shared" si="60"/>
        <v>3.1753158331585675E-3</v>
      </c>
      <c r="G79" s="2"/>
      <c r="H79" s="6">
        <v>45</v>
      </c>
      <c r="I79" s="2"/>
      <c r="J79" s="7">
        <f t="shared" si="61"/>
        <v>9.7826086956521747E-4</v>
      </c>
      <c r="K79" s="2"/>
      <c r="L79" s="6">
        <f t="shared" si="62"/>
        <v>41</v>
      </c>
      <c r="M79" s="2"/>
      <c r="N79" s="7">
        <f t="shared" si="63"/>
        <v>0.91111111111111109</v>
      </c>
      <c r="O79" s="11"/>
      <c r="P79" s="6">
        <v>693.5</v>
      </c>
      <c r="Q79" s="2"/>
      <c r="R79" s="7">
        <f t="shared" si="64"/>
        <v>3.8823415933253061E-3</v>
      </c>
      <c r="S79" s="2"/>
      <c r="T79" s="6">
        <v>360</v>
      </c>
      <c r="U79" s="2"/>
      <c r="V79" s="7">
        <f t="shared" si="65"/>
        <v>1.2543554006968641E-3</v>
      </c>
      <c r="W79" s="2"/>
      <c r="X79" s="6">
        <f t="shared" si="66"/>
        <v>333.5</v>
      </c>
      <c r="Y79" s="2"/>
      <c r="Z79" s="7">
        <f t="shared" si="67"/>
        <v>0.92638888888888893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18</v>
      </c>
      <c r="E80" s="1"/>
      <c r="F80" s="5">
        <f t="shared" ref="F80:F83" si="68">IF(D$12=0,0,D80/D$12)</f>
        <v>6.6460098833551412E-4</v>
      </c>
      <c r="G80" s="1"/>
      <c r="H80" s="1">
        <f>SUM(OSRRefH22_13x_0)</f>
        <v>0</v>
      </c>
      <c r="I80" s="1"/>
      <c r="J80" s="5">
        <f t="shared" ref="J80:J83" si="69">IF(H$12=0,0,H80/H$12)</f>
        <v>0</v>
      </c>
      <c r="K80" s="1"/>
      <c r="L80" s="1">
        <f t="shared" ref="L80:L83" si="70">+D80-H80</f>
        <v>18</v>
      </c>
      <c r="M80" s="1"/>
      <c r="N80" s="5">
        <f t="shared" ref="N80:N83" si="71">IF(H80=0,0,L80/H80)</f>
        <v>0</v>
      </c>
      <c r="O80" s="13"/>
      <c r="P80" s="1">
        <f>SUM(OSRRefP22_13x_0)</f>
        <v>170.95</v>
      </c>
      <c r="Q80" s="1"/>
      <c r="R80" s="5">
        <f t="shared" ref="R80:R83" si="72">IF(P$12=0,0,P80/P$12)</f>
        <v>9.5700979867189759E-4</v>
      </c>
      <c r="S80" s="1"/>
      <c r="T80" s="1">
        <f>SUM(OSRRefT22_13x_0)</f>
        <v>2000</v>
      </c>
      <c r="U80" s="1"/>
      <c r="V80" s="5">
        <f t="shared" ref="V80:V83" si="73">IF(T$12=0,0,T80/T$12)</f>
        <v>6.9686411149825784E-3</v>
      </c>
      <c r="W80" s="1"/>
      <c r="X80" s="1">
        <f t="shared" ref="X80:X83" si="74">+P80-T80</f>
        <v>-1829.05</v>
      </c>
      <c r="Y80" s="1"/>
      <c r="Z80" s="5">
        <f t="shared" ref="Z80:Z83" si="75">IF(T80=0,0,X80/T80)</f>
        <v>-0.91452500000000003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>
        <v>18</v>
      </c>
      <c r="E81" s="2"/>
      <c r="F81" s="7">
        <f t="shared" si="68"/>
        <v>6.6460098833551412E-4</v>
      </c>
      <c r="G81" s="2"/>
      <c r="H81" s="6"/>
      <c r="I81" s="2"/>
      <c r="J81" s="7">
        <f t="shared" si="69"/>
        <v>0</v>
      </c>
      <c r="K81" s="2"/>
      <c r="L81" s="6">
        <f t="shared" si="70"/>
        <v>18</v>
      </c>
      <c r="M81" s="2"/>
      <c r="N81" s="7">
        <f t="shared" si="71"/>
        <v>0</v>
      </c>
      <c r="O81" s="11"/>
      <c r="P81" s="6">
        <v>170.95</v>
      </c>
      <c r="Q81" s="2"/>
      <c r="R81" s="7">
        <f t="shared" si="72"/>
        <v>9.5700979867189759E-4</v>
      </c>
      <c r="S81" s="2"/>
      <c r="T81" s="6">
        <v>2000</v>
      </c>
      <c r="U81" s="2"/>
      <c r="V81" s="7">
        <f t="shared" si="73"/>
        <v>6.9686411149825784E-3</v>
      </c>
      <c r="W81" s="2"/>
      <c r="X81" s="6">
        <f t="shared" si="74"/>
        <v>-1829.05</v>
      </c>
      <c r="Y81" s="2"/>
      <c r="Z81" s="7">
        <f t="shared" si="75"/>
        <v>-0.91452500000000003</v>
      </c>
    </row>
    <row r="82" spans="1:26" s="27" customFormat="1" outlineLevel="1" collapsed="1" x14ac:dyDescent="0.25">
      <c r="A82" s="26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SUM(OSRRefD22_14x_0)</f>
        <v>0</v>
      </c>
      <c r="E82" s="1"/>
      <c r="F82" s="5">
        <f t="shared" si="68"/>
        <v>0</v>
      </c>
      <c r="G82" s="1"/>
      <c r="H82" s="1">
        <f>SUM(OSRRefH22_14x_0)</f>
        <v>0</v>
      </c>
      <c r="I82" s="1"/>
      <c r="J82" s="5">
        <f t="shared" si="69"/>
        <v>0</v>
      </c>
      <c r="K82" s="1"/>
      <c r="L82" s="1">
        <f t="shared" si="70"/>
        <v>0</v>
      </c>
      <c r="M82" s="1"/>
      <c r="N82" s="5">
        <f t="shared" si="71"/>
        <v>0</v>
      </c>
      <c r="O82" s="13"/>
      <c r="P82" s="1">
        <f>SUM(OSRRefP22_14x_0)</f>
        <v>0</v>
      </c>
      <c r="Q82" s="1"/>
      <c r="R82" s="5">
        <f t="shared" si="72"/>
        <v>0</v>
      </c>
      <c r="S82" s="1"/>
      <c r="T82" s="1">
        <f>SUM(OSRRefT22_14x_0)</f>
        <v>2000</v>
      </c>
      <c r="U82" s="1"/>
      <c r="V82" s="5">
        <f t="shared" si="73"/>
        <v>6.9686411149825784E-3</v>
      </c>
      <c r="W82" s="1"/>
      <c r="X82" s="1">
        <f t="shared" si="74"/>
        <v>-2000</v>
      </c>
      <c r="Y82" s="1"/>
      <c r="Z82" s="5">
        <f t="shared" si="75"/>
        <v>-1</v>
      </c>
    </row>
    <row r="83" spans="1:26" s="24" customFormat="1" hidden="1" outlineLevel="2" x14ac:dyDescent="0.25">
      <c r="A83" s="25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/>
      <c r="Q83" s="2"/>
      <c r="R83" s="7">
        <f t="shared" si="72"/>
        <v>0</v>
      </c>
      <c r="S83" s="2"/>
      <c r="T83" s="6">
        <v>2000</v>
      </c>
      <c r="U83" s="2"/>
      <c r="V83" s="7">
        <f t="shared" si="73"/>
        <v>6.9686411149825784E-3</v>
      </c>
      <c r="W83" s="2"/>
      <c r="X83" s="6">
        <f t="shared" si="74"/>
        <v>-2000</v>
      </c>
      <c r="Y83" s="2"/>
      <c r="Z83" s="7">
        <f t="shared" si="75"/>
        <v>-1</v>
      </c>
    </row>
    <row r="84" spans="1:26" s="53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9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1">
        <f>+D23-D25+D85</f>
        <v>-3321.6500000000015</v>
      </c>
      <c r="E87" s="14"/>
      <c r="F87" s="22">
        <f>IF(D$12=0,0,D87/D$12)</f>
        <v>-0.12264288182803676</v>
      </c>
      <c r="G87" s="14"/>
      <c r="H87" s="21">
        <f>+H23-H25+H85</f>
        <v>10982.827343200002</v>
      </c>
      <c r="I87" s="14"/>
      <c r="J87" s="22">
        <f>IF(H$12=0,0,H87/H$12)</f>
        <v>0.23875711615652179</v>
      </c>
      <c r="K87" s="15"/>
      <c r="L87" s="21">
        <f>+D87-H87</f>
        <v>-14304.477343200004</v>
      </c>
      <c r="M87" s="15"/>
      <c r="N87" s="22">
        <f>IF(H87=0,0,L87/H87)</f>
        <v>-1.3024403367368418</v>
      </c>
      <c r="O87" s="29"/>
      <c r="P87" s="21">
        <f>+P23-P25+P85</f>
        <v>-49224.830000000031</v>
      </c>
      <c r="Q87" s="14"/>
      <c r="R87" s="22">
        <f>IF(P$12=0,0,P87/P$12)</f>
        <v>-0.27556972593131568</v>
      </c>
      <c r="S87" s="14"/>
      <c r="T87" s="21">
        <f>+T23-T25+T85</f>
        <v>51136.951659800019</v>
      </c>
      <c r="U87" s="14"/>
      <c r="V87" s="22">
        <f>IF(T$12=0,0,T87/T$12)</f>
        <v>0.1781775319156795</v>
      </c>
      <c r="W87" s="15"/>
      <c r="X87" s="21">
        <f>+P87-T87</f>
        <v>-100361.78165980005</v>
      </c>
      <c r="Y87" s="15"/>
      <c r="Z87" s="22">
        <f>IF(T87=0,0,X87/T87)</f>
        <v>-1.9626078286300521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2401.8200000000002</v>
      </c>
      <c r="E89" s="4"/>
      <c r="F89" s="12">
        <f>IF(D$12=0,0,D89/D$12)</f>
        <v>8.8680663655778036E-2</v>
      </c>
      <c r="G89" s="4"/>
      <c r="H89" s="4">
        <v>4839</v>
      </c>
      <c r="I89" s="4"/>
      <c r="J89" s="12">
        <f>IF(H$12=0,0,H89/H$12)</f>
        <v>0.10519565217391304</v>
      </c>
      <c r="K89" s="4"/>
      <c r="L89" s="4">
        <f>+D89-H89</f>
        <v>-2437.1799999999998</v>
      </c>
      <c r="M89" s="4"/>
      <c r="N89" s="12">
        <f>IF(H89=0,0,L89/H89)</f>
        <v>-0.50365364744781982</v>
      </c>
      <c r="O89" s="10"/>
      <c r="P89" s="4">
        <v>18205.86</v>
      </c>
      <c r="Q89" s="4"/>
      <c r="R89" s="12">
        <f>IF(P$12=0,0,P89/P$12)</f>
        <v>0.10191978013014774</v>
      </c>
      <c r="S89" s="4"/>
      <c r="T89" s="4">
        <v>34512</v>
      </c>
      <c r="U89" s="4"/>
      <c r="V89" s="12">
        <f>IF(T$12=0,0,T89/T$12)</f>
        <v>0.12025087108013938</v>
      </c>
      <c r="W89" s="4"/>
      <c r="X89" s="4">
        <f>+P89-T89</f>
        <v>-16306.14</v>
      </c>
      <c r="Y89" s="4"/>
      <c r="Z89" s="12">
        <f>IF(T89=0,0,X89/T89)</f>
        <v>-0.47247739916550763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1">
        <f>+D87-D89</f>
        <v>-5723.4700000000012</v>
      </c>
      <c r="E91" s="14"/>
      <c r="F91" s="32">
        <f>IF(D$12=0,0,D91/D$12)</f>
        <v>-0.21132354548381477</v>
      </c>
      <c r="G91" s="14"/>
      <c r="H91" s="31">
        <f>+H87-H89</f>
        <v>6143.8273432000024</v>
      </c>
      <c r="I91" s="14"/>
      <c r="J91" s="32">
        <f>IF(H$12=0,0,H91/H$12)</f>
        <v>0.13356146398260874</v>
      </c>
      <c r="K91" s="15"/>
      <c r="L91" s="31">
        <f>D91-H91</f>
        <v>-11867.297343200004</v>
      </c>
      <c r="M91" s="15"/>
      <c r="N91" s="32">
        <f>IF(H91=0,0,L91/H91)</f>
        <v>-1.9315805409692619</v>
      </c>
      <c r="O91" s="29"/>
      <c r="P91" s="31">
        <f>+P87-P89</f>
        <v>-67430.690000000031</v>
      </c>
      <c r="Q91" s="14"/>
      <c r="R91" s="32">
        <f>IF(P$12=0,0,P91/P$12)</f>
        <v>-0.37748950606146342</v>
      </c>
      <c r="S91" s="14"/>
      <c r="T91" s="31">
        <f>+T87-T89</f>
        <v>16624.951659800019</v>
      </c>
      <c r="U91" s="14"/>
      <c r="V91" s="32">
        <f>IF(T$12=0,0,T91/T$12)</f>
        <v>5.7926660835540135E-2</v>
      </c>
      <c r="W91" s="15"/>
      <c r="X91" s="31">
        <f>P91-T91</f>
        <v>-84055.641659800051</v>
      </c>
      <c r="Y91" s="15"/>
      <c r="Z91" s="32">
        <f>IF(T91=0,0,X91/T91)</f>
        <v>-5.0559931469184889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3">
        <f>SUM(D91:D93)</f>
        <v>-5723.4700000000012</v>
      </c>
      <c r="E94" s="14"/>
      <c r="F94" s="30">
        <f>IF(D$12=0,0,D94/D$12)</f>
        <v>-0.21132354548381477</v>
      </c>
      <c r="G94" s="14"/>
      <c r="H94" s="33">
        <f>SUM(H91:H93)</f>
        <v>6143.8273432000024</v>
      </c>
      <c r="I94" s="14"/>
      <c r="J94" s="30">
        <f>IF(H$12=0,0,H94/H$12)</f>
        <v>0.13356146398260874</v>
      </c>
      <c r="K94" s="15"/>
      <c r="L94" s="33">
        <f>+D94-H94</f>
        <v>-11867.297343200004</v>
      </c>
      <c r="M94" s="15"/>
      <c r="N94" s="30">
        <f>IF(H94=0,0,L94/H94)</f>
        <v>-1.9315805409692619</v>
      </c>
      <c r="O94" s="29"/>
      <c r="P94" s="33">
        <f>SUM(P91:P93)</f>
        <v>-67430.690000000031</v>
      </c>
      <c r="Q94" s="14"/>
      <c r="R94" s="30">
        <f>IF(P$12=0,0,P94/P$12)</f>
        <v>-0.37748950606146342</v>
      </c>
      <c r="S94" s="14"/>
      <c r="T94" s="33">
        <f>SUM(T91:T93)</f>
        <v>16624.951659800019</v>
      </c>
      <c r="U94" s="14"/>
      <c r="V94" s="30">
        <f>IF(T$12=0,0,T94/T$12)</f>
        <v>5.7926660835540135E-2</v>
      </c>
      <c r="W94" s="15"/>
      <c r="X94" s="33">
        <f>+P94-T94</f>
        <v>-84055.641659800051</v>
      </c>
      <c r="Y94" s="15"/>
      <c r="Z94" s="30">
        <f>IF(T94=0,0,X94/T94)</f>
        <v>-5.0559931469184889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9">
        <v>43908.495045451389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3" t="s">
        <v>314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7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100821.31</v>
      </c>
      <c r="E18" s="20"/>
      <c r="F18" s="34">
        <f t="shared" ref="F18:F29" si="0">IF(D$12=0,0,D18/D$12)</f>
        <v>0</v>
      </c>
      <c r="G18" s="20"/>
      <c r="H18" s="20">
        <f>SUM(OSRRefH22x_0)</f>
        <v>105334.64279145723</v>
      </c>
      <c r="I18" s="20"/>
      <c r="J18" s="34">
        <f t="shared" ref="J18:J29" si="1">IF(H$12=0,0,H18/H$12)</f>
        <v>0</v>
      </c>
      <c r="K18" s="4"/>
      <c r="L18" s="20">
        <f t="shared" ref="L18:L29" si="2">+D18-H18</f>
        <v>-4513.3327914572292</v>
      </c>
      <c r="M18" s="4"/>
      <c r="N18" s="34">
        <f t="shared" ref="N18:N29" si="3">IF(H18=0,0,L18/H18)</f>
        <v>-4.2847563459181982E-2</v>
      </c>
      <c r="O18" s="10"/>
      <c r="P18" s="20">
        <f>SUM(OSRRefP22x_0)</f>
        <v>815706.39</v>
      </c>
      <c r="Q18" s="20"/>
      <c r="R18" s="34">
        <f t="shared" ref="R18:R29" si="4">IF(P$12=0,0,P18/P$12)</f>
        <v>0</v>
      </c>
      <c r="S18" s="20"/>
      <c r="T18" s="20">
        <f>SUM(OSRRefT22x_0)</f>
        <v>829882.59104666475</v>
      </c>
      <c r="U18" s="20"/>
      <c r="V18" s="34">
        <f t="shared" ref="V18:V29" si="5">IF(T$12=0,0,T18/T$12)</f>
        <v>0</v>
      </c>
      <c r="W18" s="4"/>
      <c r="X18" s="20">
        <f t="shared" ref="X18:X29" si="6">+P18-T18</f>
        <v>-14176.201046664733</v>
      </c>
      <c r="Y18" s="4"/>
      <c r="Z18" s="34">
        <f t="shared" ref="Z18:Z29" si="7">IF(T18=0,0,X18/T18)</f>
        <v>-1.7082176683313022E-2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10029.949999999999</v>
      </c>
      <c r="E19" s="1"/>
      <c r="F19" s="5">
        <f t="shared" si="0"/>
        <v>0</v>
      </c>
      <c r="G19" s="1"/>
      <c r="H19" s="1">
        <f>SUM(OSRRefH22_0x_0)</f>
        <v>8688.7281145341476</v>
      </c>
      <c r="I19" s="1"/>
      <c r="J19" s="5">
        <f t="shared" si="1"/>
        <v>0</v>
      </c>
      <c r="K19" s="1"/>
      <c r="L19" s="1">
        <f t="shared" si="2"/>
        <v>1341.2218854658513</v>
      </c>
      <c r="M19" s="1"/>
      <c r="N19" s="5">
        <f t="shared" si="3"/>
        <v>0.15436343130846855</v>
      </c>
      <c r="O19" s="13"/>
      <c r="P19" s="1">
        <f>SUM(OSRRefP22_0x_0)</f>
        <v>87596.159999999989</v>
      </c>
      <c r="Q19" s="1"/>
      <c r="R19" s="5">
        <f t="shared" si="4"/>
        <v>0</v>
      </c>
      <c r="S19" s="1"/>
      <c r="T19" s="1">
        <f>SUM(OSRRefT22_0x_0)</f>
        <v>74771.637823587822</v>
      </c>
      <c r="U19" s="1"/>
      <c r="V19" s="5">
        <f t="shared" si="5"/>
        <v>0</v>
      </c>
      <c r="W19" s="1"/>
      <c r="X19" s="1">
        <f t="shared" si="6"/>
        <v>12824.522176412167</v>
      </c>
      <c r="Y19" s="1"/>
      <c r="Z19" s="5">
        <f t="shared" si="7"/>
        <v>0.17151586550330292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2069.89</v>
      </c>
      <c r="E20" s="2"/>
      <c r="F20" s="7">
        <f t="shared" si="0"/>
        <v>0</v>
      </c>
      <c r="G20" s="2"/>
      <c r="H20" s="6">
        <v>1421.5060187556901</v>
      </c>
      <c r="I20" s="2"/>
      <c r="J20" s="7">
        <f t="shared" si="1"/>
        <v>0</v>
      </c>
      <c r="K20" s="2"/>
      <c r="L20" s="6">
        <f t="shared" si="2"/>
        <v>648.38398124430978</v>
      </c>
      <c r="M20" s="2"/>
      <c r="N20" s="7">
        <f t="shared" si="3"/>
        <v>0.45612468233646331</v>
      </c>
      <c r="O20" s="11"/>
      <c r="P20" s="6">
        <v>17937.62</v>
      </c>
      <c r="Q20" s="2"/>
      <c r="R20" s="7">
        <f t="shared" si="4"/>
        <v>0</v>
      </c>
      <c r="S20" s="2"/>
      <c r="T20" s="6">
        <v>12780.320319806309</v>
      </c>
      <c r="U20" s="2"/>
      <c r="V20" s="7">
        <f t="shared" si="5"/>
        <v>0</v>
      </c>
      <c r="W20" s="2"/>
      <c r="X20" s="6">
        <f t="shared" si="6"/>
        <v>5157.2996801936897</v>
      </c>
      <c r="Y20" s="2"/>
      <c r="Z20" s="7">
        <f t="shared" si="7"/>
        <v>0.40353446166769086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931.16</v>
      </c>
      <c r="E21" s="2"/>
      <c r="F21" s="7">
        <f t="shared" si="0"/>
        <v>0</v>
      </c>
      <c r="G21" s="2"/>
      <c r="H21" s="6">
        <v>1062.9063636184601</v>
      </c>
      <c r="I21" s="2"/>
      <c r="J21" s="7">
        <f t="shared" si="1"/>
        <v>0</v>
      </c>
      <c r="K21" s="2"/>
      <c r="L21" s="6">
        <f t="shared" si="2"/>
        <v>-131.74636361846012</v>
      </c>
      <c r="M21" s="2"/>
      <c r="N21" s="7">
        <f t="shared" si="3"/>
        <v>-0.12394917193830225</v>
      </c>
      <c r="O21" s="11"/>
      <c r="P21" s="6">
        <v>6499.56</v>
      </c>
      <c r="Q21" s="2"/>
      <c r="R21" s="7">
        <f t="shared" si="4"/>
        <v>0</v>
      </c>
      <c r="S21" s="2"/>
      <c r="T21" s="6">
        <v>9248.1942339015386</v>
      </c>
      <c r="U21" s="2"/>
      <c r="V21" s="7">
        <f t="shared" si="5"/>
        <v>0</v>
      </c>
      <c r="W21" s="2"/>
      <c r="X21" s="6">
        <f t="shared" si="6"/>
        <v>-2748.6342339015382</v>
      </c>
      <c r="Y21" s="2"/>
      <c r="Z21" s="7">
        <f t="shared" si="7"/>
        <v>-0.29720766718174463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3028.71</v>
      </c>
      <c r="E22" s="2"/>
      <c r="F22" s="7">
        <f t="shared" si="0"/>
        <v>0</v>
      </c>
      <c r="G22" s="2"/>
      <c r="H22" s="6">
        <v>2600.76923076923</v>
      </c>
      <c r="I22" s="2"/>
      <c r="J22" s="7">
        <f t="shared" si="1"/>
        <v>0</v>
      </c>
      <c r="K22" s="2"/>
      <c r="L22" s="6">
        <f t="shared" si="2"/>
        <v>427.94076923077</v>
      </c>
      <c r="M22" s="2"/>
      <c r="N22" s="7">
        <f t="shared" si="3"/>
        <v>0.16454392191659306</v>
      </c>
      <c r="O22" s="11"/>
      <c r="P22" s="6">
        <v>27986.7</v>
      </c>
      <c r="Q22" s="2"/>
      <c r="R22" s="7">
        <f t="shared" si="4"/>
        <v>0</v>
      </c>
      <c r="S22" s="2"/>
      <c r="T22" s="6">
        <v>21762.23076923077</v>
      </c>
      <c r="U22" s="2"/>
      <c r="V22" s="7">
        <f t="shared" si="5"/>
        <v>0</v>
      </c>
      <c r="W22" s="2"/>
      <c r="X22" s="6">
        <f t="shared" si="6"/>
        <v>6224.4692307692312</v>
      </c>
      <c r="Y22" s="2"/>
      <c r="Z22" s="7">
        <f t="shared" si="7"/>
        <v>0.28602165360592985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76.92</v>
      </c>
      <c r="E23" s="2"/>
      <c r="F23" s="7">
        <f t="shared" si="0"/>
        <v>0</v>
      </c>
      <c r="G23" s="2"/>
      <c r="H23" s="6">
        <v>71.22568416</v>
      </c>
      <c r="I23" s="2"/>
      <c r="J23" s="7">
        <f t="shared" si="1"/>
        <v>0</v>
      </c>
      <c r="K23" s="2"/>
      <c r="L23" s="6">
        <f t="shared" si="2"/>
        <v>5.6943158400000016</v>
      </c>
      <c r="M23" s="2"/>
      <c r="N23" s="7">
        <f t="shared" si="3"/>
        <v>7.9947506396827309E-2</v>
      </c>
      <c r="O23" s="11"/>
      <c r="P23" s="6">
        <v>624.45000000000005</v>
      </c>
      <c r="Q23" s="2"/>
      <c r="R23" s="7">
        <f t="shared" si="4"/>
        <v>0</v>
      </c>
      <c r="S23" s="2"/>
      <c r="T23" s="6">
        <v>619.72435587999996</v>
      </c>
      <c r="U23" s="2"/>
      <c r="V23" s="7">
        <f t="shared" si="5"/>
        <v>0</v>
      </c>
      <c r="W23" s="2"/>
      <c r="X23" s="6">
        <f t="shared" si="6"/>
        <v>4.7256441200000836</v>
      </c>
      <c r="Y23" s="2"/>
      <c r="Z23" s="7">
        <f t="shared" si="7"/>
        <v>7.6253967996622223E-3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1249.6300000000001</v>
      </c>
      <c r="E24" s="2"/>
      <c r="F24" s="7">
        <f t="shared" si="0"/>
        <v>0</v>
      </c>
      <c r="G24" s="2"/>
      <c r="H24" s="6">
        <v>1096.68853846154</v>
      </c>
      <c r="I24" s="2"/>
      <c r="J24" s="7">
        <f t="shared" si="1"/>
        <v>0</v>
      </c>
      <c r="K24" s="2"/>
      <c r="L24" s="6">
        <f t="shared" si="2"/>
        <v>152.94146153846009</v>
      </c>
      <c r="M24" s="2"/>
      <c r="N24" s="7">
        <f t="shared" si="3"/>
        <v>0.13945751795036529</v>
      </c>
      <c r="O24" s="11"/>
      <c r="P24" s="6">
        <v>11573.25</v>
      </c>
      <c r="Q24" s="2"/>
      <c r="R24" s="7">
        <f t="shared" si="4"/>
        <v>0</v>
      </c>
      <c r="S24" s="2"/>
      <c r="T24" s="6">
        <v>9596.0247115384609</v>
      </c>
      <c r="U24" s="2"/>
      <c r="V24" s="7">
        <f t="shared" si="5"/>
        <v>0</v>
      </c>
      <c r="W24" s="2"/>
      <c r="X24" s="6">
        <f t="shared" si="6"/>
        <v>1977.2252884615391</v>
      </c>
      <c r="Y24" s="2"/>
      <c r="Z24" s="7">
        <f t="shared" si="7"/>
        <v>0.20604628978123432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28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28</v>
      </c>
      <c r="M26" s="2"/>
      <c r="N26" s="7">
        <f t="shared" si="3"/>
        <v>0</v>
      </c>
      <c r="O26" s="11"/>
      <c r="P26" s="6">
        <v>476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476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1432.54</v>
      </c>
      <c r="E27" s="2"/>
      <c r="F27" s="7">
        <f t="shared" si="0"/>
        <v>0</v>
      </c>
      <c r="G27" s="2"/>
      <c r="H27" s="6">
        <v>1066.3193846153799</v>
      </c>
      <c r="I27" s="2"/>
      <c r="J27" s="7">
        <f t="shared" si="1"/>
        <v>0</v>
      </c>
      <c r="K27" s="2"/>
      <c r="L27" s="6">
        <f t="shared" si="2"/>
        <v>366.22061538462003</v>
      </c>
      <c r="M27" s="2"/>
      <c r="N27" s="7">
        <f t="shared" si="3"/>
        <v>0.34344364424802737</v>
      </c>
      <c r="O27" s="11"/>
      <c r="P27" s="6">
        <v>11982.01</v>
      </c>
      <c r="Q27" s="2"/>
      <c r="R27" s="7">
        <f t="shared" si="4"/>
        <v>0</v>
      </c>
      <c r="S27" s="2"/>
      <c r="T27" s="6">
        <v>9330.2946153845896</v>
      </c>
      <c r="U27" s="2"/>
      <c r="V27" s="7">
        <f t="shared" si="5"/>
        <v>0</v>
      </c>
      <c r="W27" s="2"/>
      <c r="X27" s="6">
        <f t="shared" si="6"/>
        <v>2651.7153846154106</v>
      </c>
      <c r="Y27" s="2"/>
      <c r="Z27" s="7">
        <f t="shared" si="7"/>
        <v>0.28420489319201508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732.14</v>
      </c>
      <c r="E28" s="2"/>
      <c r="F28" s="7">
        <f t="shared" si="0"/>
        <v>0</v>
      </c>
      <c r="G28" s="2"/>
      <c r="H28" s="6">
        <v>694.31289415384595</v>
      </c>
      <c r="I28" s="2"/>
      <c r="J28" s="7">
        <f t="shared" si="1"/>
        <v>0</v>
      </c>
      <c r="K28" s="2"/>
      <c r="L28" s="6">
        <f t="shared" si="2"/>
        <v>37.827105846154041</v>
      </c>
      <c r="M28" s="2"/>
      <c r="N28" s="7">
        <f t="shared" si="3"/>
        <v>5.4481352952912759E-2</v>
      </c>
      <c r="O28" s="11"/>
      <c r="P28" s="6">
        <v>7366.68</v>
      </c>
      <c r="Q28" s="2"/>
      <c r="R28" s="7">
        <f t="shared" si="4"/>
        <v>0</v>
      </c>
      <c r="S28" s="2"/>
      <c r="T28" s="6">
        <v>6034.8488178461539</v>
      </c>
      <c r="U28" s="2"/>
      <c r="V28" s="7">
        <f t="shared" si="5"/>
        <v>0</v>
      </c>
      <c r="W28" s="2"/>
      <c r="X28" s="6">
        <f t="shared" si="6"/>
        <v>1331.8311821538464</v>
      </c>
      <c r="Y28" s="2"/>
      <c r="Z28" s="7">
        <f t="shared" si="7"/>
        <v>0.22069006570891678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480.96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-194.04000000000002</v>
      </c>
      <c r="M29" s="2"/>
      <c r="N29" s="7">
        <f t="shared" si="3"/>
        <v>-0.2874666666666667</v>
      </c>
      <c r="O29" s="11"/>
      <c r="P29" s="6">
        <v>3149.89</v>
      </c>
      <c r="Q29" s="2"/>
      <c r="R29" s="7">
        <f t="shared" si="4"/>
        <v>0</v>
      </c>
      <c r="S29" s="2"/>
      <c r="T29" s="6">
        <v>5400</v>
      </c>
      <c r="U29" s="2"/>
      <c r="V29" s="7">
        <f t="shared" si="5"/>
        <v>0</v>
      </c>
      <c r="W29" s="2"/>
      <c r="X29" s="6">
        <f t="shared" si="6"/>
        <v>-2250.11</v>
      </c>
      <c r="Y29" s="2"/>
      <c r="Z29" s="7">
        <f t="shared" si="7"/>
        <v>-0.41668703703703708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27439.379999999997</v>
      </c>
      <c r="E30" s="1"/>
      <c r="F30" s="5">
        <f t="shared" ref="F30:F40" si="8">IF(D$12=0,0,D30/D$12)</f>
        <v>0</v>
      </c>
      <c r="G30" s="1"/>
      <c r="H30" s="1">
        <f>SUM(OSRRefH22_1x_0)</f>
        <v>26003.914676923079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1435.4653230769181</v>
      </c>
      <c r="M30" s="1"/>
      <c r="N30" s="5">
        <f t="shared" ref="N30:N40" si="11">IF(H30=0,0,L30/H30)</f>
        <v>5.5201893288428908E-2</v>
      </c>
      <c r="O30" s="13"/>
      <c r="P30" s="1">
        <f>SUM(OSRRefP22_1x_0)</f>
        <v>220457.33000000002</v>
      </c>
      <c r="Q30" s="1"/>
      <c r="R30" s="5">
        <f t="shared" ref="R30:R40" si="12">IF(P$12=0,0,P30/P$12)</f>
        <v>0</v>
      </c>
      <c r="S30" s="1"/>
      <c r="T30" s="1">
        <f>SUM(OSRRefT22_1x_0)</f>
        <v>226187.95322307694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-5730.6232230769238</v>
      </c>
      <c r="Y30" s="1"/>
      <c r="Z30" s="5">
        <f t="shared" ref="Z30:Z40" si="15">IF(T30=0,0,X30/T30)</f>
        <v>-2.5335669479378153E-2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7932.49</v>
      </c>
      <c r="E31" s="2"/>
      <c r="F31" s="7">
        <f t="shared" si="8"/>
        <v>0</v>
      </c>
      <c r="G31" s="2"/>
      <c r="H31" s="6">
        <v>7915.1538461538503</v>
      </c>
      <c r="I31" s="2"/>
      <c r="J31" s="7">
        <f t="shared" si="9"/>
        <v>0</v>
      </c>
      <c r="K31" s="2"/>
      <c r="L31" s="6">
        <f t="shared" si="10"/>
        <v>17.3361538461495</v>
      </c>
      <c r="M31" s="2"/>
      <c r="N31" s="7">
        <f t="shared" si="11"/>
        <v>2.1902485009275626E-3</v>
      </c>
      <c r="O31" s="11"/>
      <c r="P31" s="6">
        <v>66103.62999999999</v>
      </c>
      <c r="Q31" s="2"/>
      <c r="R31" s="7">
        <f t="shared" si="12"/>
        <v>0</v>
      </c>
      <c r="S31" s="2"/>
      <c r="T31" s="6">
        <v>69257.596153846185</v>
      </c>
      <c r="U31" s="2"/>
      <c r="V31" s="7">
        <f t="shared" si="13"/>
        <v>0</v>
      </c>
      <c r="W31" s="2"/>
      <c r="X31" s="6">
        <f t="shared" si="14"/>
        <v>-3153.9661538461951</v>
      </c>
      <c r="Y31" s="2"/>
      <c r="Z31" s="7">
        <f t="shared" si="15"/>
        <v>-4.5539642277506932E-2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4492.78</v>
      </c>
      <c r="E32" s="2"/>
      <c r="F32" s="7">
        <f t="shared" si="8"/>
        <v>0</v>
      </c>
      <c r="G32" s="2"/>
      <c r="H32" s="6">
        <v>3561.8192307692298</v>
      </c>
      <c r="I32" s="2"/>
      <c r="J32" s="7">
        <f t="shared" si="9"/>
        <v>0</v>
      </c>
      <c r="K32" s="2"/>
      <c r="L32" s="6">
        <f t="shared" si="10"/>
        <v>930.96076923076998</v>
      </c>
      <c r="M32" s="2"/>
      <c r="N32" s="7">
        <f t="shared" si="11"/>
        <v>0.26137226762901011</v>
      </c>
      <c r="O32" s="11"/>
      <c r="P32" s="6">
        <v>36185.75</v>
      </c>
      <c r="Q32" s="2"/>
      <c r="R32" s="7">
        <f t="shared" si="12"/>
        <v>0</v>
      </c>
      <c r="S32" s="2"/>
      <c r="T32" s="6">
        <v>31165.91826923077</v>
      </c>
      <c r="U32" s="2"/>
      <c r="V32" s="7">
        <f t="shared" si="13"/>
        <v>0</v>
      </c>
      <c r="W32" s="2"/>
      <c r="X32" s="6">
        <f t="shared" si="14"/>
        <v>5019.8317307692305</v>
      </c>
      <c r="Y32" s="2"/>
      <c r="Z32" s="7">
        <f t="shared" si="15"/>
        <v>0.16106798738945446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2213.12</v>
      </c>
      <c r="E34" s="2"/>
      <c r="F34" s="7">
        <f t="shared" si="8"/>
        <v>0</v>
      </c>
      <c r="G34" s="2"/>
      <c r="H34" s="6">
        <v>5706.9416000000001</v>
      </c>
      <c r="I34" s="2"/>
      <c r="J34" s="7">
        <f t="shared" si="9"/>
        <v>0</v>
      </c>
      <c r="K34" s="2"/>
      <c r="L34" s="6">
        <f t="shared" si="10"/>
        <v>-3493.8216000000002</v>
      </c>
      <c r="M34" s="2"/>
      <c r="N34" s="7">
        <f t="shared" si="11"/>
        <v>-0.61220559887979231</v>
      </c>
      <c r="O34" s="11"/>
      <c r="P34" s="6">
        <v>18124.96</v>
      </c>
      <c r="Q34" s="2"/>
      <c r="R34" s="7">
        <f t="shared" si="12"/>
        <v>0</v>
      </c>
      <c r="S34" s="2"/>
      <c r="T34" s="6">
        <v>47602.438799999996</v>
      </c>
      <c r="U34" s="2"/>
      <c r="V34" s="7">
        <f t="shared" si="13"/>
        <v>0</v>
      </c>
      <c r="W34" s="2"/>
      <c r="X34" s="6">
        <f t="shared" si="14"/>
        <v>-29477.478799999997</v>
      </c>
      <c r="Y34" s="2"/>
      <c r="Z34" s="7">
        <f t="shared" si="15"/>
        <v>-0.61924303760672028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11318.13</v>
      </c>
      <c r="E35" s="2"/>
      <c r="F35" s="7">
        <f t="shared" si="8"/>
        <v>0</v>
      </c>
      <c r="G35" s="2"/>
      <c r="H35" s="6">
        <v>7056</v>
      </c>
      <c r="I35" s="2"/>
      <c r="J35" s="7">
        <f t="shared" si="9"/>
        <v>0</v>
      </c>
      <c r="K35" s="2"/>
      <c r="L35" s="6">
        <f t="shared" si="10"/>
        <v>4262.1299999999992</v>
      </c>
      <c r="M35" s="2"/>
      <c r="N35" s="7">
        <f t="shared" si="11"/>
        <v>0.60404336734693864</v>
      </c>
      <c r="O35" s="11"/>
      <c r="P35" s="6">
        <v>81385.25</v>
      </c>
      <c r="Q35" s="2"/>
      <c r="R35" s="7">
        <f t="shared" si="12"/>
        <v>0</v>
      </c>
      <c r="S35" s="2"/>
      <c r="T35" s="6">
        <v>64554</v>
      </c>
      <c r="U35" s="2"/>
      <c r="V35" s="7">
        <f t="shared" si="13"/>
        <v>0</v>
      </c>
      <c r="W35" s="2"/>
      <c r="X35" s="6">
        <f t="shared" si="14"/>
        <v>16831.25</v>
      </c>
      <c r="Y35" s="2"/>
      <c r="Z35" s="7">
        <f t="shared" si="15"/>
        <v>0.26073132571180718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1482.86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1482.86</v>
      </c>
      <c r="M37" s="2"/>
      <c r="N37" s="7">
        <f t="shared" si="11"/>
        <v>0</v>
      </c>
      <c r="O37" s="11"/>
      <c r="P37" s="6">
        <v>17420.86</v>
      </c>
      <c r="Q37" s="2"/>
      <c r="R37" s="7">
        <f t="shared" si="12"/>
        <v>0</v>
      </c>
      <c r="S37" s="2"/>
      <c r="T37" s="6">
        <v>6804</v>
      </c>
      <c r="U37" s="2"/>
      <c r="V37" s="7">
        <f t="shared" si="13"/>
        <v>0</v>
      </c>
      <c r="W37" s="2"/>
      <c r="X37" s="6">
        <f t="shared" si="14"/>
        <v>10616.86</v>
      </c>
      <c r="Y37" s="2"/>
      <c r="Z37" s="7">
        <f t="shared" si="15"/>
        <v>1.5603850676072899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1764</v>
      </c>
      <c r="I38" s="2"/>
      <c r="J38" s="7">
        <f t="shared" si="9"/>
        <v>0</v>
      </c>
      <c r="K38" s="2"/>
      <c r="L38" s="6">
        <f t="shared" si="10"/>
        <v>-1764</v>
      </c>
      <c r="M38" s="2"/>
      <c r="N38" s="7">
        <f t="shared" si="11"/>
        <v>-1</v>
      </c>
      <c r="O38" s="11"/>
      <c r="P38" s="6"/>
      <c r="Q38" s="2"/>
      <c r="R38" s="7">
        <f t="shared" si="12"/>
        <v>0</v>
      </c>
      <c r="S38" s="2"/>
      <c r="T38" s="6">
        <v>6804</v>
      </c>
      <c r="U38" s="2"/>
      <c r="V38" s="7">
        <f t="shared" si="13"/>
        <v>0</v>
      </c>
      <c r="W38" s="2"/>
      <c r="X38" s="6">
        <f t="shared" si="14"/>
        <v>-6804</v>
      </c>
      <c r="Y38" s="2"/>
      <c r="Z38" s="7">
        <f t="shared" si="15"/>
        <v>-1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138.52000000000001</v>
      </c>
      <c r="E41" s="1"/>
      <c r="F41" s="5">
        <f t="shared" ref="F41:F47" si="16">IF(D$12=0,0,D41/D$12)</f>
        <v>0</v>
      </c>
      <c r="G41" s="1"/>
      <c r="H41" s="1">
        <f>SUM(OSRRefH22_2x_0)</f>
        <v>0</v>
      </c>
      <c r="I41" s="1"/>
      <c r="J41" s="5">
        <f t="shared" ref="J41:J47" si="17">IF(H$12=0,0,H41/H$12)</f>
        <v>0</v>
      </c>
      <c r="K41" s="1"/>
      <c r="L41" s="1">
        <f t="shared" ref="L41:L47" si="18">+D41-H41</f>
        <v>138.52000000000001</v>
      </c>
      <c r="M41" s="1"/>
      <c r="N41" s="5">
        <f t="shared" ref="N41:N47" si="19">IF(H41=0,0,L41/H41)</f>
        <v>0</v>
      </c>
      <c r="O41" s="13"/>
      <c r="P41" s="1">
        <f>SUM(OSRRefP22_2x_0)</f>
        <v>3466.53</v>
      </c>
      <c r="Q41" s="1"/>
      <c r="R41" s="5">
        <f t="shared" ref="R41:R47" si="20">IF(P$12=0,0,P41/P$12)</f>
        <v>0</v>
      </c>
      <c r="S41" s="1"/>
      <c r="T41" s="1">
        <f>SUM(OSRRefT22_2x_0)</f>
        <v>1450</v>
      </c>
      <c r="U41" s="1"/>
      <c r="V41" s="5">
        <f t="shared" ref="V41:V47" si="21">IF(T$12=0,0,T41/T$12)</f>
        <v>0</v>
      </c>
      <c r="W41" s="1"/>
      <c r="X41" s="1">
        <f t="shared" ref="X41:X47" si="22">+P41-T41</f>
        <v>2016.5300000000002</v>
      </c>
      <c r="Y41" s="1"/>
      <c r="Z41" s="5">
        <f t="shared" ref="Z41:Z47" si="23">IF(T41=0,0,X41/T41)</f>
        <v>1.3907103448275864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138.52000000000001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138.52000000000001</v>
      </c>
      <c r="M42" s="2"/>
      <c r="N42" s="7">
        <f t="shared" si="19"/>
        <v>0</v>
      </c>
      <c r="O42" s="11"/>
      <c r="P42" s="6">
        <v>3466.53</v>
      </c>
      <c r="Q42" s="2"/>
      <c r="R42" s="7">
        <f t="shared" si="20"/>
        <v>0</v>
      </c>
      <c r="S42" s="2"/>
      <c r="T42" s="6">
        <v>1450</v>
      </c>
      <c r="U42" s="2"/>
      <c r="V42" s="7">
        <f t="shared" si="21"/>
        <v>0</v>
      </c>
      <c r="W42" s="2"/>
      <c r="X42" s="6">
        <f t="shared" si="22"/>
        <v>2016.5300000000002</v>
      </c>
      <c r="Y42" s="2"/>
      <c r="Z42" s="7">
        <f t="shared" si="23"/>
        <v>1.3907103448275864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7262.6799999999994</v>
      </c>
      <c r="E43" s="1"/>
      <c r="F43" s="5">
        <f t="shared" si="16"/>
        <v>0</v>
      </c>
      <c r="G43" s="1"/>
      <c r="H43" s="1">
        <f>SUM(OSRRefH22_3x_0)</f>
        <v>8207</v>
      </c>
      <c r="I43" s="1"/>
      <c r="J43" s="5">
        <f t="shared" si="17"/>
        <v>0</v>
      </c>
      <c r="K43" s="1"/>
      <c r="L43" s="1">
        <f t="shared" si="18"/>
        <v>-944.32000000000062</v>
      </c>
      <c r="M43" s="1"/>
      <c r="N43" s="5">
        <f t="shared" si="19"/>
        <v>-0.11506275130985752</v>
      </c>
      <c r="O43" s="13"/>
      <c r="P43" s="1">
        <f>SUM(OSRRefP22_3x_0)</f>
        <v>55896.24</v>
      </c>
      <c r="Q43" s="1"/>
      <c r="R43" s="5">
        <f t="shared" si="20"/>
        <v>0</v>
      </c>
      <c r="S43" s="1"/>
      <c r="T43" s="1">
        <f>SUM(OSRRefT22_3x_0)</f>
        <v>56728</v>
      </c>
      <c r="U43" s="1"/>
      <c r="V43" s="5">
        <f t="shared" si="21"/>
        <v>0</v>
      </c>
      <c r="W43" s="1"/>
      <c r="X43" s="1">
        <f t="shared" si="22"/>
        <v>-831.76000000000204</v>
      </c>
      <c r="Y43" s="1"/>
      <c r="Z43" s="5">
        <f t="shared" si="23"/>
        <v>-1.4662247919898499E-2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6">
        <v>2266.9499999999998</v>
      </c>
      <c r="E44" s="2"/>
      <c r="F44" s="7">
        <f t="shared" si="16"/>
        <v>0</v>
      </c>
      <c r="G44" s="2"/>
      <c r="H44" s="6">
        <v>723</v>
      </c>
      <c r="I44" s="2"/>
      <c r="J44" s="7">
        <f t="shared" si="17"/>
        <v>0</v>
      </c>
      <c r="K44" s="2"/>
      <c r="L44" s="6">
        <f t="shared" si="18"/>
        <v>1543.9499999999998</v>
      </c>
      <c r="M44" s="2"/>
      <c r="N44" s="7">
        <f t="shared" si="19"/>
        <v>2.1354771784232365</v>
      </c>
      <c r="O44" s="11"/>
      <c r="P44" s="6">
        <v>18135.599999999999</v>
      </c>
      <c r="Q44" s="2"/>
      <c r="R44" s="7">
        <f t="shared" si="20"/>
        <v>0</v>
      </c>
      <c r="S44" s="2"/>
      <c r="T44" s="6">
        <v>6030</v>
      </c>
      <c r="U44" s="2"/>
      <c r="V44" s="7">
        <f t="shared" si="21"/>
        <v>0</v>
      </c>
      <c r="W44" s="2"/>
      <c r="X44" s="6">
        <f t="shared" si="22"/>
        <v>12105.599999999999</v>
      </c>
      <c r="Y44" s="2"/>
      <c r="Z44" s="7">
        <f t="shared" si="23"/>
        <v>2.0075621890547262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4571.4799999999996</v>
      </c>
      <c r="E45" s="2"/>
      <c r="F45" s="7">
        <f t="shared" si="16"/>
        <v>0</v>
      </c>
      <c r="G45" s="2"/>
      <c r="H45" s="6">
        <v>4902</v>
      </c>
      <c r="I45" s="2"/>
      <c r="J45" s="7">
        <f t="shared" si="17"/>
        <v>0</v>
      </c>
      <c r="K45" s="2"/>
      <c r="L45" s="6">
        <f t="shared" si="18"/>
        <v>-330.52000000000044</v>
      </c>
      <c r="M45" s="2"/>
      <c r="N45" s="7">
        <f t="shared" si="19"/>
        <v>-6.7425540595675321E-2</v>
      </c>
      <c r="O45" s="11"/>
      <c r="P45" s="6">
        <v>34366.639999999999</v>
      </c>
      <c r="Q45" s="2"/>
      <c r="R45" s="7">
        <f t="shared" si="20"/>
        <v>0</v>
      </c>
      <c r="S45" s="2"/>
      <c r="T45" s="6">
        <v>39216</v>
      </c>
      <c r="U45" s="2"/>
      <c r="V45" s="7">
        <f t="shared" si="21"/>
        <v>0</v>
      </c>
      <c r="W45" s="2"/>
      <c r="X45" s="6">
        <f t="shared" si="22"/>
        <v>-4849.3600000000006</v>
      </c>
      <c r="Y45" s="2"/>
      <c r="Z45" s="7">
        <f t="shared" si="23"/>
        <v>-0.1236576907384741</v>
      </c>
    </row>
    <row r="46" spans="1:26" s="24" customFormat="1" hidden="1" outlineLevel="2" x14ac:dyDescent="0.25">
      <c r="A46" s="25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16"/>
        <v>0</v>
      </c>
      <c r="G46" s="2"/>
      <c r="H46" s="6">
        <v>1158</v>
      </c>
      <c r="I46" s="2"/>
      <c r="J46" s="7">
        <f t="shared" si="17"/>
        <v>0</v>
      </c>
      <c r="K46" s="2"/>
      <c r="L46" s="6">
        <f t="shared" si="18"/>
        <v>-1158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3090</v>
      </c>
      <c r="U46" s="2"/>
      <c r="V46" s="7">
        <f t="shared" si="21"/>
        <v>0</v>
      </c>
      <c r="W46" s="2"/>
      <c r="X46" s="6">
        <f t="shared" si="22"/>
        <v>-3090</v>
      </c>
      <c r="Y46" s="2"/>
      <c r="Z46" s="7">
        <f t="shared" si="23"/>
        <v>-1</v>
      </c>
    </row>
    <row r="47" spans="1:26" s="24" customFormat="1" hidden="1" outlineLevel="2" x14ac:dyDescent="0.25">
      <c r="A47" s="25"/>
      <c r="B47" s="11" t="str">
        <f>CONCATENATE("          ", "6326", " - ", "VEHICLES DEPRECIATION EXPENSE")</f>
        <v xml:space="preserve">          6326 - VEHICLES DEPRECIATION EXPENSE</v>
      </c>
      <c r="C47" s="11"/>
      <c r="D47" s="6">
        <v>424.25</v>
      </c>
      <c r="E47" s="2"/>
      <c r="F47" s="7">
        <f t="shared" si="16"/>
        <v>0</v>
      </c>
      <c r="G47" s="2"/>
      <c r="H47" s="6">
        <v>1424</v>
      </c>
      <c r="I47" s="2"/>
      <c r="J47" s="7">
        <f t="shared" si="17"/>
        <v>0</v>
      </c>
      <c r="K47" s="2"/>
      <c r="L47" s="6">
        <f t="shared" si="18"/>
        <v>-999.75</v>
      </c>
      <c r="M47" s="2"/>
      <c r="N47" s="7">
        <f t="shared" si="19"/>
        <v>-0.70207162921348309</v>
      </c>
      <c r="O47" s="11"/>
      <c r="P47" s="6">
        <v>3394</v>
      </c>
      <c r="Q47" s="2"/>
      <c r="R47" s="7">
        <f t="shared" si="20"/>
        <v>0</v>
      </c>
      <c r="S47" s="2"/>
      <c r="T47" s="6">
        <v>8392</v>
      </c>
      <c r="U47" s="2"/>
      <c r="V47" s="7">
        <f t="shared" si="21"/>
        <v>0</v>
      </c>
      <c r="W47" s="2"/>
      <c r="X47" s="6">
        <f t="shared" si="22"/>
        <v>-4998</v>
      </c>
      <c r="Y47" s="2"/>
      <c r="Z47" s="7">
        <f t="shared" si="23"/>
        <v>-0.5955672068636797</v>
      </c>
    </row>
    <row r="48" spans="1:26" s="27" customFormat="1" outlineLevel="1" collapsed="1" x14ac:dyDescent="0.25">
      <c r="A48" s="26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SUM(OSRRefD22_4x_0)</f>
        <v>0</v>
      </c>
      <c r="E48" s="1"/>
      <c r="F48" s="5">
        <f t="shared" ref="F48:F63" si="24">IF(D$12=0,0,D48/D$12)</f>
        <v>0</v>
      </c>
      <c r="G48" s="1"/>
      <c r="H48" s="1">
        <f>SUM(OSRRefH22_4x_0)</f>
        <v>0</v>
      </c>
      <c r="I48" s="1"/>
      <c r="J48" s="5">
        <f t="shared" ref="J48:J63" si="25">IF(H$12=0,0,H48/H$12)</f>
        <v>0</v>
      </c>
      <c r="K48" s="1"/>
      <c r="L48" s="1">
        <f t="shared" ref="L48:L63" si="26">+D48-H48</f>
        <v>0</v>
      </c>
      <c r="M48" s="1"/>
      <c r="N48" s="5">
        <f t="shared" ref="N48:N63" si="27">IF(H48=0,0,L48/H48)</f>
        <v>0</v>
      </c>
      <c r="O48" s="13"/>
      <c r="P48" s="1">
        <f>SUM(OSRRefP22_4x_0)</f>
        <v>163.68</v>
      </c>
      <c r="Q48" s="1"/>
      <c r="R48" s="5">
        <f t="shared" ref="R48:R63" si="28">IF(P$12=0,0,P48/P$12)</f>
        <v>0</v>
      </c>
      <c r="S48" s="1"/>
      <c r="T48" s="1">
        <f>SUM(OSRRefT22_4x_0)</f>
        <v>1500</v>
      </c>
      <c r="U48" s="1"/>
      <c r="V48" s="5">
        <f t="shared" ref="V48:V63" si="29">IF(T$12=0,0,T48/T$12)</f>
        <v>0</v>
      </c>
      <c r="W48" s="1"/>
      <c r="X48" s="1">
        <f t="shared" ref="X48:X63" si="30">+P48-T48</f>
        <v>-1336.32</v>
      </c>
      <c r="Y48" s="1"/>
      <c r="Z48" s="5">
        <f t="shared" ref="Z48:Z63" si="31">IF(T48=0,0,X48/T48)</f>
        <v>-0.89088000000000001</v>
      </c>
    </row>
    <row r="49" spans="1:26" s="24" customFormat="1" hidden="1" outlineLevel="2" x14ac:dyDescent="0.25">
      <c r="A49" s="25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>
        <v>163.68</v>
      </c>
      <c r="Q49" s="2"/>
      <c r="R49" s="7">
        <f t="shared" si="28"/>
        <v>0</v>
      </c>
      <c r="S49" s="2"/>
      <c r="T49" s="6">
        <v>1500</v>
      </c>
      <c r="U49" s="2"/>
      <c r="V49" s="7">
        <f t="shared" si="29"/>
        <v>0</v>
      </c>
      <c r="W49" s="2"/>
      <c r="X49" s="6">
        <f t="shared" si="30"/>
        <v>-1336.32</v>
      </c>
      <c r="Y49" s="2"/>
      <c r="Z49" s="7">
        <f t="shared" si="31"/>
        <v>-0.89088000000000001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si="24"/>
        <v>0</v>
      </c>
      <c r="G50" s="1"/>
      <c r="H50" s="1">
        <f>SUM(OSRRefH22_5x_0)</f>
        <v>50</v>
      </c>
      <c r="I50" s="1"/>
      <c r="J50" s="5">
        <f t="shared" si="25"/>
        <v>0</v>
      </c>
      <c r="K50" s="1"/>
      <c r="L50" s="1">
        <f t="shared" si="26"/>
        <v>-50</v>
      </c>
      <c r="M50" s="1"/>
      <c r="N50" s="5">
        <f t="shared" si="27"/>
        <v>-1</v>
      </c>
      <c r="O50" s="13"/>
      <c r="P50" s="1">
        <f>SUM(OSRRefP22_5x_0)</f>
        <v>366.16</v>
      </c>
      <c r="Q50" s="1"/>
      <c r="R50" s="5">
        <f t="shared" si="28"/>
        <v>0</v>
      </c>
      <c r="S50" s="1"/>
      <c r="T50" s="1">
        <f>SUM(OSRRefT22_5x_0)</f>
        <v>1000</v>
      </c>
      <c r="U50" s="1"/>
      <c r="V50" s="5">
        <f t="shared" si="29"/>
        <v>0</v>
      </c>
      <c r="W50" s="1"/>
      <c r="X50" s="1">
        <f t="shared" si="30"/>
        <v>-633.83999999999992</v>
      </c>
      <c r="Y50" s="1"/>
      <c r="Z50" s="5">
        <f t="shared" si="31"/>
        <v>-0.63383999999999996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4"/>
        <v>0</v>
      </c>
      <c r="G51" s="2"/>
      <c r="H51" s="6">
        <v>50</v>
      </c>
      <c r="I51" s="2"/>
      <c r="J51" s="7">
        <f t="shared" si="25"/>
        <v>0</v>
      </c>
      <c r="K51" s="2"/>
      <c r="L51" s="6">
        <f t="shared" si="26"/>
        <v>-50</v>
      </c>
      <c r="M51" s="2"/>
      <c r="N51" s="7">
        <f t="shared" si="27"/>
        <v>-1</v>
      </c>
      <c r="O51" s="11"/>
      <c r="P51" s="6">
        <v>366.16</v>
      </c>
      <c r="Q51" s="2"/>
      <c r="R51" s="7">
        <f t="shared" si="28"/>
        <v>0</v>
      </c>
      <c r="S51" s="2"/>
      <c r="T51" s="6">
        <v>1000</v>
      </c>
      <c r="U51" s="2"/>
      <c r="V51" s="7">
        <f t="shared" si="29"/>
        <v>0</v>
      </c>
      <c r="W51" s="2"/>
      <c r="X51" s="6">
        <f t="shared" si="30"/>
        <v>-633.83999999999992</v>
      </c>
      <c r="Y51" s="2"/>
      <c r="Z51" s="7">
        <f t="shared" si="31"/>
        <v>-0.63383999999999996</v>
      </c>
    </row>
    <row r="52" spans="1:26" s="27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1204.83</v>
      </c>
      <c r="E52" s="1"/>
      <c r="F52" s="5">
        <f t="shared" si="24"/>
        <v>0</v>
      </c>
      <c r="G52" s="1"/>
      <c r="H52" s="1">
        <f>SUM(OSRRefH22_6x_0)</f>
        <v>1000</v>
      </c>
      <c r="I52" s="1"/>
      <c r="J52" s="5">
        <f t="shared" si="25"/>
        <v>0</v>
      </c>
      <c r="K52" s="1"/>
      <c r="L52" s="1">
        <f t="shared" si="26"/>
        <v>204.82999999999993</v>
      </c>
      <c r="M52" s="1"/>
      <c r="N52" s="5">
        <f t="shared" si="27"/>
        <v>0.20482999999999993</v>
      </c>
      <c r="O52" s="13"/>
      <c r="P52" s="1">
        <f>SUM(OSRRefP22_6x_0)</f>
        <v>8717.07</v>
      </c>
      <c r="Q52" s="1"/>
      <c r="R52" s="5">
        <f t="shared" si="28"/>
        <v>0</v>
      </c>
      <c r="S52" s="1"/>
      <c r="T52" s="1">
        <f>SUM(OSRRefT22_6x_0)</f>
        <v>8400</v>
      </c>
      <c r="U52" s="1"/>
      <c r="V52" s="5">
        <f t="shared" si="29"/>
        <v>0</v>
      </c>
      <c r="W52" s="1"/>
      <c r="X52" s="1">
        <f t="shared" si="30"/>
        <v>317.06999999999971</v>
      </c>
      <c r="Y52" s="1"/>
      <c r="Z52" s="5">
        <f t="shared" si="31"/>
        <v>3.7746428571428535E-2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6">
        <v>1204.83</v>
      </c>
      <c r="E53" s="2"/>
      <c r="F53" s="7">
        <f t="shared" si="24"/>
        <v>0</v>
      </c>
      <c r="G53" s="2"/>
      <c r="H53" s="6">
        <v>1000</v>
      </c>
      <c r="I53" s="2"/>
      <c r="J53" s="7">
        <f t="shared" si="25"/>
        <v>0</v>
      </c>
      <c r="K53" s="2"/>
      <c r="L53" s="6">
        <f t="shared" si="26"/>
        <v>204.82999999999993</v>
      </c>
      <c r="M53" s="2"/>
      <c r="N53" s="7">
        <f t="shared" si="27"/>
        <v>0.20482999999999993</v>
      </c>
      <c r="O53" s="11"/>
      <c r="P53" s="6">
        <v>8717.07</v>
      </c>
      <c r="Q53" s="2"/>
      <c r="R53" s="7">
        <f t="shared" si="28"/>
        <v>0</v>
      </c>
      <c r="S53" s="2"/>
      <c r="T53" s="6">
        <v>8400</v>
      </c>
      <c r="U53" s="2"/>
      <c r="V53" s="7">
        <f t="shared" si="29"/>
        <v>0</v>
      </c>
      <c r="W53" s="2"/>
      <c r="X53" s="6">
        <f t="shared" si="30"/>
        <v>317.06999999999971</v>
      </c>
      <c r="Y53" s="2"/>
      <c r="Z53" s="7">
        <f t="shared" si="31"/>
        <v>3.7746428571428535E-2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426</v>
      </c>
      <c r="E54" s="1"/>
      <c r="F54" s="5">
        <f t="shared" si="24"/>
        <v>0</v>
      </c>
      <c r="G54" s="1"/>
      <c r="H54" s="1">
        <f>SUM(OSRRefH22_7x_0)</f>
        <v>1000</v>
      </c>
      <c r="I54" s="1"/>
      <c r="J54" s="5">
        <f t="shared" si="25"/>
        <v>0</v>
      </c>
      <c r="K54" s="1"/>
      <c r="L54" s="1">
        <f t="shared" si="26"/>
        <v>-574</v>
      </c>
      <c r="M54" s="1"/>
      <c r="N54" s="5">
        <f t="shared" si="27"/>
        <v>-0.57399999999999995</v>
      </c>
      <c r="O54" s="13"/>
      <c r="P54" s="1">
        <f>SUM(OSRRefP22_7x_0)</f>
        <v>23117.710000000003</v>
      </c>
      <c r="Q54" s="1"/>
      <c r="R54" s="5">
        <f t="shared" si="28"/>
        <v>0</v>
      </c>
      <c r="S54" s="1"/>
      <c r="T54" s="1">
        <f>SUM(OSRRefT22_7x_0)</f>
        <v>5000</v>
      </c>
      <c r="U54" s="1"/>
      <c r="V54" s="5">
        <f t="shared" si="29"/>
        <v>0</v>
      </c>
      <c r="W54" s="1"/>
      <c r="X54" s="1">
        <f t="shared" si="30"/>
        <v>18117.710000000003</v>
      </c>
      <c r="Y54" s="1"/>
      <c r="Z54" s="5">
        <f t="shared" si="31"/>
        <v>3.6235420000000005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6">
        <v>426</v>
      </c>
      <c r="E55" s="2"/>
      <c r="F55" s="7">
        <f t="shared" si="24"/>
        <v>0</v>
      </c>
      <c r="G55" s="2"/>
      <c r="H55" s="6">
        <v>1000</v>
      </c>
      <c r="I55" s="2"/>
      <c r="J55" s="7">
        <f t="shared" si="25"/>
        <v>0</v>
      </c>
      <c r="K55" s="2"/>
      <c r="L55" s="6">
        <f t="shared" si="26"/>
        <v>-574</v>
      </c>
      <c r="M55" s="2"/>
      <c r="N55" s="7">
        <f t="shared" si="27"/>
        <v>-0.57399999999999995</v>
      </c>
      <c r="O55" s="11"/>
      <c r="P55" s="6">
        <v>23117.710000000003</v>
      </c>
      <c r="Q55" s="2"/>
      <c r="R55" s="7">
        <f t="shared" si="28"/>
        <v>0</v>
      </c>
      <c r="S55" s="2"/>
      <c r="T55" s="6">
        <v>5000</v>
      </c>
      <c r="U55" s="2"/>
      <c r="V55" s="7">
        <f t="shared" si="29"/>
        <v>0</v>
      </c>
      <c r="W55" s="2"/>
      <c r="X55" s="6">
        <f t="shared" si="30"/>
        <v>18117.710000000003</v>
      </c>
      <c r="Y55" s="2"/>
      <c r="Z55" s="7">
        <f t="shared" si="31"/>
        <v>3.6235420000000005</v>
      </c>
    </row>
    <row r="56" spans="1:26" s="27" customFormat="1" outlineLevel="1" collapsed="1" x14ac:dyDescent="0.25">
      <c r="A56" s="26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SUM(OSRRefD22_8x_0)</f>
        <v>9359.85</v>
      </c>
      <c r="E56" s="1"/>
      <c r="F56" s="5">
        <f t="shared" si="24"/>
        <v>0</v>
      </c>
      <c r="G56" s="1"/>
      <c r="H56" s="1">
        <f>SUM(OSRRefH22_8x_0)</f>
        <v>3400</v>
      </c>
      <c r="I56" s="1"/>
      <c r="J56" s="5">
        <f t="shared" si="25"/>
        <v>0</v>
      </c>
      <c r="K56" s="1"/>
      <c r="L56" s="1">
        <f t="shared" si="26"/>
        <v>5959.85</v>
      </c>
      <c r="M56" s="1"/>
      <c r="N56" s="5">
        <f t="shared" si="27"/>
        <v>1.7528970588235295</v>
      </c>
      <c r="O56" s="13"/>
      <c r="P56" s="1">
        <f>SUM(OSRRefP22_8x_0)</f>
        <v>34551.800000000003</v>
      </c>
      <c r="Q56" s="1"/>
      <c r="R56" s="5">
        <f t="shared" si="28"/>
        <v>0</v>
      </c>
      <c r="S56" s="1"/>
      <c r="T56" s="1">
        <f>SUM(OSRRefT22_8x_0)</f>
        <v>27200</v>
      </c>
      <c r="U56" s="1"/>
      <c r="V56" s="5">
        <f t="shared" si="29"/>
        <v>0</v>
      </c>
      <c r="W56" s="1"/>
      <c r="X56" s="1">
        <f t="shared" si="30"/>
        <v>7351.8000000000029</v>
      </c>
      <c r="Y56" s="1"/>
      <c r="Z56" s="5">
        <f t="shared" si="31"/>
        <v>0.27028676470588248</v>
      </c>
    </row>
    <row r="57" spans="1:26" s="24" customFormat="1" hidden="1" outlineLevel="2" x14ac:dyDescent="0.25">
      <c r="A57" s="25"/>
      <c r="B57" s="11" t="str">
        <f>CONCATENATE("          ", "6314", " - ", "LIABILITY INSURANCE")</f>
        <v xml:space="preserve">          6314 - LIABILITY INSURANCE</v>
      </c>
      <c r="C57" s="11"/>
      <c r="D57" s="6">
        <v>9359.85</v>
      </c>
      <c r="E57" s="2"/>
      <c r="F57" s="7">
        <f t="shared" si="24"/>
        <v>0</v>
      </c>
      <c r="G57" s="2"/>
      <c r="H57" s="6">
        <v>3400</v>
      </c>
      <c r="I57" s="2"/>
      <c r="J57" s="7">
        <f t="shared" si="25"/>
        <v>0</v>
      </c>
      <c r="K57" s="2"/>
      <c r="L57" s="6">
        <f t="shared" si="26"/>
        <v>5959.85</v>
      </c>
      <c r="M57" s="2"/>
      <c r="N57" s="7">
        <f t="shared" si="27"/>
        <v>1.7528970588235295</v>
      </c>
      <c r="O57" s="11"/>
      <c r="P57" s="6">
        <v>34551.800000000003</v>
      </c>
      <c r="Q57" s="2"/>
      <c r="R57" s="7">
        <f t="shared" si="28"/>
        <v>0</v>
      </c>
      <c r="S57" s="2"/>
      <c r="T57" s="6">
        <v>27200</v>
      </c>
      <c r="U57" s="2"/>
      <c r="V57" s="7">
        <f t="shared" si="29"/>
        <v>0</v>
      </c>
      <c r="W57" s="2"/>
      <c r="X57" s="6">
        <f t="shared" si="30"/>
        <v>7351.8000000000029</v>
      </c>
      <c r="Y57" s="2"/>
      <c r="Z57" s="7">
        <f t="shared" si="31"/>
        <v>0.27028676470588248</v>
      </c>
    </row>
    <row r="58" spans="1:26" s="27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SUM(OSRRefP22_9x_0)</f>
        <v>125</v>
      </c>
      <c r="Q58" s="1"/>
      <c r="R58" s="5">
        <f t="shared" si="28"/>
        <v>0</v>
      </c>
      <c r="S58" s="1"/>
      <c r="T58" s="1">
        <f>SUM(OSRRefT22_9x_0)</f>
        <v>0</v>
      </c>
      <c r="U58" s="1"/>
      <c r="V58" s="5">
        <f t="shared" si="29"/>
        <v>0</v>
      </c>
      <c r="W58" s="1"/>
      <c r="X58" s="1">
        <f t="shared" si="30"/>
        <v>125</v>
      </c>
      <c r="Y58" s="1"/>
      <c r="Z58" s="5">
        <f t="shared" si="31"/>
        <v>0</v>
      </c>
    </row>
    <row r="59" spans="1:26" s="24" customFormat="1" hidden="1" outlineLevel="2" x14ac:dyDescent="0.25">
      <c r="A59" s="25"/>
      <c r="B59" s="11" t="str">
        <f>CONCATENATE("          ", "6336", " - ", "PROFESSIONAL SERVICES")</f>
        <v xml:space="preserve">          6336 - PROFESSIONAL SERVICES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125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125</v>
      </c>
      <c r="Y59" s="2"/>
      <c r="Z59" s="7">
        <f t="shared" si="31"/>
        <v>0</v>
      </c>
    </row>
    <row r="60" spans="1:26" s="27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SUM(OSRRefD22_10x_0)</f>
        <v>8089.63</v>
      </c>
      <c r="E60" s="1"/>
      <c r="F60" s="5">
        <f t="shared" si="24"/>
        <v>0</v>
      </c>
      <c r="G60" s="1"/>
      <c r="H60" s="1">
        <f>SUM(OSRRefH22_10x_0)</f>
        <v>21700</v>
      </c>
      <c r="I60" s="1"/>
      <c r="J60" s="5">
        <f t="shared" si="25"/>
        <v>0</v>
      </c>
      <c r="K60" s="1"/>
      <c r="L60" s="1">
        <f t="shared" si="26"/>
        <v>-13610.369999999999</v>
      </c>
      <c r="M60" s="1"/>
      <c r="N60" s="5">
        <f t="shared" si="27"/>
        <v>-0.62720599078341011</v>
      </c>
      <c r="O60" s="13"/>
      <c r="P60" s="1">
        <f>SUM(OSRRefP22_10x_0)</f>
        <v>93810.1</v>
      </c>
      <c r="Q60" s="1"/>
      <c r="R60" s="5">
        <f t="shared" si="28"/>
        <v>0</v>
      </c>
      <c r="S60" s="1"/>
      <c r="T60" s="1">
        <f>SUM(OSRRefT22_10x_0)</f>
        <v>131100</v>
      </c>
      <c r="U60" s="1"/>
      <c r="V60" s="5">
        <f t="shared" si="29"/>
        <v>0</v>
      </c>
      <c r="W60" s="1"/>
      <c r="X60" s="1">
        <f t="shared" si="30"/>
        <v>-37289.899999999994</v>
      </c>
      <c r="Y60" s="1"/>
      <c r="Z60" s="5">
        <f t="shared" si="31"/>
        <v>-0.28443859649122805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24"/>
        <v>0</v>
      </c>
      <c r="G61" s="2"/>
      <c r="H61" s="6">
        <v>500</v>
      </c>
      <c r="I61" s="2"/>
      <c r="J61" s="7">
        <f t="shared" si="25"/>
        <v>0</v>
      </c>
      <c r="K61" s="2"/>
      <c r="L61" s="6">
        <f t="shared" si="26"/>
        <v>-500</v>
      </c>
      <c r="M61" s="2"/>
      <c r="N61" s="7">
        <f t="shared" si="27"/>
        <v>-1</v>
      </c>
      <c r="O61" s="11"/>
      <c r="P61" s="6"/>
      <c r="Q61" s="2"/>
      <c r="R61" s="7">
        <f t="shared" si="28"/>
        <v>0</v>
      </c>
      <c r="S61" s="2"/>
      <c r="T61" s="6">
        <v>1500</v>
      </c>
      <c r="U61" s="2"/>
      <c r="V61" s="7">
        <f t="shared" si="29"/>
        <v>0</v>
      </c>
      <c r="W61" s="2"/>
      <c r="X61" s="6">
        <f t="shared" si="30"/>
        <v>-1500</v>
      </c>
      <c r="Y61" s="2"/>
      <c r="Z61" s="7">
        <f t="shared" si="31"/>
        <v>-1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>
        <v>5033.25</v>
      </c>
      <c r="E62" s="2"/>
      <c r="F62" s="7">
        <f t="shared" si="24"/>
        <v>0</v>
      </c>
      <c r="G62" s="2"/>
      <c r="H62" s="6">
        <v>1200</v>
      </c>
      <c r="I62" s="2"/>
      <c r="J62" s="7">
        <f t="shared" si="25"/>
        <v>0</v>
      </c>
      <c r="K62" s="2"/>
      <c r="L62" s="6">
        <f t="shared" si="26"/>
        <v>3833.25</v>
      </c>
      <c r="M62" s="2"/>
      <c r="N62" s="7">
        <f t="shared" si="27"/>
        <v>3.194375</v>
      </c>
      <c r="O62" s="11"/>
      <c r="P62" s="6">
        <v>48532.83</v>
      </c>
      <c r="Q62" s="2"/>
      <c r="R62" s="7">
        <f t="shared" si="28"/>
        <v>0</v>
      </c>
      <c r="S62" s="2"/>
      <c r="T62" s="6">
        <v>9600</v>
      </c>
      <c r="U62" s="2"/>
      <c r="V62" s="7">
        <f t="shared" si="29"/>
        <v>0</v>
      </c>
      <c r="W62" s="2"/>
      <c r="X62" s="6">
        <f t="shared" si="30"/>
        <v>38932.83</v>
      </c>
      <c r="Y62" s="2"/>
      <c r="Z62" s="7">
        <f t="shared" si="31"/>
        <v>4.0555031250000004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3056.38</v>
      </c>
      <c r="E63" s="2"/>
      <c r="F63" s="7">
        <f t="shared" si="24"/>
        <v>0</v>
      </c>
      <c r="G63" s="2"/>
      <c r="H63" s="6">
        <v>20000</v>
      </c>
      <c r="I63" s="2"/>
      <c r="J63" s="7">
        <f t="shared" si="25"/>
        <v>0</v>
      </c>
      <c r="K63" s="2"/>
      <c r="L63" s="6">
        <f t="shared" si="26"/>
        <v>-16943.62</v>
      </c>
      <c r="M63" s="2"/>
      <c r="N63" s="7">
        <f t="shared" si="27"/>
        <v>-0.84718099999999996</v>
      </c>
      <c r="O63" s="11"/>
      <c r="P63" s="6">
        <v>45277.270000000004</v>
      </c>
      <c r="Q63" s="2"/>
      <c r="R63" s="7">
        <f t="shared" si="28"/>
        <v>0</v>
      </c>
      <c r="S63" s="2"/>
      <c r="T63" s="6">
        <v>120000</v>
      </c>
      <c r="U63" s="2"/>
      <c r="V63" s="7">
        <f t="shared" si="29"/>
        <v>0</v>
      </c>
      <c r="W63" s="2"/>
      <c r="X63" s="6">
        <f t="shared" si="30"/>
        <v>-74722.73</v>
      </c>
      <c r="Y63" s="2"/>
      <c r="Z63" s="7">
        <f t="shared" si="31"/>
        <v>-0.62268941666666666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SUM(OSRRefD22_11x_0)</f>
        <v>15566.619999999999</v>
      </c>
      <c r="E64" s="1"/>
      <c r="F64" s="5">
        <f t="shared" ref="F64:F69" si="32">IF(D$12=0,0,D64/D$12)</f>
        <v>0</v>
      </c>
      <c r="G64" s="1"/>
      <c r="H64" s="1">
        <f>SUM(OSRRefH22_11x_0)</f>
        <v>13685</v>
      </c>
      <c r="I64" s="1"/>
      <c r="J64" s="5">
        <f t="shared" ref="J64:J69" si="33">IF(H$12=0,0,H64/H$12)</f>
        <v>0</v>
      </c>
      <c r="K64" s="1"/>
      <c r="L64" s="1">
        <f t="shared" ref="L64:L69" si="34">+D64-H64</f>
        <v>1881.619999999999</v>
      </c>
      <c r="M64" s="1"/>
      <c r="N64" s="5">
        <f t="shared" ref="N64:N69" si="35">IF(H64=0,0,L64/H64)</f>
        <v>0.13749506759225422</v>
      </c>
      <c r="O64" s="13"/>
      <c r="P64" s="1">
        <f>SUM(OSRRefP22_11x_0)</f>
        <v>114612.13999999998</v>
      </c>
      <c r="Q64" s="1"/>
      <c r="R64" s="5">
        <f t="shared" ref="R64:R69" si="36">IF(P$12=0,0,P64/P$12)</f>
        <v>0</v>
      </c>
      <c r="S64" s="1"/>
      <c r="T64" s="1">
        <f>SUM(OSRRefT22_11x_0)</f>
        <v>109445</v>
      </c>
      <c r="U64" s="1"/>
      <c r="V64" s="5">
        <f t="shared" ref="V64:V69" si="37">IF(T$12=0,0,T64/T$12)</f>
        <v>0</v>
      </c>
      <c r="W64" s="1"/>
      <c r="X64" s="1">
        <f t="shared" ref="X64:X69" si="38">+P64-T64</f>
        <v>5167.1399999999849</v>
      </c>
      <c r="Y64" s="1"/>
      <c r="Z64" s="5">
        <f t="shared" ref="Z64:Z69" si="39">IF(T64=0,0,X64/T64)</f>
        <v>4.721220704463415E-2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626.26</v>
      </c>
      <c r="E65" s="2"/>
      <c r="F65" s="7">
        <f t="shared" si="32"/>
        <v>0</v>
      </c>
      <c r="G65" s="2"/>
      <c r="H65" s="6">
        <v>650</v>
      </c>
      <c r="I65" s="2"/>
      <c r="J65" s="7">
        <f t="shared" si="33"/>
        <v>0</v>
      </c>
      <c r="K65" s="2"/>
      <c r="L65" s="6">
        <f t="shared" si="34"/>
        <v>-23.740000000000009</v>
      </c>
      <c r="M65" s="2"/>
      <c r="N65" s="7">
        <f t="shared" si="35"/>
        <v>-3.6523076923076936E-2</v>
      </c>
      <c r="O65" s="11"/>
      <c r="P65" s="6">
        <v>5636.34</v>
      </c>
      <c r="Q65" s="2"/>
      <c r="R65" s="7">
        <f t="shared" si="36"/>
        <v>0</v>
      </c>
      <c r="S65" s="2"/>
      <c r="T65" s="6">
        <v>5200</v>
      </c>
      <c r="U65" s="2"/>
      <c r="V65" s="7">
        <f t="shared" si="37"/>
        <v>0</v>
      </c>
      <c r="W65" s="2"/>
      <c r="X65" s="6">
        <f t="shared" si="38"/>
        <v>436.34000000000015</v>
      </c>
      <c r="Y65" s="2"/>
      <c r="Z65" s="7">
        <f t="shared" si="39"/>
        <v>8.3911538461538496E-2</v>
      </c>
    </row>
    <row r="66" spans="1:26" s="24" customFormat="1" hidden="1" outlineLevel="2" x14ac:dyDescent="0.25">
      <c r="A66" s="25"/>
      <c r="B66" s="11" t="str">
        <f>CONCATENATE("          ", "6283", " - ", "PLANT SERVICE")</f>
        <v xml:space="preserve">          6283 - PLANT SERVICE</v>
      </c>
      <c r="C66" s="11"/>
      <c r="D66" s="6">
        <v>35.53</v>
      </c>
      <c r="E66" s="2"/>
      <c r="F66" s="7">
        <f t="shared" si="32"/>
        <v>0</v>
      </c>
      <c r="G66" s="2"/>
      <c r="H66" s="6">
        <v>35</v>
      </c>
      <c r="I66" s="2"/>
      <c r="J66" s="7">
        <f t="shared" si="33"/>
        <v>0</v>
      </c>
      <c r="K66" s="2"/>
      <c r="L66" s="6">
        <f t="shared" si="34"/>
        <v>0.53000000000000114</v>
      </c>
      <c r="M66" s="2"/>
      <c r="N66" s="7">
        <f t="shared" si="35"/>
        <v>1.5142857142857175E-2</v>
      </c>
      <c r="O66" s="11"/>
      <c r="P66" s="6">
        <v>177.65</v>
      </c>
      <c r="Q66" s="2"/>
      <c r="R66" s="7">
        <f t="shared" si="36"/>
        <v>0</v>
      </c>
      <c r="S66" s="2"/>
      <c r="T66" s="6">
        <v>245</v>
      </c>
      <c r="U66" s="2"/>
      <c r="V66" s="7">
        <f t="shared" si="37"/>
        <v>0</v>
      </c>
      <c r="W66" s="2"/>
      <c r="X66" s="6">
        <f t="shared" si="38"/>
        <v>-67.349999999999994</v>
      </c>
      <c r="Y66" s="2"/>
      <c r="Z66" s="7">
        <f t="shared" si="39"/>
        <v>-0.27489795918367343</v>
      </c>
    </row>
    <row r="67" spans="1:26" s="24" customFormat="1" hidden="1" outlineLevel="2" x14ac:dyDescent="0.25">
      <c r="A67" s="25"/>
      <c r="B67" s="11" t="str">
        <f>CONCATENATE("          ", "6284", " - ", "TRASH REMOVAL EXPENSE")</f>
        <v xml:space="preserve">          6284 - TRASH REMOVAL EXPENSE</v>
      </c>
      <c r="C67" s="11"/>
      <c r="D67" s="6">
        <v>4254</v>
      </c>
      <c r="E67" s="2"/>
      <c r="F67" s="7">
        <f t="shared" si="32"/>
        <v>0</v>
      </c>
      <c r="G67" s="2"/>
      <c r="H67" s="6">
        <v>3000</v>
      </c>
      <c r="I67" s="2"/>
      <c r="J67" s="7">
        <f t="shared" si="33"/>
        <v>0</v>
      </c>
      <c r="K67" s="2"/>
      <c r="L67" s="6">
        <f t="shared" si="34"/>
        <v>1254</v>
      </c>
      <c r="M67" s="2"/>
      <c r="N67" s="7">
        <f t="shared" si="35"/>
        <v>0.41799999999999998</v>
      </c>
      <c r="O67" s="11"/>
      <c r="P67" s="6">
        <v>26249</v>
      </c>
      <c r="Q67" s="2"/>
      <c r="R67" s="7">
        <f t="shared" si="36"/>
        <v>0</v>
      </c>
      <c r="S67" s="2"/>
      <c r="T67" s="6">
        <v>24000</v>
      </c>
      <c r="U67" s="2"/>
      <c r="V67" s="7">
        <f t="shared" si="37"/>
        <v>0</v>
      </c>
      <c r="W67" s="2"/>
      <c r="X67" s="6">
        <f t="shared" si="38"/>
        <v>2249</v>
      </c>
      <c r="Y67" s="2"/>
      <c r="Z67" s="7">
        <f t="shared" si="39"/>
        <v>9.3708333333333338E-2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>
        <v>10551.47</v>
      </c>
      <c r="E68" s="2"/>
      <c r="F68" s="7">
        <f t="shared" si="32"/>
        <v>0</v>
      </c>
      <c r="G68" s="2"/>
      <c r="H68" s="6">
        <v>9500</v>
      </c>
      <c r="I68" s="2"/>
      <c r="J68" s="7">
        <f t="shared" si="33"/>
        <v>0</v>
      </c>
      <c r="K68" s="2"/>
      <c r="L68" s="6">
        <f t="shared" si="34"/>
        <v>1051.4699999999993</v>
      </c>
      <c r="M68" s="2"/>
      <c r="N68" s="7">
        <f t="shared" si="35"/>
        <v>0.11068105263157887</v>
      </c>
      <c r="O68" s="11"/>
      <c r="P68" s="6">
        <v>81854</v>
      </c>
      <c r="Q68" s="2"/>
      <c r="R68" s="7">
        <f t="shared" si="36"/>
        <v>0</v>
      </c>
      <c r="S68" s="2"/>
      <c r="T68" s="6">
        <v>76000</v>
      </c>
      <c r="U68" s="2"/>
      <c r="V68" s="7">
        <f t="shared" si="37"/>
        <v>0</v>
      </c>
      <c r="W68" s="2"/>
      <c r="X68" s="6">
        <f t="shared" si="38"/>
        <v>5854</v>
      </c>
      <c r="Y68" s="2"/>
      <c r="Z68" s="7">
        <f t="shared" si="39"/>
        <v>7.7026315789473679E-2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99.36</v>
      </c>
      <c r="E69" s="2"/>
      <c r="F69" s="7">
        <f t="shared" si="32"/>
        <v>0</v>
      </c>
      <c r="G69" s="2"/>
      <c r="H69" s="6">
        <v>500</v>
      </c>
      <c r="I69" s="2"/>
      <c r="J69" s="7">
        <f t="shared" si="33"/>
        <v>0</v>
      </c>
      <c r="K69" s="2"/>
      <c r="L69" s="6">
        <f t="shared" si="34"/>
        <v>-400.64</v>
      </c>
      <c r="M69" s="2"/>
      <c r="N69" s="7">
        <f t="shared" si="35"/>
        <v>-0.80127999999999999</v>
      </c>
      <c r="O69" s="11"/>
      <c r="P69" s="6">
        <v>695.15</v>
      </c>
      <c r="Q69" s="2"/>
      <c r="R69" s="7">
        <f t="shared" si="36"/>
        <v>0</v>
      </c>
      <c r="S69" s="2"/>
      <c r="T69" s="6">
        <v>4000</v>
      </c>
      <c r="U69" s="2"/>
      <c r="V69" s="7">
        <f t="shared" si="37"/>
        <v>0</v>
      </c>
      <c r="W69" s="2"/>
      <c r="X69" s="6">
        <f t="shared" si="38"/>
        <v>-3304.85</v>
      </c>
      <c r="Y69" s="2"/>
      <c r="Z69" s="7">
        <f t="shared" si="39"/>
        <v>-0.82621250000000002</v>
      </c>
    </row>
    <row r="70" spans="1:26" s="27" customFormat="1" outlineLevel="1" collapsed="1" x14ac:dyDescent="0.25">
      <c r="A70" s="26"/>
      <c r="B70" s="13" t="str">
        <f>CONCATENATE("     ","Subscriptions &amp; Dues                              ")</f>
        <v xml:space="preserve">     Subscriptions &amp; Dues                              </v>
      </c>
      <c r="C70" s="13"/>
      <c r="D70" s="1">
        <f>SUM(OSRRefD22_12x_0)</f>
        <v>0</v>
      </c>
      <c r="E70" s="1"/>
      <c r="F70" s="5">
        <f t="shared" ref="F70:F80" si="40">IF(D$12=0,0,D70/D$12)</f>
        <v>0</v>
      </c>
      <c r="G70" s="1"/>
      <c r="H70" s="1">
        <f>SUM(OSRRefH22_12x_0)</f>
        <v>0</v>
      </c>
      <c r="I70" s="1"/>
      <c r="J70" s="5">
        <f t="shared" ref="J70:J80" si="41">IF(H$12=0,0,H70/H$12)</f>
        <v>0</v>
      </c>
      <c r="K70" s="1"/>
      <c r="L70" s="1">
        <f t="shared" ref="L70:L80" si="42">+D70-H70</f>
        <v>0</v>
      </c>
      <c r="M70" s="1"/>
      <c r="N70" s="5">
        <f t="shared" ref="N70:N80" si="43">IF(H70=0,0,L70/H70)</f>
        <v>0</v>
      </c>
      <c r="O70" s="13"/>
      <c r="P70" s="1">
        <f>SUM(OSRRefP22_12x_0)</f>
        <v>795</v>
      </c>
      <c r="Q70" s="1"/>
      <c r="R70" s="5">
        <f t="shared" ref="R70:R80" si="44">IF(P$12=0,0,P70/P$12)</f>
        <v>0</v>
      </c>
      <c r="S70" s="1"/>
      <c r="T70" s="1">
        <f>SUM(OSRRefT22_12x_0)</f>
        <v>0</v>
      </c>
      <c r="U70" s="1"/>
      <c r="V70" s="5">
        <f t="shared" ref="V70:V80" si="45">IF(T$12=0,0,T70/T$12)</f>
        <v>0</v>
      </c>
      <c r="W70" s="1"/>
      <c r="X70" s="1">
        <f t="shared" ref="X70:X80" si="46">+P70-T70</f>
        <v>795</v>
      </c>
      <c r="Y70" s="1"/>
      <c r="Z70" s="5">
        <f t="shared" ref="Z70:Z80" si="47">IF(T70=0,0,X70/T70)</f>
        <v>0</v>
      </c>
    </row>
    <row r="71" spans="1:26" s="24" customFormat="1" hidden="1" outlineLevel="2" x14ac:dyDescent="0.25">
      <c r="A71" s="25"/>
      <c r="B71" s="11" t="str">
        <f>CONCATENATE("          ", "6258", " - ", "MEMBERSHIP DUES")</f>
        <v xml:space="preserve">          6258 - MEMBERSHIP DUES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795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795</v>
      </c>
      <c r="Y71" s="2"/>
      <c r="Z71" s="7">
        <f t="shared" si="47"/>
        <v>0</v>
      </c>
    </row>
    <row r="72" spans="1:26" s="27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SUM(OSRRefD22_13x_0)</f>
        <v>7888.79</v>
      </c>
      <c r="E72" s="1"/>
      <c r="F72" s="5">
        <f t="shared" si="40"/>
        <v>0</v>
      </c>
      <c r="G72" s="1"/>
      <c r="H72" s="1">
        <f>SUM(OSRRefH22_13x_0)</f>
        <v>5100</v>
      </c>
      <c r="I72" s="1"/>
      <c r="J72" s="5">
        <f t="shared" si="41"/>
        <v>0</v>
      </c>
      <c r="K72" s="1"/>
      <c r="L72" s="1">
        <f t="shared" si="42"/>
        <v>2788.79</v>
      </c>
      <c r="M72" s="1"/>
      <c r="N72" s="5">
        <f t="shared" si="43"/>
        <v>0.54682156862745102</v>
      </c>
      <c r="O72" s="13"/>
      <c r="P72" s="1">
        <f>SUM(OSRRefP22_13x_0)</f>
        <v>59158.43</v>
      </c>
      <c r="Q72" s="1"/>
      <c r="R72" s="5">
        <f t="shared" si="44"/>
        <v>0</v>
      </c>
      <c r="S72" s="1"/>
      <c r="T72" s="1">
        <f>SUM(OSRRefT22_13x_0)</f>
        <v>43600</v>
      </c>
      <c r="U72" s="1"/>
      <c r="V72" s="5">
        <f t="shared" si="45"/>
        <v>0</v>
      </c>
      <c r="W72" s="1"/>
      <c r="X72" s="1">
        <f t="shared" si="46"/>
        <v>15558.43</v>
      </c>
      <c r="Y72" s="1"/>
      <c r="Z72" s="5">
        <f t="shared" si="47"/>
        <v>0.35684472477064222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8091.25</v>
      </c>
      <c r="Q73" s="2"/>
      <c r="R73" s="7">
        <f t="shared" si="44"/>
        <v>0</v>
      </c>
      <c r="S73" s="2"/>
      <c r="T73" s="6"/>
      <c r="U73" s="2"/>
      <c r="V73" s="7">
        <f t="shared" si="45"/>
        <v>0</v>
      </c>
      <c r="W73" s="2"/>
      <c r="X73" s="6">
        <f t="shared" si="46"/>
        <v>8091.25</v>
      </c>
      <c r="Y73" s="2"/>
      <c r="Z73" s="7">
        <f t="shared" si="47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>
        <v>4992.68</v>
      </c>
      <c r="E74" s="2"/>
      <c r="F74" s="7">
        <f t="shared" si="40"/>
        <v>0</v>
      </c>
      <c r="G74" s="2"/>
      <c r="H74" s="6">
        <v>3000</v>
      </c>
      <c r="I74" s="2"/>
      <c r="J74" s="7">
        <f t="shared" si="41"/>
        <v>0</v>
      </c>
      <c r="K74" s="2"/>
      <c r="L74" s="6">
        <f t="shared" si="42"/>
        <v>1992.6800000000003</v>
      </c>
      <c r="M74" s="2"/>
      <c r="N74" s="7">
        <f t="shared" si="43"/>
        <v>0.66422666666666674</v>
      </c>
      <c r="O74" s="11"/>
      <c r="P74" s="6">
        <v>31472.030000000002</v>
      </c>
      <c r="Q74" s="2"/>
      <c r="R74" s="7">
        <f t="shared" si="44"/>
        <v>0</v>
      </c>
      <c r="S74" s="2"/>
      <c r="T74" s="6">
        <v>27000</v>
      </c>
      <c r="U74" s="2"/>
      <c r="V74" s="7">
        <f t="shared" si="45"/>
        <v>0</v>
      </c>
      <c r="W74" s="2"/>
      <c r="X74" s="6">
        <f t="shared" si="46"/>
        <v>4472.0300000000025</v>
      </c>
      <c r="Y74" s="2"/>
      <c r="Z74" s="7">
        <f t="shared" si="47"/>
        <v>0.16563074074074083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>
        <v>2275.1999999999998</v>
      </c>
      <c r="E75" s="2"/>
      <c r="F75" s="7">
        <f t="shared" si="40"/>
        <v>0</v>
      </c>
      <c r="G75" s="2"/>
      <c r="H75" s="6">
        <v>1500</v>
      </c>
      <c r="I75" s="2"/>
      <c r="J75" s="7">
        <f t="shared" si="41"/>
        <v>0</v>
      </c>
      <c r="K75" s="2"/>
      <c r="L75" s="6">
        <f t="shared" si="42"/>
        <v>775.19999999999982</v>
      </c>
      <c r="M75" s="2"/>
      <c r="N75" s="7">
        <f t="shared" si="43"/>
        <v>0.51679999999999993</v>
      </c>
      <c r="O75" s="11"/>
      <c r="P75" s="6">
        <v>17613.870000000003</v>
      </c>
      <c r="Q75" s="2"/>
      <c r="R75" s="7">
        <f t="shared" si="44"/>
        <v>0</v>
      </c>
      <c r="S75" s="2"/>
      <c r="T75" s="6">
        <v>7500</v>
      </c>
      <c r="U75" s="2"/>
      <c r="V75" s="7">
        <f t="shared" si="45"/>
        <v>0</v>
      </c>
      <c r="W75" s="2"/>
      <c r="X75" s="6">
        <f t="shared" si="46"/>
        <v>10113.870000000003</v>
      </c>
      <c r="Y75" s="2"/>
      <c r="Z75" s="7">
        <f t="shared" si="47"/>
        <v>1.3485160000000003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113.58</v>
      </c>
      <c r="E76" s="2"/>
      <c r="F76" s="7">
        <f t="shared" si="40"/>
        <v>0</v>
      </c>
      <c r="G76" s="2"/>
      <c r="H76" s="6">
        <v>200</v>
      </c>
      <c r="I76" s="2"/>
      <c r="J76" s="7">
        <f t="shared" si="41"/>
        <v>0</v>
      </c>
      <c r="K76" s="2"/>
      <c r="L76" s="6">
        <f t="shared" si="42"/>
        <v>-86.42</v>
      </c>
      <c r="M76" s="2"/>
      <c r="N76" s="7">
        <f t="shared" si="43"/>
        <v>-0.43209999999999998</v>
      </c>
      <c r="O76" s="11"/>
      <c r="P76" s="6">
        <v>1159.06</v>
      </c>
      <c r="Q76" s="2"/>
      <c r="R76" s="7">
        <f t="shared" si="44"/>
        <v>0</v>
      </c>
      <c r="S76" s="2"/>
      <c r="T76" s="6">
        <v>1900</v>
      </c>
      <c r="U76" s="2"/>
      <c r="V76" s="7">
        <f t="shared" si="45"/>
        <v>0</v>
      </c>
      <c r="W76" s="2"/>
      <c r="X76" s="6">
        <f t="shared" si="46"/>
        <v>-740.94</v>
      </c>
      <c r="Y76" s="2"/>
      <c r="Z76" s="7">
        <f t="shared" si="47"/>
        <v>-0.38996842105263163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396.76</v>
      </c>
      <c r="E77" s="2"/>
      <c r="F77" s="7">
        <f t="shared" si="40"/>
        <v>0</v>
      </c>
      <c r="G77" s="2"/>
      <c r="H77" s="6">
        <v>400</v>
      </c>
      <c r="I77" s="2"/>
      <c r="J77" s="7">
        <f t="shared" si="41"/>
        <v>0</v>
      </c>
      <c r="K77" s="2"/>
      <c r="L77" s="6">
        <f t="shared" si="42"/>
        <v>-3.2400000000000091</v>
      </c>
      <c r="M77" s="2"/>
      <c r="N77" s="7">
        <f t="shared" si="43"/>
        <v>-8.1000000000000221E-3</v>
      </c>
      <c r="O77" s="11"/>
      <c r="P77" s="6">
        <v>396.76</v>
      </c>
      <c r="Q77" s="2"/>
      <c r="R77" s="7">
        <f t="shared" si="44"/>
        <v>0</v>
      </c>
      <c r="S77" s="2"/>
      <c r="T77" s="6">
        <v>3200</v>
      </c>
      <c r="U77" s="2"/>
      <c r="V77" s="7">
        <f t="shared" si="45"/>
        <v>0</v>
      </c>
      <c r="W77" s="2"/>
      <c r="X77" s="6">
        <f t="shared" si="46"/>
        <v>-2803.24</v>
      </c>
      <c r="Y77" s="2"/>
      <c r="Z77" s="7">
        <f t="shared" si="47"/>
        <v>-0.87601249999999997</v>
      </c>
    </row>
    <row r="78" spans="1:26" s="24" customFormat="1" hidden="1" outlineLevel="2" x14ac:dyDescent="0.25">
      <c r="A78" s="25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40"/>
        <v>0</v>
      </c>
      <c r="G78" s="2"/>
      <c r="H78" s="6"/>
      <c r="I78" s="2"/>
      <c r="J78" s="7">
        <f t="shared" si="41"/>
        <v>0</v>
      </c>
      <c r="K78" s="2"/>
      <c r="L78" s="6">
        <f t="shared" si="42"/>
        <v>0</v>
      </c>
      <c r="M78" s="2"/>
      <c r="N78" s="7">
        <f t="shared" si="43"/>
        <v>0</v>
      </c>
      <c r="O78" s="11"/>
      <c r="P78" s="6">
        <v>15.99</v>
      </c>
      <c r="Q78" s="2"/>
      <c r="R78" s="7">
        <f t="shared" si="44"/>
        <v>0</v>
      </c>
      <c r="S78" s="2"/>
      <c r="T78" s="6">
        <v>1500</v>
      </c>
      <c r="U78" s="2"/>
      <c r="V78" s="7">
        <f t="shared" si="45"/>
        <v>0</v>
      </c>
      <c r="W78" s="2"/>
      <c r="X78" s="6">
        <f t="shared" si="46"/>
        <v>-1484.01</v>
      </c>
      <c r="Y78" s="2"/>
      <c r="Z78" s="7">
        <f t="shared" si="47"/>
        <v>-0.98934</v>
      </c>
    </row>
    <row r="79" spans="1:26" s="24" customFormat="1" hidden="1" outlineLevel="2" x14ac:dyDescent="0.25">
      <c r="A79" s="25"/>
      <c r="B79" s="11" t="str">
        <f>CONCATENATE("          ", "6247", " - ", "STORE SUPPLIES")</f>
        <v xml:space="preserve">          6247 - STORE SUPPLIES</v>
      </c>
      <c r="C79" s="11"/>
      <c r="D79" s="6">
        <v>110.57</v>
      </c>
      <c r="E79" s="2"/>
      <c r="F79" s="7">
        <f t="shared" si="40"/>
        <v>0</v>
      </c>
      <c r="G79" s="2"/>
      <c r="H79" s="6"/>
      <c r="I79" s="2"/>
      <c r="J79" s="7">
        <f t="shared" si="41"/>
        <v>0</v>
      </c>
      <c r="K79" s="2"/>
      <c r="L79" s="6">
        <f t="shared" si="42"/>
        <v>110.57</v>
      </c>
      <c r="M79" s="2"/>
      <c r="N79" s="7">
        <f t="shared" si="43"/>
        <v>0</v>
      </c>
      <c r="O79" s="11"/>
      <c r="P79" s="6">
        <v>110.57</v>
      </c>
      <c r="Q79" s="2"/>
      <c r="R79" s="7">
        <f t="shared" si="44"/>
        <v>0</v>
      </c>
      <c r="S79" s="2"/>
      <c r="T79" s="6"/>
      <c r="U79" s="2"/>
      <c r="V79" s="7">
        <f t="shared" si="45"/>
        <v>0</v>
      </c>
      <c r="W79" s="2"/>
      <c r="X79" s="6">
        <f t="shared" si="46"/>
        <v>110.57</v>
      </c>
      <c r="Y79" s="2"/>
      <c r="Z79" s="7">
        <f t="shared" si="47"/>
        <v>0</v>
      </c>
    </row>
    <row r="80" spans="1:26" s="24" customFormat="1" hidden="1" outlineLevel="2" x14ac:dyDescent="0.25">
      <c r="A80" s="25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40"/>
        <v>0</v>
      </c>
      <c r="G80" s="2"/>
      <c r="H80" s="6"/>
      <c r="I80" s="2"/>
      <c r="J80" s="7">
        <f t="shared" si="41"/>
        <v>0</v>
      </c>
      <c r="K80" s="2"/>
      <c r="L80" s="6">
        <f t="shared" si="42"/>
        <v>0</v>
      </c>
      <c r="M80" s="2"/>
      <c r="N80" s="7">
        <f t="shared" si="43"/>
        <v>0</v>
      </c>
      <c r="O80" s="11"/>
      <c r="P80" s="6">
        <v>298.89999999999998</v>
      </c>
      <c r="Q80" s="2"/>
      <c r="R80" s="7">
        <f t="shared" si="44"/>
        <v>0</v>
      </c>
      <c r="S80" s="2"/>
      <c r="T80" s="6">
        <v>2500</v>
      </c>
      <c r="U80" s="2"/>
      <c r="V80" s="7">
        <f t="shared" si="45"/>
        <v>0</v>
      </c>
      <c r="W80" s="2"/>
      <c r="X80" s="6">
        <f t="shared" si="46"/>
        <v>-2201.1</v>
      </c>
      <c r="Y80" s="2"/>
      <c r="Z80" s="7">
        <f t="shared" si="47"/>
        <v>-0.88044</v>
      </c>
    </row>
    <row r="81" spans="1:26" s="27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SUM(OSRRefD22_14x_0)</f>
        <v>346.57</v>
      </c>
      <c r="E81" s="1"/>
      <c r="F81" s="5">
        <f t="shared" ref="F81:F88" si="48">IF(D$12=0,0,D81/D$12)</f>
        <v>0</v>
      </c>
      <c r="G81" s="1"/>
      <c r="H81" s="1">
        <f>SUM(OSRRefH22_14x_0)</f>
        <v>500</v>
      </c>
      <c r="I81" s="1"/>
      <c r="J81" s="5">
        <f t="shared" ref="J81:J88" si="49">IF(H$12=0,0,H81/H$12)</f>
        <v>0</v>
      </c>
      <c r="K81" s="1"/>
      <c r="L81" s="1">
        <f t="shared" ref="L81:L88" si="50">+D81-H81</f>
        <v>-153.43</v>
      </c>
      <c r="M81" s="1"/>
      <c r="N81" s="5">
        <f t="shared" ref="N81:N88" si="51">IF(H81=0,0,L81/H81)</f>
        <v>-0.30686000000000002</v>
      </c>
      <c r="O81" s="13"/>
      <c r="P81" s="1">
        <f>SUM(OSRRefP22_14x_0)</f>
        <v>3250.35</v>
      </c>
      <c r="Q81" s="1"/>
      <c r="R81" s="5">
        <f t="shared" ref="R81:R88" si="52">IF(P$12=0,0,P81/P$12)</f>
        <v>0</v>
      </c>
      <c r="S81" s="1"/>
      <c r="T81" s="1">
        <f>SUM(OSRRefT22_14x_0)</f>
        <v>4000</v>
      </c>
      <c r="U81" s="1"/>
      <c r="V81" s="5">
        <f t="shared" ref="V81:V88" si="53">IF(T$12=0,0,T81/T$12)</f>
        <v>0</v>
      </c>
      <c r="W81" s="1"/>
      <c r="X81" s="1">
        <f t="shared" ref="X81:X88" si="54">+P81-T81</f>
        <v>-749.65000000000009</v>
      </c>
      <c r="Y81" s="1"/>
      <c r="Z81" s="5">
        <f t="shared" ref="Z81:Z88" si="55">IF(T81=0,0,X81/T81)</f>
        <v>-0.18741250000000001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6">
        <v>346.57</v>
      </c>
      <c r="E82" s="2"/>
      <c r="F82" s="7">
        <f t="shared" si="48"/>
        <v>0</v>
      </c>
      <c r="G82" s="2"/>
      <c r="H82" s="6">
        <v>500</v>
      </c>
      <c r="I82" s="2"/>
      <c r="J82" s="7">
        <f t="shared" si="49"/>
        <v>0</v>
      </c>
      <c r="K82" s="2"/>
      <c r="L82" s="6">
        <f t="shared" si="50"/>
        <v>-153.43</v>
      </c>
      <c r="M82" s="2"/>
      <c r="N82" s="7">
        <f t="shared" si="51"/>
        <v>-0.30686000000000002</v>
      </c>
      <c r="O82" s="11"/>
      <c r="P82" s="6">
        <v>3250.35</v>
      </c>
      <c r="Q82" s="2"/>
      <c r="R82" s="7">
        <f t="shared" si="52"/>
        <v>0</v>
      </c>
      <c r="S82" s="2"/>
      <c r="T82" s="6">
        <v>4000</v>
      </c>
      <c r="U82" s="2"/>
      <c r="V82" s="7">
        <f t="shared" si="53"/>
        <v>0</v>
      </c>
      <c r="W82" s="2"/>
      <c r="X82" s="6">
        <f t="shared" si="54"/>
        <v>-749.65000000000009</v>
      </c>
      <c r="Y82" s="2"/>
      <c r="Z82" s="7">
        <f t="shared" si="55"/>
        <v>-0.18741250000000001</v>
      </c>
    </row>
    <row r="83" spans="1:26" s="27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SUM(OSRRefD22_15x_0)</f>
        <v>0</v>
      </c>
      <c r="E83" s="1"/>
      <c r="F83" s="5">
        <f t="shared" si="48"/>
        <v>0</v>
      </c>
      <c r="G83" s="1"/>
      <c r="H83" s="1">
        <f>SUM(OSRRefH22_15x_0)</f>
        <v>1000</v>
      </c>
      <c r="I83" s="1"/>
      <c r="J83" s="5">
        <f t="shared" si="49"/>
        <v>0</v>
      </c>
      <c r="K83" s="1"/>
      <c r="L83" s="1">
        <f t="shared" si="50"/>
        <v>-1000</v>
      </c>
      <c r="M83" s="1"/>
      <c r="N83" s="5">
        <f t="shared" si="51"/>
        <v>-1</v>
      </c>
      <c r="O83" s="13"/>
      <c r="P83" s="1">
        <f>SUM(OSRRefP22_15x_0)</f>
        <v>240</v>
      </c>
      <c r="Q83" s="1"/>
      <c r="R83" s="5">
        <f t="shared" si="52"/>
        <v>0</v>
      </c>
      <c r="S83" s="1"/>
      <c r="T83" s="1">
        <f>SUM(OSRRefT22_15x_0)</f>
        <v>2500</v>
      </c>
      <c r="U83" s="1"/>
      <c r="V83" s="5">
        <f t="shared" si="53"/>
        <v>0</v>
      </c>
      <c r="W83" s="1"/>
      <c r="X83" s="1">
        <f t="shared" si="54"/>
        <v>-2260</v>
      </c>
      <c r="Y83" s="1"/>
      <c r="Z83" s="5">
        <f t="shared" si="55"/>
        <v>-0.90400000000000003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48"/>
        <v>0</v>
      </c>
      <c r="G84" s="2"/>
      <c r="H84" s="6">
        <v>1000</v>
      </c>
      <c r="I84" s="2"/>
      <c r="J84" s="7">
        <f t="shared" si="49"/>
        <v>0</v>
      </c>
      <c r="K84" s="2"/>
      <c r="L84" s="6">
        <f t="shared" si="50"/>
        <v>-1000</v>
      </c>
      <c r="M84" s="2"/>
      <c r="N84" s="7">
        <f t="shared" si="51"/>
        <v>-1</v>
      </c>
      <c r="O84" s="11"/>
      <c r="P84" s="6">
        <v>240</v>
      </c>
      <c r="Q84" s="2"/>
      <c r="R84" s="7">
        <f t="shared" si="52"/>
        <v>0</v>
      </c>
      <c r="S84" s="2"/>
      <c r="T84" s="6">
        <v>2500</v>
      </c>
      <c r="U84" s="2"/>
      <c r="V84" s="7">
        <f t="shared" si="53"/>
        <v>0</v>
      </c>
      <c r="W84" s="2"/>
      <c r="X84" s="6">
        <f t="shared" si="54"/>
        <v>-2260</v>
      </c>
      <c r="Y84" s="2"/>
      <c r="Z84" s="7">
        <f t="shared" si="55"/>
        <v>-0.90400000000000003</v>
      </c>
    </row>
    <row r="85" spans="1:26" s="27" customFormat="1" outlineLevel="1" collapsed="1" x14ac:dyDescent="0.25">
      <c r="A85" s="26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SUM(OSRRefD22_16x_0)</f>
        <v>145.49</v>
      </c>
      <c r="E85" s="1"/>
      <c r="F85" s="5">
        <f t="shared" si="48"/>
        <v>0</v>
      </c>
      <c r="G85" s="1"/>
      <c r="H85" s="1">
        <f>SUM(OSRRefH22_16x_0)</f>
        <v>0</v>
      </c>
      <c r="I85" s="1"/>
      <c r="J85" s="5">
        <f t="shared" si="49"/>
        <v>0</v>
      </c>
      <c r="K85" s="1"/>
      <c r="L85" s="1">
        <f t="shared" si="50"/>
        <v>145.49</v>
      </c>
      <c r="M85" s="1"/>
      <c r="N85" s="5">
        <f t="shared" si="51"/>
        <v>0</v>
      </c>
      <c r="O85" s="13"/>
      <c r="P85" s="1">
        <f>SUM(OSRRefP22_16x_0)</f>
        <v>1945.69</v>
      </c>
      <c r="Q85" s="1"/>
      <c r="R85" s="5">
        <f t="shared" si="52"/>
        <v>0</v>
      </c>
      <c r="S85" s="1"/>
      <c r="T85" s="1">
        <f>SUM(OSRRefT22_16x_0)</f>
        <v>2000</v>
      </c>
      <c r="U85" s="1"/>
      <c r="V85" s="5">
        <f t="shared" si="53"/>
        <v>0</v>
      </c>
      <c r="W85" s="1"/>
      <c r="X85" s="1">
        <f t="shared" si="54"/>
        <v>-54.309999999999945</v>
      </c>
      <c r="Y85" s="1"/>
      <c r="Z85" s="5">
        <f t="shared" si="55"/>
        <v>-2.7154999999999974E-2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6">
        <v>88.83</v>
      </c>
      <c r="E86" s="2"/>
      <c r="F86" s="7">
        <f t="shared" si="48"/>
        <v>0</v>
      </c>
      <c r="G86" s="2"/>
      <c r="H86" s="6"/>
      <c r="I86" s="2"/>
      <c r="J86" s="7">
        <f t="shared" si="49"/>
        <v>0</v>
      </c>
      <c r="K86" s="2"/>
      <c r="L86" s="6">
        <f t="shared" si="50"/>
        <v>88.83</v>
      </c>
      <c r="M86" s="2"/>
      <c r="N86" s="7">
        <f t="shared" si="51"/>
        <v>0</v>
      </c>
      <c r="O86" s="11"/>
      <c r="P86" s="6">
        <v>966.72</v>
      </c>
      <c r="Q86" s="2"/>
      <c r="R86" s="7">
        <f t="shared" si="52"/>
        <v>0</v>
      </c>
      <c r="S86" s="2"/>
      <c r="T86" s="6">
        <v>2000</v>
      </c>
      <c r="U86" s="2"/>
      <c r="V86" s="7">
        <f t="shared" si="53"/>
        <v>0</v>
      </c>
      <c r="W86" s="2"/>
      <c r="X86" s="6">
        <f t="shared" si="54"/>
        <v>-1033.28</v>
      </c>
      <c r="Y86" s="2"/>
      <c r="Z86" s="7">
        <f t="shared" si="55"/>
        <v>-0.51663999999999999</v>
      </c>
    </row>
    <row r="87" spans="1:26" s="24" customFormat="1" hidden="1" outlineLevel="2" x14ac:dyDescent="0.25">
      <c r="A87" s="25"/>
      <c r="B87" s="11" t="str">
        <f>CONCATENATE("          ", "6294", " - ", "TRAVEL OPERATIONAL")</f>
        <v xml:space="preserve">          6294 - TRAVEL OPERATIONAL</v>
      </c>
      <c r="C87" s="11"/>
      <c r="D87" s="6"/>
      <c r="E87" s="2"/>
      <c r="F87" s="7">
        <f t="shared" si="48"/>
        <v>0</v>
      </c>
      <c r="G87" s="2"/>
      <c r="H87" s="6"/>
      <c r="I87" s="2"/>
      <c r="J87" s="7">
        <f t="shared" si="49"/>
        <v>0</v>
      </c>
      <c r="K87" s="2"/>
      <c r="L87" s="6">
        <f t="shared" si="50"/>
        <v>0</v>
      </c>
      <c r="M87" s="2"/>
      <c r="N87" s="7">
        <f t="shared" si="51"/>
        <v>0</v>
      </c>
      <c r="O87" s="11"/>
      <c r="P87" s="6">
        <v>45.49</v>
      </c>
      <c r="Q87" s="2"/>
      <c r="R87" s="7">
        <f t="shared" si="52"/>
        <v>0</v>
      </c>
      <c r="S87" s="2"/>
      <c r="T87" s="6"/>
      <c r="U87" s="2"/>
      <c r="V87" s="7">
        <f t="shared" si="53"/>
        <v>0</v>
      </c>
      <c r="W87" s="2"/>
      <c r="X87" s="6">
        <f t="shared" si="54"/>
        <v>45.49</v>
      </c>
      <c r="Y87" s="2"/>
      <c r="Z87" s="7">
        <f t="shared" si="55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6">
        <v>56.66</v>
      </c>
      <c r="E88" s="2"/>
      <c r="F88" s="7">
        <f t="shared" si="48"/>
        <v>0</v>
      </c>
      <c r="G88" s="2"/>
      <c r="H88" s="6"/>
      <c r="I88" s="2"/>
      <c r="J88" s="7">
        <f t="shared" si="49"/>
        <v>0</v>
      </c>
      <c r="K88" s="2"/>
      <c r="L88" s="6">
        <f t="shared" si="50"/>
        <v>56.66</v>
      </c>
      <c r="M88" s="2"/>
      <c r="N88" s="7">
        <f t="shared" si="51"/>
        <v>0</v>
      </c>
      <c r="O88" s="11"/>
      <c r="P88" s="6">
        <v>933.48</v>
      </c>
      <c r="Q88" s="2"/>
      <c r="R88" s="7">
        <f t="shared" si="52"/>
        <v>0</v>
      </c>
      <c r="S88" s="2"/>
      <c r="T88" s="6"/>
      <c r="U88" s="2"/>
      <c r="V88" s="7">
        <f t="shared" si="53"/>
        <v>0</v>
      </c>
      <c r="W88" s="2"/>
      <c r="X88" s="6">
        <f t="shared" si="54"/>
        <v>933.48</v>
      </c>
      <c r="Y88" s="2"/>
      <c r="Z88" s="7">
        <f t="shared" si="55"/>
        <v>0</v>
      </c>
    </row>
    <row r="89" spans="1:26" s="27" customFormat="1" outlineLevel="1" collapsed="1" x14ac:dyDescent="0.25">
      <c r="A89" s="26"/>
      <c r="B89" s="13" t="str">
        <f>CONCATENATE("     ","Utilities                                         ")</f>
        <v xml:space="preserve">     Utilities                                         </v>
      </c>
      <c r="C89" s="13"/>
      <c r="D89" s="1">
        <f>SUM(OSRRefD22_17x_0)</f>
        <v>12923</v>
      </c>
      <c r="E89" s="1"/>
      <c r="F89" s="5">
        <f t="shared" ref="F89:F90" si="56">IF(D$12=0,0,D89/D$12)</f>
        <v>0</v>
      </c>
      <c r="G89" s="1"/>
      <c r="H89" s="1">
        <f>SUM(OSRRefH22_17x_0)</f>
        <v>15000</v>
      </c>
      <c r="I89" s="1"/>
      <c r="J89" s="5">
        <f t="shared" ref="J89:J90" si="57">IF(H$12=0,0,H89/H$12)</f>
        <v>0</v>
      </c>
      <c r="K89" s="1"/>
      <c r="L89" s="1">
        <f t="shared" ref="L89:L90" si="58">+D89-H89</f>
        <v>-2077</v>
      </c>
      <c r="M89" s="1"/>
      <c r="N89" s="5">
        <f t="shared" ref="N89:N90" si="59">IF(H89=0,0,L89/H89)</f>
        <v>-0.13846666666666665</v>
      </c>
      <c r="O89" s="13"/>
      <c r="P89" s="1">
        <f>SUM(OSRRefP22_17x_0)</f>
        <v>107437</v>
      </c>
      <c r="Q89" s="1"/>
      <c r="R89" s="5">
        <f t="shared" ref="R89:R90" si="60">IF(P$12=0,0,P89/P$12)</f>
        <v>0</v>
      </c>
      <c r="S89" s="1"/>
      <c r="T89" s="1">
        <f>SUM(OSRRefT22_17x_0)</f>
        <v>135000</v>
      </c>
      <c r="U89" s="1"/>
      <c r="V89" s="5">
        <f t="shared" ref="V89:V90" si="61">IF(T$12=0,0,T89/T$12)</f>
        <v>0</v>
      </c>
      <c r="W89" s="1"/>
      <c r="X89" s="1">
        <f t="shared" ref="X89:X90" si="62">+P89-T89</f>
        <v>-27563</v>
      </c>
      <c r="Y89" s="1"/>
      <c r="Z89" s="5">
        <f t="shared" ref="Z89:Z90" si="63">IF(T89=0,0,X89/T89)</f>
        <v>-0.20417037037037036</v>
      </c>
    </row>
    <row r="90" spans="1:26" s="24" customFormat="1" hidden="1" outlineLevel="2" x14ac:dyDescent="0.25">
      <c r="A90" s="25"/>
      <c r="B90" s="11" t="str">
        <f>CONCATENATE("          ", "6274", " - ", "UTILITIES")</f>
        <v xml:space="preserve">          6274 - UTILITIES</v>
      </c>
      <c r="C90" s="11"/>
      <c r="D90" s="6">
        <v>12923</v>
      </c>
      <c r="E90" s="2"/>
      <c r="F90" s="7">
        <f t="shared" si="56"/>
        <v>0</v>
      </c>
      <c r="G90" s="2"/>
      <c r="H90" s="6">
        <v>15000</v>
      </c>
      <c r="I90" s="2"/>
      <c r="J90" s="7">
        <f t="shared" si="57"/>
        <v>0</v>
      </c>
      <c r="K90" s="2"/>
      <c r="L90" s="6">
        <f t="shared" si="58"/>
        <v>-2077</v>
      </c>
      <c r="M90" s="2"/>
      <c r="N90" s="7">
        <f t="shared" si="59"/>
        <v>-0.13846666666666665</v>
      </c>
      <c r="O90" s="11"/>
      <c r="P90" s="6">
        <v>107437</v>
      </c>
      <c r="Q90" s="2"/>
      <c r="R90" s="7">
        <f t="shared" si="60"/>
        <v>0</v>
      </c>
      <c r="S90" s="2"/>
      <c r="T90" s="6">
        <v>135000</v>
      </c>
      <c r="U90" s="2"/>
      <c r="V90" s="7">
        <f t="shared" si="61"/>
        <v>0</v>
      </c>
      <c r="W90" s="2"/>
      <c r="X90" s="6">
        <f t="shared" si="62"/>
        <v>-27563</v>
      </c>
      <c r="Y90" s="2"/>
      <c r="Z90" s="7">
        <f t="shared" si="63"/>
        <v>-0.20417037037037036</v>
      </c>
    </row>
    <row r="91" spans="1:26" s="53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9" t="s">
        <v>0</v>
      </c>
      <c r="C92" s="10"/>
      <c r="D92" s="4">
        <f>SUM(OSRRefD25x_0)</f>
        <v>4415.8100000000004</v>
      </c>
      <c r="E92" s="4"/>
      <c r="F92" s="12">
        <f t="shared" ref="F92:F94" si="64">IF(D$12=0,0,D92/D$12)</f>
        <v>0</v>
      </c>
      <c r="G92" s="4"/>
      <c r="H92" s="4">
        <f>SUM(OSRRefH25x_0)</f>
        <v>3218</v>
      </c>
      <c r="I92" s="4"/>
      <c r="J92" s="12">
        <f t="shared" ref="J92:J94" si="65">IF(H$12=0,0,H92/H$12)</f>
        <v>0</v>
      </c>
      <c r="K92" s="4"/>
      <c r="L92" s="4">
        <f t="shared" ref="L92:L94" si="66">+D92-H92</f>
        <v>1197.8100000000004</v>
      </c>
      <c r="M92" s="4"/>
      <c r="N92" s="12">
        <f t="shared" ref="N92:N94" si="67">IF(H92=0,0,L92/H92)</f>
        <v>0.37222187694220027</v>
      </c>
      <c r="O92" s="10"/>
      <c r="P92" s="4">
        <f>SUM(OSRRefP25x_0)</f>
        <v>83727.240000000005</v>
      </c>
      <c r="Q92" s="4"/>
      <c r="R92" s="12">
        <f t="shared" ref="R92:R94" si="68">IF(P$12=0,0,P92/P$12)</f>
        <v>0</v>
      </c>
      <c r="S92" s="4"/>
      <c r="T92" s="4">
        <f>SUM(OSRRefT25x_0)</f>
        <v>41628</v>
      </c>
      <c r="U92" s="4"/>
      <c r="V92" s="12">
        <f t="shared" ref="V92:V94" si="69">IF(T$12=0,0,T92/T$12)</f>
        <v>0</v>
      </c>
      <c r="W92" s="4"/>
      <c r="X92" s="4">
        <f t="shared" ref="X92:X94" si="70">+P92-T92</f>
        <v>42099.240000000005</v>
      </c>
      <c r="Y92" s="4"/>
      <c r="Z92" s="12">
        <f t="shared" ref="Z92:Z94" si="71">IF(T92=0,0,X92/T92)</f>
        <v>1.0113202652061113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--4415.81</f>
        <v>4415.8100000000004</v>
      </c>
      <c r="E93" s="2"/>
      <c r="F93" s="19">
        <f t="shared" si="64"/>
        <v>0</v>
      </c>
      <c r="G93" s="2"/>
      <c r="H93" s="2">
        <v>3218</v>
      </c>
      <c r="I93" s="2"/>
      <c r="J93" s="19">
        <f t="shared" si="65"/>
        <v>0</v>
      </c>
      <c r="K93" s="2"/>
      <c r="L93" s="2">
        <f t="shared" si="66"/>
        <v>1197.8100000000004</v>
      </c>
      <c r="M93" s="2"/>
      <c r="N93" s="19">
        <f t="shared" si="67"/>
        <v>0.37222187694220027</v>
      </c>
      <c r="O93" s="11"/>
      <c r="P93" s="2">
        <f>--81677.21</f>
        <v>81677.210000000006</v>
      </c>
      <c r="Q93" s="2"/>
      <c r="R93" s="19">
        <f t="shared" si="68"/>
        <v>0</v>
      </c>
      <c r="S93" s="2"/>
      <c r="T93" s="2">
        <v>41628</v>
      </c>
      <c r="U93" s="2"/>
      <c r="V93" s="19">
        <f t="shared" si="69"/>
        <v>0</v>
      </c>
      <c r="W93" s="2"/>
      <c r="X93" s="2">
        <f t="shared" si="70"/>
        <v>40049.210000000006</v>
      </c>
      <c r="Y93" s="2"/>
      <c r="Z93" s="19">
        <f t="shared" si="71"/>
        <v>0.96207384452772193</v>
      </c>
    </row>
    <row r="94" spans="1:26" s="24" customFormat="1" hidden="1" outlineLevel="1" x14ac:dyDescent="0.25">
      <c r="A94" s="44"/>
      <c r="B94" s="11" t="str">
        <f>CONCATENATE("          ", "9160", " - ", "MISC. INCOME")</f>
        <v xml:space="preserve">          9160 - MISC. INCOME</v>
      </c>
      <c r="C94" s="11"/>
      <c r="D94" s="2">
        <f>0</f>
        <v>0</v>
      </c>
      <c r="E94" s="2"/>
      <c r="F94" s="19">
        <f t="shared" si="64"/>
        <v>0</v>
      </c>
      <c r="G94" s="2"/>
      <c r="H94" s="2"/>
      <c r="I94" s="2"/>
      <c r="J94" s="19">
        <f t="shared" si="65"/>
        <v>0</v>
      </c>
      <c r="K94" s="2"/>
      <c r="L94" s="2">
        <f t="shared" si="66"/>
        <v>0</v>
      </c>
      <c r="M94" s="2"/>
      <c r="N94" s="19">
        <f t="shared" si="67"/>
        <v>0</v>
      </c>
      <c r="O94" s="11"/>
      <c r="P94" s="2">
        <f>--2050.03</f>
        <v>2050.0300000000002</v>
      </c>
      <c r="Q94" s="2"/>
      <c r="R94" s="19">
        <f t="shared" si="68"/>
        <v>0</v>
      </c>
      <c r="S94" s="2"/>
      <c r="T94" s="2"/>
      <c r="U94" s="2"/>
      <c r="V94" s="19">
        <f t="shared" si="69"/>
        <v>0</v>
      </c>
      <c r="W94" s="2"/>
      <c r="X94" s="2">
        <f t="shared" si="70"/>
        <v>2050.0300000000002</v>
      </c>
      <c r="Y94" s="2"/>
      <c r="Z94" s="19">
        <f t="shared" si="71"/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1">
        <f>+D16-D18+D92</f>
        <v>-96405.5</v>
      </c>
      <c r="E96" s="14"/>
      <c r="F96" s="22">
        <f>IF(D$12=0,0,D96/D$12)</f>
        <v>0</v>
      </c>
      <c r="G96" s="14"/>
      <c r="H96" s="21">
        <f>+H16-H18+H92</f>
        <v>-102116.64279145723</v>
      </c>
      <c r="I96" s="14"/>
      <c r="J96" s="22">
        <f>IF(H$12=0,0,H96/H$12)</f>
        <v>0</v>
      </c>
      <c r="K96" s="15"/>
      <c r="L96" s="21">
        <f>+D96-H96</f>
        <v>5711.1427914572268</v>
      </c>
      <c r="M96" s="15"/>
      <c r="N96" s="22">
        <f>IF(H96=0,0,L96/H96)</f>
        <v>-5.5927639563323014E-2</v>
      </c>
      <c r="O96" s="29"/>
      <c r="P96" s="21">
        <f>+P16-P18+P92</f>
        <v>-731979.15</v>
      </c>
      <c r="Q96" s="14"/>
      <c r="R96" s="22">
        <f>IF(P$12=0,0,P96/P$12)</f>
        <v>0</v>
      </c>
      <c r="S96" s="14"/>
      <c r="T96" s="21">
        <f>+T16-T18+T92</f>
        <v>-788254.59104666475</v>
      </c>
      <c r="U96" s="14"/>
      <c r="V96" s="22">
        <f>IF(T$12=0,0,T96/T$12)</f>
        <v>0</v>
      </c>
      <c r="W96" s="15"/>
      <c r="X96" s="21">
        <f>+P96-T96</f>
        <v>56275.441046664724</v>
      </c>
      <c r="Y96" s="15"/>
      <c r="Z96" s="22">
        <f>IF(T96=0,0,X96/T96)</f>
        <v>-7.1392468481459456E-2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/>
      <c r="E98" s="4"/>
      <c r="F98" s="12">
        <f>IF(D$12=0,0,D98/D$12)</f>
        <v>0</v>
      </c>
      <c r="G98" s="4"/>
      <c r="H98" s="4"/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/>
      <c r="Q98" s="4"/>
      <c r="R98" s="12">
        <f>IF(P$12=0,0,P98/P$12)</f>
        <v>0</v>
      </c>
      <c r="S98" s="4"/>
      <c r="T98" s="4"/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1">
        <f>+D96-D98</f>
        <v>-96405.5</v>
      </c>
      <c r="E100" s="14"/>
      <c r="F100" s="32">
        <f>IF(D$12=0,0,D100/D$12)</f>
        <v>0</v>
      </c>
      <c r="G100" s="14"/>
      <c r="H100" s="31">
        <f>+H96-H98</f>
        <v>-102116.64279145723</v>
      </c>
      <c r="I100" s="14"/>
      <c r="J100" s="32">
        <f>IF(H$12=0,0,H100/H$12)</f>
        <v>0</v>
      </c>
      <c r="K100" s="15"/>
      <c r="L100" s="31">
        <f>D100-H100</f>
        <v>5711.1427914572268</v>
      </c>
      <c r="M100" s="15"/>
      <c r="N100" s="32">
        <f>IF(H100=0,0,L100/H100)</f>
        <v>-5.5927639563323014E-2</v>
      </c>
      <c r="O100" s="29"/>
      <c r="P100" s="31">
        <f>+P96-P98</f>
        <v>-731979.15</v>
      </c>
      <c r="Q100" s="14"/>
      <c r="R100" s="32">
        <f>IF(P$12=0,0,P100/P$12)</f>
        <v>0</v>
      </c>
      <c r="S100" s="14"/>
      <c r="T100" s="31">
        <f>+T96-T98</f>
        <v>-788254.59104666475</v>
      </c>
      <c r="U100" s="14"/>
      <c r="V100" s="32">
        <f>IF(T$12=0,0,T100/T$12)</f>
        <v>0</v>
      </c>
      <c r="W100" s="15"/>
      <c r="X100" s="31">
        <f>P100-T100</f>
        <v>56275.441046664724</v>
      </c>
      <c r="Y100" s="15"/>
      <c r="Z100" s="32">
        <f>IF(T100=0,0,X100/T100)</f>
        <v>-7.1392468481459456E-2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3">
        <f>SUM(D100:D102)</f>
        <v>-96405.5</v>
      </c>
      <c r="E103" s="14"/>
      <c r="F103" s="30">
        <f>IF(D$12=0,0,D103/D$12)</f>
        <v>0</v>
      </c>
      <c r="G103" s="14"/>
      <c r="H103" s="33">
        <f>SUM(H100:H102)</f>
        <v>-102116.64279145723</v>
      </c>
      <c r="I103" s="14"/>
      <c r="J103" s="30">
        <f>IF(H$12=0,0,H103/H$12)</f>
        <v>0</v>
      </c>
      <c r="K103" s="15"/>
      <c r="L103" s="33">
        <f>+D103-H103</f>
        <v>5711.1427914572268</v>
      </c>
      <c r="M103" s="15"/>
      <c r="N103" s="30">
        <f>IF(H103=0,0,L103/H103)</f>
        <v>-5.5927639563323014E-2</v>
      </c>
      <c r="O103" s="29"/>
      <c r="P103" s="33">
        <f>SUM(P100:P102)</f>
        <v>-731979.15</v>
      </c>
      <c r="Q103" s="14"/>
      <c r="R103" s="30">
        <f>IF(P$12=0,0,P103/P$12)</f>
        <v>0</v>
      </c>
      <c r="S103" s="14"/>
      <c r="T103" s="33">
        <f>SUM(T100:T102)</f>
        <v>-788254.59104666475</v>
      </c>
      <c r="U103" s="14"/>
      <c r="V103" s="30">
        <f>IF(T$12=0,0,T103/T$12)</f>
        <v>0</v>
      </c>
      <c r="W103" s="15"/>
      <c r="X103" s="33">
        <f>+P103-T103</f>
        <v>56275.441046664724</v>
      </c>
      <c r="Y103" s="15"/>
      <c r="Z103" s="30">
        <f>IF(T103=0,0,X103/T103)</f>
        <v>-7.1392468481459456E-2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9">
        <v>43908.495106018519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3" t="s">
        <v>314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7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23082.29</v>
      </c>
      <c r="E12" s="4"/>
      <c r="F12" s="12"/>
      <c r="G12" s="4"/>
      <c r="H12" s="4">
        <f>SUM(OSRRefH13x_0)</f>
        <v>97000</v>
      </c>
      <c r="I12" s="4"/>
      <c r="J12" s="12"/>
      <c r="K12" s="4"/>
      <c r="L12" s="4">
        <f t="shared" ref="L12:L16" si="0">+D12-H12</f>
        <v>-73917.709999999992</v>
      </c>
      <c r="M12" s="4"/>
      <c r="N12" s="12">
        <f t="shared" ref="N12:N16" si="1">IF(H12=0,0,L12/H12)</f>
        <v>-0.76203824742268034</v>
      </c>
      <c r="O12" s="10"/>
      <c r="P12" s="4">
        <f>SUM(OSRRefP13x_0)</f>
        <v>370768.64000000001</v>
      </c>
      <c r="Q12" s="4"/>
      <c r="R12" s="12"/>
      <c r="S12" s="4"/>
      <c r="T12" s="4">
        <f>SUM(OSRRefT13x_0)</f>
        <v>721000</v>
      </c>
      <c r="U12" s="4"/>
      <c r="V12" s="12"/>
      <c r="W12" s="4"/>
      <c r="X12" s="4">
        <f t="shared" ref="X12:X16" si="2">+P12-T12</f>
        <v>-350231.36</v>
      </c>
      <c r="Y12" s="4"/>
      <c r="Z12" s="12">
        <f t="shared" ref="Z12:Z16" si="3">IF(T12=0,0,X12/T12)</f>
        <v>-0.48575778085991678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92000</v>
      </c>
      <c r="I13" s="2"/>
      <c r="J13" s="19"/>
      <c r="K13" s="2"/>
      <c r="L13" s="2">
        <f t="shared" si="0"/>
        <v>-92000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683000</v>
      </c>
      <c r="U13" s="2"/>
      <c r="V13" s="19"/>
      <c r="W13" s="2"/>
      <c r="X13" s="2">
        <f t="shared" si="2"/>
        <v>-683000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--15526.62</f>
        <v>15526.62</v>
      </c>
      <c r="E14" s="2"/>
      <c r="F14" s="19"/>
      <c r="G14" s="2"/>
      <c r="H14" s="2"/>
      <c r="I14" s="2"/>
      <c r="J14" s="19"/>
      <c r="K14" s="2"/>
      <c r="L14" s="2">
        <f t="shared" si="0"/>
        <v>15526.62</v>
      </c>
      <c r="M14" s="2"/>
      <c r="N14" s="19">
        <f t="shared" si="1"/>
        <v>0</v>
      </c>
      <c r="O14" s="11"/>
      <c r="P14" s="2">
        <f>--324157.58</f>
        <v>324157.58</v>
      </c>
      <c r="Q14" s="2"/>
      <c r="R14" s="19"/>
      <c r="S14" s="2"/>
      <c r="T14" s="2"/>
      <c r="U14" s="2"/>
      <c r="V14" s="19"/>
      <c r="W14" s="2"/>
      <c r="X14" s="2">
        <f t="shared" si="2"/>
        <v>324157.58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5000</v>
      </c>
      <c r="I15" s="2"/>
      <c r="J15" s="19"/>
      <c r="K15" s="2"/>
      <c r="L15" s="2">
        <f t="shared" si="0"/>
        <v>-5000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38000</v>
      </c>
      <c r="U15" s="2"/>
      <c r="V15" s="19"/>
      <c r="W15" s="2"/>
      <c r="X15" s="2">
        <f t="shared" si="2"/>
        <v>-38000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>--7555.67</f>
        <v>7555.67</v>
      </c>
      <c r="E16" s="2"/>
      <c r="F16" s="19"/>
      <c r="G16" s="2"/>
      <c r="H16" s="2"/>
      <c r="I16" s="2"/>
      <c r="J16" s="19"/>
      <c r="K16" s="2"/>
      <c r="L16" s="2">
        <f t="shared" si="0"/>
        <v>7555.67</v>
      </c>
      <c r="M16" s="2"/>
      <c r="N16" s="19">
        <f t="shared" si="1"/>
        <v>0</v>
      </c>
      <c r="O16" s="11"/>
      <c r="P16" s="2">
        <f>--46611.06</f>
        <v>46611.06</v>
      </c>
      <c r="Q16" s="2"/>
      <c r="R16" s="19"/>
      <c r="S16" s="2"/>
      <c r="T16" s="2"/>
      <c r="U16" s="2"/>
      <c r="V16" s="19"/>
      <c r="W16" s="2"/>
      <c r="X16" s="2">
        <f t="shared" si="2"/>
        <v>46611.06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24582.84</v>
      </c>
      <c r="E18" s="4"/>
      <c r="F18" s="12">
        <f t="shared" ref="F18:F20" si="4">IF(D$12=0,0,D18/D$12)</f>
        <v>1.065008714473304</v>
      </c>
      <c r="G18" s="4"/>
      <c r="H18" s="4">
        <f>SUM(OSRRefH16x_0)</f>
        <v>30070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-5487.16</v>
      </c>
      <c r="M18" s="4"/>
      <c r="N18" s="12">
        <f t="shared" ref="N18:N20" si="7">IF(H18=0,0,L18/H18)</f>
        <v>-0.18247954772198205</v>
      </c>
      <c r="O18" s="10"/>
      <c r="P18" s="4">
        <f>SUM(OSRRefP16x_0)</f>
        <v>186341.88999999998</v>
      </c>
      <c r="Q18" s="4"/>
      <c r="R18" s="12">
        <f t="shared" ref="R18:R20" si="8">IF(P$12=0,0,P18/P$12)</f>
        <v>0.50258266179146105</v>
      </c>
      <c r="S18" s="4"/>
      <c r="T18" s="4">
        <f>SUM(OSRRefT16x_0)</f>
        <v>223510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-37168.110000000015</v>
      </c>
      <c r="Y18" s="4"/>
      <c r="Z18" s="12">
        <f t="shared" ref="Z18:Z20" si="11">IF(T18=0,0,X18/T18)</f>
        <v>-0.16629282806138435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30070</v>
      </c>
      <c r="I19" s="2"/>
      <c r="J19" s="19">
        <f t="shared" si="5"/>
        <v>0.31</v>
      </c>
      <c r="K19" s="2"/>
      <c r="L19" s="2">
        <f t="shared" si="6"/>
        <v>-30070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223510</v>
      </c>
      <c r="U19" s="2"/>
      <c r="V19" s="19">
        <f t="shared" si="9"/>
        <v>0.31</v>
      </c>
      <c r="W19" s="2"/>
      <c r="X19" s="2">
        <f t="shared" si="10"/>
        <v>-223510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24582.84</v>
      </c>
      <c r="E20" s="2"/>
      <c r="F20" s="19">
        <f t="shared" si="4"/>
        <v>1.065008714473304</v>
      </c>
      <c r="G20" s="2"/>
      <c r="H20" s="2"/>
      <c r="I20" s="2"/>
      <c r="J20" s="19">
        <f t="shared" si="5"/>
        <v>0</v>
      </c>
      <c r="K20" s="2"/>
      <c r="L20" s="2">
        <f t="shared" si="6"/>
        <v>24582.84</v>
      </c>
      <c r="M20" s="2"/>
      <c r="N20" s="19">
        <f t="shared" si="7"/>
        <v>0</v>
      </c>
      <c r="O20" s="11"/>
      <c r="P20" s="2">
        <v>186341.88999999998</v>
      </c>
      <c r="Q20" s="2"/>
      <c r="R20" s="19">
        <f t="shared" si="8"/>
        <v>0.50258266179146105</v>
      </c>
      <c r="S20" s="2"/>
      <c r="T20" s="2"/>
      <c r="U20" s="2"/>
      <c r="V20" s="19">
        <f t="shared" si="9"/>
        <v>0</v>
      </c>
      <c r="W20" s="2"/>
      <c r="X20" s="2">
        <f t="shared" si="10"/>
        <v>186341.88999999998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D12-D18</f>
        <v>-1500.5499999999993</v>
      </c>
      <c r="E22" s="14"/>
      <c r="F22" s="22">
        <f>IF(D$12=0,0,D22/D$12)</f>
        <v>-6.5008714473303961E-2</v>
      </c>
      <c r="G22" s="14"/>
      <c r="H22" s="21">
        <f>H12-H18</f>
        <v>66930</v>
      </c>
      <c r="I22" s="14"/>
      <c r="J22" s="22">
        <f>IF(H$12=0,0,H22/H$12)</f>
        <v>0.69</v>
      </c>
      <c r="K22" s="15"/>
      <c r="L22" s="21">
        <f>+D22-H22</f>
        <v>-68430.55</v>
      </c>
      <c r="M22" s="15"/>
      <c r="N22" s="22">
        <f>IF(H22=0,0,L22/H22)</f>
        <v>-1.0224196922157478</v>
      </c>
      <c r="O22" s="29"/>
      <c r="P22" s="21">
        <f>P12-P18</f>
        <v>184426.75000000003</v>
      </c>
      <c r="Q22" s="14"/>
      <c r="R22" s="22">
        <f>IF(P$12=0,0,P22/P$12)</f>
        <v>0.49741733820853895</v>
      </c>
      <c r="S22" s="14"/>
      <c r="T22" s="21">
        <f>T12-T18</f>
        <v>497490</v>
      </c>
      <c r="U22" s="14"/>
      <c r="V22" s="22">
        <f>IF(T$12=0,0,T22/T$12)</f>
        <v>0.69</v>
      </c>
      <c r="W22" s="15"/>
      <c r="X22" s="21">
        <f>+P22-T22</f>
        <v>-313063.25</v>
      </c>
      <c r="Y22" s="15"/>
      <c r="Z22" s="22">
        <f>IF(T22=0,0,X22/T22)</f>
        <v>-0.62928551327664872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29325.750000000004</v>
      </c>
      <c r="E24" s="20"/>
      <c r="F24" s="34">
        <f t="shared" ref="F24:F34" si="12">IF(D$12=0,0,D24/D$12)</f>
        <v>1.2704870270670718</v>
      </c>
      <c r="G24" s="20"/>
      <c r="H24" s="20">
        <f>SUM(OSRRefH22x_0)</f>
        <v>61781.729586353882</v>
      </c>
      <c r="I24" s="20"/>
      <c r="J24" s="34">
        <f t="shared" ref="J24:J34" si="13">IF(H$12=0,0,H24/H$12)</f>
        <v>0.63692504728199884</v>
      </c>
      <c r="K24" s="4"/>
      <c r="L24" s="20">
        <f t="shared" ref="L24:L34" si="14">+D24-H24</f>
        <v>-32455.979586353878</v>
      </c>
      <c r="M24" s="4"/>
      <c r="N24" s="34">
        <f t="shared" ref="N24:N34" si="15">IF(H24=0,0,L24/H24)</f>
        <v>-0.52533297147321423</v>
      </c>
      <c r="O24" s="10"/>
      <c r="P24" s="20">
        <f>SUM(OSRRefP22x_0)</f>
        <v>312411.33999999997</v>
      </c>
      <c r="Q24" s="20"/>
      <c r="R24" s="34">
        <f t="shared" ref="R24:R34" si="16">IF(P$12=0,0,P24/P$12)</f>
        <v>0.8426045417433361</v>
      </c>
      <c r="S24" s="20"/>
      <c r="T24" s="20">
        <f>SUM(OSRRefT22x_0)</f>
        <v>495851.92188304232</v>
      </c>
      <c r="U24" s="20"/>
      <c r="V24" s="34">
        <f t="shared" ref="V24:V34" si="17">IF(T$12=0,0,T24/T$12)</f>
        <v>0.68772804699451084</v>
      </c>
      <c r="W24" s="4"/>
      <c r="X24" s="20">
        <f t="shared" ref="X24:X34" si="18">+P24-T24</f>
        <v>-183440.58188304235</v>
      </c>
      <c r="Y24" s="4"/>
      <c r="Z24" s="34">
        <f t="shared" ref="Z24:Z34" si="19">IF(T24=0,0,X24/T24)</f>
        <v>-0.36995032949839185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4583.7900000000009</v>
      </c>
      <c r="E25" s="1"/>
      <c r="F25" s="5">
        <f t="shared" si="12"/>
        <v>0.19858471581459208</v>
      </c>
      <c r="G25" s="1"/>
      <c r="H25" s="1">
        <f>SUM(OSRRefH22_0x_0)</f>
        <v>13540.18750943078</v>
      </c>
      <c r="I25" s="1"/>
      <c r="J25" s="5">
        <f t="shared" si="13"/>
        <v>0.13958956195289463</v>
      </c>
      <c r="K25" s="1"/>
      <c r="L25" s="1">
        <f t="shared" si="14"/>
        <v>-8956.3975094307789</v>
      </c>
      <c r="M25" s="1"/>
      <c r="N25" s="5">
        <f t="shared" si="15"/>
        <v>-0.66146776056037793</v>
      </c>
      <c r="O25" s="13"/>
      <c r="P25" s="1">
        <f>SUM(OSRRefP22_0x_0)</f>
        <v>77676.83</v>
      </c>
      <c r="Q25" s="1"/>
      <c r="R25" s="5">
        <f t="shared" si="16"/>
        <v>0.20950215746401854</v>
      </c>
      <c r="S25" s="1"/>
      <c r="T25" s="1">
        <f>SUM(OSRRefT22_0x_0)</f>
        <v>113763.66870996539</v>
      </c>
      <c r="U25" s="1"/>
      <c r="V25" s="5">
        <f t="shared" si="17"/>
        <v>0.15778594828011844</v>
      </c>
      <c r="W25" s="1"/>
      <c r="X25" s="1">
        <f t="shared" si="18"/>
        <v>-36086.838709965392</v>
      </c>
      <c r="Y25" s="1"/>
      <c r="Z25" s="5">
        <f t="shared" si="19"/>
        <v>-0.31720881648047872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1423.67</v>
      </c>
      <c r="E26" s="2"/>
      <c r="F26" s="7">
        <f t="shared" si="12"/>
        <v>6.1678022414587114E-2</v>
      </c>
      <c r="G26" s="2"/>
      <c r="H26" s="6">
        <v>2784.9433011230803</v>
      </c>
      <c r="I26" s="2"/>
      <c r="J26" s="7">
        <f t="shared" si="13"/>
        <v>2.871075568168124E-2</v>
      </c>
      <c r="K26" s="2"/>
      <c r="L26" s="6">
        <f t="shared" si="14"/>
        <v>-1361.2733011230803</v>
      </c>
      <c r="M26" s="2"/>
      <c r="N26" s="7">
        <f t="shared" si="15"/>
        <v>-0.48879749206173118</v>
      </c>
      <c r="O26" s="11"/>
      <c r="P26" s="6">
        <v>12437.96</v>
      </c>
      <c r="Q26" s="2"/>
      <c r="R26" s="7">
        <f t="shared" si="16"/>
        <v>3.3546418596783152E-2</v>
      </c>
      <c r="S26" s="2"/>
      <c r="T26" s="6">
        <v>24870.980985426948</v>
      </c>
      <c r="U26" s="2"/>
      <c r="V26" s="7">
        <f t="shared" si="17"/>
        <v>3.4495119258567193E-2</v>
      </c>
      <c r="W26" s="2"/>
      <c r="X26" s="6">
        <f t="shared" si="18"/>
        <v>-12433.020985426949</v>
      </c>
      <c r="Y26" s="2"/>
      <c r="Z26" s="7">
        <f t="shared" si="19"/>
        <v>-0.49990070728259683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713.05</v>
      </c>
      <c r="E27" s="2"/>
      <c r="F27" s="7">
        <f t="shared" si="12"/>
        <v>3.0891648965505586E-2</v>
      </c>
      <c r="G27" s="2"/>
      <c r="H27" s="6">
        <v>1545.90905661538</v>
      </c>
      <c r="I27" s="2"/>
      <c r="J27" s="7">
        <f t="shared" si="13"/>
        <v>1.5937206769230723E-2</v>
      </c>
      <c r="K27" s="2"/>
      <c r="L27" s="6">
        <f t="shared" si="14"/>
        <v>-832.85905661538004</v>
      </c>
      <c r="M27" s="2"/>
      <c r="N27" s="7">
        <f t="shared" si="15"/>
        <v>-0.53875035730681675</v>
      </c>
      <c r="O27" s="11"/>
      <c r="P27" s="6">
        <v>4251.6400000000003</v>
      </c>
      <c r="Q27" s="2"/>
      <c r="R27" s="7">
        <f t="shared" si="16"/>
        <v>1.1467097109399544E-2</v>
      </c>
      <c r="S27" s="2"/>
      <c r="T27" s="6">
        <v>13383.680461384589</v>
      </c>
      <c r="U27" s="2"/>
      <c r="V27" s="7">
        <f t="shared" si="17"/>
        <v>1.8562663608023007E-2</v>
      </c>
      <c r="W27" s="2"/>
      <c r="X27" s="6">
        <f t="shared" si="18"/>
        <v>-9132.0404613845894</v>
      </c>
      <c r="Y27" s="2"/>
      <c r="Z27" s="7">
        <f t="shared" si="19"/>
        <v>-0.68232654595519593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1037.1400000000001</v>
      </c>
      <c r="E28" s="2"/>
      <c r="F28" s="7">
        <f t="shared" si="12"/>
        <v>4.4932283581914971E-2</v>
      </c>
      <c r="G28" s="2"/>
      <c r="H28" s="6">
        <v>5639.1538461538503</v>
      </c>
      <c r="I28" s="2"/>
      <c r="J28" s="7">
        <f t="shared" si="13"/>
        <v>5.8135606661379902E-2</v>
      </c>
      <c r="K28" s="2"/>
      <c r="L28" s="6">
        <f t="shared" si="14"/>
        <v>-4602.01384615385</v>
      </c>
      <c r="M28" s="2"/>
      <c r="N28" s="7">
        <f t="shared" si="15"/>
        <v>-0.81608233641162753</v>
      </c>
      <c r="O28" s="11"/>
      <c r="P28" s="6">
        <v>33791.219999999994</v>
      </c>
      <c r="Q28" s="2"/>
      <c r="R28" s="7">
        <f t="shared" si="16"/>
        <v>9.1138290444412975E-2</v>
      </c>
      <c r="S28" s="2"/>
      <c r="T28" s="6">
        <v>44542.942307692327</v>
      </c>
      <c r="U28" s="2"/>
      <c r="V28" s="7">
        <f t="shared" si="17"/>
        <v>6.1779392937159956E-2</v>
      </c>
      <c r="W28" s="2"/>
      <c r="X28" s="6">
        <f t="shared" si="18"/>
        <v>-10751.722307692333</v>
      </c>
      <c r="Y28" s="2"/>
      <c r="Z28" s="7">
        <f t="shared" si="19"/>
        <v>-0.24137880774516254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52.76</v>
      </c>
      <c r="E29" s="2"/>
      <c r="F29" s="7">
        <f t="shared" si="12"/>
        <v>2.2857350808780236E-3</v>
      </c>
      <c r="G29" s="2"/>
      <c r="H29" s="6">
        <v>103.59184399999999</v>
      </c>
      <c r="I29" s="2"/>
      <c r="J29" s="7">
        <f t="shared" si="13"/>
        <v>1.0679571546391752E-3</v>
      </c>
      <c r="K29" s="2"/>
      <c r="L29" s="6">
        <f t="shared" si="14"/>
        <v>-50.831843999999997</v>
      </c>
      <c r="M29" s="2"/>
      <c r="N29" s="7">
        <f t="shared" si="15"/>
        <v>-0.49069349513654764</v>
      </c>
      <c r="O29" s="11"/>
      <c r="P29" s="6">
        <v>465.39</v>
      </c>
      <c r="Q29" s="2"/>
      <c r="R29" s="7">
        <f t="shared" si="16"/>
        <v>1.2552032448051702E-3</v>
      </c>
      <c r="S29" s="2"/>
      <c r="T29" s="6">
        <v>896.84456699999998</v>
      </c>
      <c r="U29" s="2"/>
      <c r="V29" s="7">
        <f t="shared" si="17"/>
        <v>1.2438898294036061E-3</v>
      </c>
      <c r="W29" s="2"/>
      <c r="X29" s="6">
        <f t="shared" si="18"/>
        <v>-431.454567</v>
      </c>
      <c r="Y29" s="2"/>
      <c r="Z29" s="7">
        <f t="shared" si="19"/>
        <v>-0.48108064973091375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214.92</v>
      </c>
      <c r="E30" s="2"/>
      <c r="F30" s="7">
        <f t="shared" si="12"/>
        <v>9.3110345637282942E-3</v>
      </c>
      <c r="G30" s="2"/>
      <c r="H30" s="6">
        <v>1244.75341538462</v>
      </c>
      <c r="I30" s="2"/>
      <c r="J30" s="7">
        <f t="shared" si="13"/>
        <v>1.2832509436954844E-2</v>
      </c>
      <c r="K30" s="2"/>
      <c r="L30" s="6">
        <f t="shared" si="14"/>
        <v>-1029.8334153846199</v>
      </c>
      <c r="M30" s="2"/>
      <c r="N30" s="7">
        <f t="shared" si="15"/>
        <v>-0.82733929680876483</v>
      </c>
      <c r="O30" s="11"/>
      <c r="P30" s="6">
        <v>6000.63</v>
      </c>
      <c r="Q30" s="2"/>
      <c r="R30" s="7">
        <f t="shared" si="16"/>
        <v>1.6184297571660861E-2</v>
      </c>
      <c r="S30" s="2"/>
      <c r="T30" s="6">
        <v>10891.592384615409</v>
      </c>
      <c r="U30" s="2"/>
      <c r="V30" s="7">
        <f t="shared" si="17"/>
        <v>1.5106230769230804E-2</v>
      </c>
      <c r="W30" s="2"/>
      <c r="X30" s="6">
        <f t="shared" si="18"/>
        <v>-4890.9623846154091</v>
      </c>
      <c r="Y30" s="2"/>
      <c r="Z30" s="7">
        <f t="shared" si="19"/>
        <v>-0.44905852256498241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411.6</v>
      </c>
      <c r="E32" s="2"/>
      <c r="F32" s="7">
        <f t="shared" si="12"/>
        <v>1.7831852905409298E-2</v>
      </c>
      <c r="G32" s="2"/>
      <c r="H32" s="6">
        <v>1026.54553846154</v>
      </c>
      <c r="I32" s="2"/>
      <c r="J32" s="7">
        <f t="shared" si="13"/>
        <v>1.0582943695479794E-2</v>
      </c>
      <c r="K32" s="2"/>
      <c r="L32" s="6">
        <f t="shared" si="14"/>
        <v>-614.94553846153997</v>
      </c>
      <c r="M32" s="2"/>
      <c r="N32" s="7">
        <f t="shared" si="15"/>
        <v>-0.5990436034461214</v>
      </c>
      <c r="O32" s="11"/>
      <c r="P32" s="6">
        <v>7394.08</v>
      </c>
      <c r="Q32" s="2"/>
      <c r="R32" s="7">
        <f t="shared" si="16"/>
        <v>1.9942571194802236E-2</v>
      </c>
      <c r="S32" s="2"/>
      <c r="T32" s="6">
        <v>8829.421461538459</v>
      </c>
      <c r="U32" s="2"/>
      <c r="V32" s="7">
        <f t="shared" si="17"/>
        <v>1.224607692307692E-2</v>
      </c>
      <c r="W32" s="2"/>
      <c r="X32" s="6">
        <f t="shared" si="18"/>
        <v>-1435.341461538459</v>
      </c>
      <c r="Y32" s="2"/>
      <c r="Z32" s="7">
        <f t="shared" si="19"/>
        <v>-0.16256347800259632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423.1</v>
      </c>
      <c r="E33" s="2"/>
      <c r="F33" s="7">
        <f t="shared" si="12"/>
        <v>1.8330070369967626E-2</v>
      </c>
      <c r="G33" s="2"/>
      <c r="H33" s="6">
        <v>1195.29050769231</v>
      </c>
      <c r="I33" s="2"/>
      <c r="J33" s="7">
        <f t="shared" si="13"/>
        <v>1.232258255352897E-2</v>
      </c>
      <c r="K33" s="2"/>
      <c r="L33" s="6">
        <f t="shared" si="14"/>
        <v>-772.19050769231001</v>
      </c>
      <c r="M33" s="2"/>
      <c r="N33" s="7">
        <f t="shared" si="15"/>
        <v>-0.6460274742607478</v>
      </c>
      <c r="O33" s="11"/>
      <c r="P33" s="6">
        <v>9735.17</v>
      </c>
      <c r="Q33" s="2"/>
      <c r="R33" s="7">
        <f t="shared" si="16"/>
        <v>2.625672440905466E-2</v>
      </c>
      <c r="S33" s="2"/>
      <c r="T33" s="6">
        <v>10348.206542307689</v>
      </c>
      <c r="U33" s="2"/>
      <c r="V33" s="7">
        <f t="shared" si="17"/>
        <v>1.4352574954656989E-2</v>
      </c>
      <c r="W33" s="2"/>
      <c r="X33" s="6">
        <f t="shared" si="18"/>
        <v>-613.03654230768916</v>
      </c>
      <c r="Y33" s="2"/>
      <c r="Z33" s="7">
        <f t="shared" si="19"/>
        <v>-5.9240849107654134E-2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307.55</v>
      </c>
      <c r="E34" s="2"/>
      <c r="F34" s="7">
        <f t="shared" si="12"/>
        <v>1.3324067932601141E-2</v>
      </c>
      <c r="G34" s="2"/>
      <c r="H34" s="6"/>
      <c r="I34" s="2"/>
      <c r="J34" s="7">
        <f t="shared" si="13"/>
        <v>0</v>
      </c>
      <c r="K34" s="2"/>
      <c r="L34" s="6">
        <f t="shared" si="14"/>
        <v>307.55</v>
      </c>
      <c r="M34" s="2"/>
      <c r="N34" s="7">
        <f t="shared" si="15"/>
        <v>0</v>
      </c>
      <c r="O34" s="11"/>
      <c r="P34" s="6">
        <v>3600.74</v>
      </c>
      <c r="Q34" s="2"/>
      <c r="R34" s="7">
        <f t="shared" si="16"/>
        <v>9.7115548930999124E-3</v>
      </c>
      <c r="S34" s="2"/>
      <c r="T34" s="6"/>
      <c r="U34" s="2"/>
      <c r="V34" s="7">
        <f t="shared" si="17"/>
        <v>0</v>
      </c>
      <c r="W34" s="2"/>
      <c r="X34" s="6">
        <f t="shared" si="18"/>
        <v>3600.74</v>
      </c>
      <c r="Y34" s="2"/>
      <c r="Z34" s="7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18855.02</v>
      </c>
      <c r="E35" s="1"/>
      <c r="F35" s="5">
        <f t="shared" ref="F35:F45" si="20">IF(D$12=0,0,D35/D$12)</f>
        <v>0.81686089205187185</v>
      </c>
      <c r="G35" s="1"/>
      <c r="H35" s="1">
        <f>SUM(OSRRefH22_1x_0)</f>
        <v>34891.242076923103</v>
      </c>
      <c r="I35" s="1"/>
      <c r="J35" s="5">
        <f t="shared" ref="J35:J45" si="21">IF(H$12=0,0,H35/H$12)</f>
        <v>0.35970352656621757</v>
      </c>
      <c r="K35" s="1"/>
      <c r="L35" s="1">
        <f t="shared" ref="L35:L45" si="22">+D35-H35</f>
        <v>-16036.222076923103</v>
      </c>
      <c r="M35" s="1"/>
      <c r="N35" s="5">
        <f t="shared" ref="N35:N45" si="23">IF(H35=0,0,L35/H35)</f>
        <v>-0.45960593897943752</v>
      </c>
      <c r="O35" s="13"/>
      <c r="P35" s="1">
        <f>SUM(OSRRefP22_1x_0)</f>
        <v>185934.97</v>
      </c>
      <c r="Q35" s="1"/>
      <c r="R35" s="5">
        <f t="shared" ref="R35:R45" si="24">IF(P$12=0,0,P35/P$12)</f>
        <v>0.50148515796805249</v>
      </c>
      <c r="S35" s="1"/>
      <c r="T35" s="1">
        <f>SUM(OSRRefT22_1x_0)</f>
        <v>307378.45317307685</v>
      </c>
      <c r="U35" s="1"/>
      <c r="V35" s="5">
        <f t="shared" ref="V35:V45" si="25">IF(T$12=0,0,T35/T$12)</f>
        <v>0.42632240384615372</v>
      </c>
      <c r="W35" s="1"/>
      <c r="X35" s="1">
        <f t="shared" ref="X35:X45" si="26">+P35-T35</f>
        <v>-121443.48317307685</v>
      </c>
      <c r="Y35" s="1"/>
      <c r="Z35" s="5">
        <f t="shared" ref="Z35:Z45" si="27">IF(T35=0,0,X35/T35)</f>
        <v>-0.39509432726794019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3076.94</v>
      </c>
      <c r="E37" s="2"/>
      <c r="F37" s="7">
        <f t="shared" si="20"/>
        <v>0.13330306481722567</v>
      </c>
      <c r="G37" s="2"/>
      <c r="H37" s="6">
        <v>13165.9670769231</v>
      </c>
      <c r="I37" s="2"/>
      <c r="J37" s="7">
        <f t="shared" si="21"/>
        <v>0.13573161934972267</v>
      </c>
      <c r="K37" s="2"/>
      <c r="L37" s="6">
        <f t="shared" si="22"/>
        <v>-10089.027076923099</v>
      </c>
      <c r="M37" s="2"/>
      <c r="N37" s="7">
        <f t="shared" si="23"/>
        <v>-0.76629593693932552</v>
      </c>
      <c r="O37" s="11"/>
      <c r="P37" s="6">
        <v>57053.049999999996</v>
      </c>
      <c r="Q37" s="2"/>
      <c r="R37" s="7">
        <f t="shared" si="24"/>
        <v>0.1538777659297183</v>
      </c>
      <c r="S37" s="2"/>
      <c r="T37" s="6">
        <v>115202.21192307689</v>
      </c>
      <c r="U37" s="2"/>
      <c r="V37" s="7">
        <f t="shared" si="25"/>
        <v>0.1597811538461538</v>
      </c>
      <c r="W37" s="2"/>
      <c r="X37" s="6">
        <f t="shared" si="26"/>
        <v>-58149.161923076892</v>
      </c>
      <c r="Y37" s="2"/>
      <c r="Z37" s="7">
        <f t="shared" si="27"/>
        <v>-0.50475733887735075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5716.66</v>
      </c>
      <c r="E39" s="2"/>
      <c r="F39" s="7">
        <f t="shared" si="20"/>
        <v>0.24766433486452166</v>
      </c>
      <c r="G39" s="2"/>
      <c r="H39" s="6">
        <v>21725.275000000001</v>
      </c>
      <c r="I39" s="2"/>
      <c r="J39" s="7">
        <f t="shared" si="21"/>
        <v>0.22397190721649485</v>
      </c>
      <c r="K39" s="2"/>
      <c r="L39" s="6">
        <f t="shared" si="22"/>
        <v>-16008.615000000002</v>
      </c>
      <c r="M39" s="2"/>
      <c r="N39" s="7">
        <f t="shared" si="23"/>
        <v>-0.73686593150144242</v>
      </c>
      <c r="O39" s="11"/>
      <c r="P39" s="6">
        <v>42689.38</v>
      </c>
      <c r="Q39" s="2"/>
      <c r="R39" s="7">
        <f t="shared" si="24"/>
        <v>0.11513751540583367</v>
      </c>
      <c r="S39" s="2"/>
      <c r="T39" s="6">
        <v>192176.24124999999</v>
      </c>
      <c r="U39" s="2"/>
      <c r="V39" s="7">
        <f t="shared" si="25"/>
        <v>0.26654125000000001</v>
      </c>
      <c r="W39" s="2"/>
      <c r="X39" s="6">
        <f t="shared" si="26"/>
        <v>-149486.86124999999</v>
      </c>
      <c r="Y39" s="2"/>
      <c r="Z39" s="7">
        <f t="shared" si="27"/>
        <v>-0.77786338351541673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5593.22</v>
      </c>
      <c r="E40" s="2"/>
      <c r="F40" s="7">
        <f t="shared" si="20"/>
        <v>0.24231651192321038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5593.22</v>
      </c>
      <c r="M40" s="2"/>
      <c r="N40" s="7">
        <f t="shared" si="23"/>
        <v>0</v>
      </c>
      <c r="O40" s="11"/>
      <c r="P40" s="6">
        <v>41912.310000000005</v>
      </c>
      <c r="Q40" s="2"/>
      <c r="R40" s="7">
        <f t="shared" si="24"/>
        <v>0.11304168011620401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41912.310000000005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1299.6300000000001</v>
      </c>
      <c r="Q41" s="2"/>
      <c r="R41" s="7">
        <f t="shared" si="24"/>
        <v>3.5052317261783524E-3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1299.6300000000001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4468.2</v>
      </c>
      <c r="E42" s="2"/>
      <c r="F42" s="7">
        <f t="shared" si="20"/>
        <v>0.19357698044691404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4468.2</v>
      </c>
      <c r="M42" s="2"/>
      <c r="N42" s="7">
        <f t="shared" si="23"/>
        <v>0</v>
      </c>
      <c r="O42" s="11"/>
      <c r="P42" s="6">
        <v>39575.379999999997</v>
      </c>
      <c r="Q42" s="2"/>
      <c r="R42" s="7">
        <f t="shared" si="24"/>
        <v>0.10673874683684142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39575.379999999997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3405.22</v>
      </c>
      <c r="Q43" s="2"/>
      <c r="R43" s="7">
        <f t="shared" si="24"/>
        <v>9.1842179532767385E-3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3405.22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12.96</v>
      </c>
      <c r="E46" s="1"/>
      <c r="F46" s="5">
        <f t="shared" ref="F46:F55" si="28">IF(D$12=0,0,D46/D$12)</f>
        <v>5.6146942092833948E-4</v>
      </c>
      <c r="G46" s="1"/>
      <c r="H46" s="1">
        <f>SUM(OSRRefH22_2x_0)</f>
        <v>0</v>
      </c>
      <c r="I46" s="1"/>
      <c r="J46" s="5">
        <f t="shared" ref="J46:J55" si="29">IF(H$12=0,0,H46/H$12)</f>
        <v>0</v>
      </c>
      <c r="K46" s="1"/>
      <c r="L46" s="1">
        <f t="shared" ref="L46:L55" si="30">+D46-H46</f>
        <v>12.96</v>
      </c>
      <c r="M46" s="1"/>
      <c r="N46" s="5">
        <f t="shared" ref="N46:N55" si="31">IF(H46=0,0,L46/H46)</f>
        <v>0</v>
      </c>
      <c r="O46" s="13"/>
      <c r="P46" s="1">
        <f>SUM(OSRRefP22_2x_0)</f>
        <v>418.48</v>
      </c>
      <c r="Q46" s="1"/>
      <c r="R46" s="5">
        <f t="shared" ref="R46:R55" si="32">IF(P$12=0,0,P46/P$12)</f>
        <v>1.128682296323659E-3</v>
      </c>
      <c r="S46" s="1"/>
      <c r="T46" s="1">
        <f>SUM(OSRRefT22_2x_0)</f>
        <v>1050</v>
      </c>
      <c r="U46" s="1"/>
      <c r="V46" s="5">
        <f t="shared" ref="V46:V55" si="33">IF(T$12=0,0,T46/T$12)</f>
        <v>1.4563106796116505E-3</v>
      </c>
      <c r="W46" s="1"/>
      <c r="X46" s="1">
        <f t="shared" ref="X46:X55" si="34">+P46-T46</f>
        <v>-631.52</v>
      </c>
      <c r="Y46" s="1"/>
      <c r="Z46" s="5">
        <f t="shared" ref="Z46:Z55" si="35">IF(T46=0,0,X46/T46)</f>
        <v>-0.60144761904761901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12.96</v>
      </c>
      <c r="E47" s="2"/>
      <c r="F47" s="7">
        <f t="shared" si="28"/>
        <v>5.6146942092833948E-4</v>
      </c>
      <c r="G47" s="2"/>
      <c r="H47" s="6"/>
      <c r="I47" s="2"/>
      <c r="J47" s="7">
        <f t="shared" si="29"/>
        <v>0</v>
      </c>
      <c r="K47" s="2"/>
      <c r="L47" s="6">
        <f t="shared" si="30"/>
        <v>12.96</v>
      </c>
      <c r="M47" s="2"/>
      <c r="N47" s="7">
        <f t="shared" si="31"/>
        <v>0</v>
      </c>
      <c r="O47" s="11"/>
      <c r="P47" s="6">
        <v>418.48</v>
      </c>
      <c r="Q47" s="2"/>
      <c r="R47" s="7">
        <f t="shared" si="32"/>
        <v>1.128682296323659E-3</v>
      </c>
      <c r="S47" s="2"/>
      <c r="T47" s="6">
        <v>1050</v>
      </c>
      <c r="U47" s="2"/>
      <c r="V47" s="7">
        <f t="shared" si="33"/>
        <v>1.4563106796116505E-3</v>
      </c>
      <c r="W47" s="2"/>
      <c r="X47" s="6">
        <f t="shared" si="34"/>
        <v>-631.52</v>
      </c>
      <c r="Y47" s="2"/>
      <c r="Z47" s="7">
        <f t="shared" si="35"/>
        <v>-0.60144761904761901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0.45</v>
      </c>
      <c r="E48" s="1"/>
      <c r="F48" s="5">
        <f t="shared" si="28"/>
        <v>1.949546600445623E-5</v>
      </c>
      <c r="G48" s="1"/>
      <c r="H48" s="1">
        <f>SUM(OSRRefH22_3x_0)</f>
        <v>-1</v>
      </c>
      <c r="I48" s="1"/>
      <c r="J48" s="5">
        <f t="shared" si="29"/>
        <v>-1.0309278350515464E-5</v>
      </c>
      <c r="K48" s="1"/>
      <c r="L48" s="1">
        <f t="shared" si="30"/>
        <v>1.45</v>
      </c>
      <c r="M48" s="1"/>
      <c r="N48" s="5">
        <f t="shared" si="31"/>
        <v>-1.45</v>
      </c>
      <c r="O48" s="13"/>
      <c r="P48" s="1">
        <f>SUM(OSRRefP22_3x_0)</f>
        <v>-0.23</v>
      </c>
      <c r="Q48" s="1"/>
      <c r="R48" s="5">
        <f t="shared" si="32"/>
        <v>-6.2033293862177773E-7</v>
      </c>
      <c r="S48" s="1"/>
      <c r="T48" s="1">
        <f>SUM(OSRRefT22_3x_0)</f>
        <v>-8</v>
      </c>
      <c r="U48" s="1"/>
      <c r="V48" s="5">
        <f t="shared" si="33"/>
        <v>-1.1095700416088765E-5</v>
      </c>
      <c r="W48" s="1"/>
      <c r="X48" s="1">
        <f t="shared" si="34"/>
        <v>7.77</v>
      </c>
      <c r="Y48" s="1"/>
      <c r="Z48" s="5">
        <f t="shared" si="35"/>
        <v>-0.97124999999999995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0.45</v>
      </c>
      <c r="E49" s="2"/>
      <c r="F49" s="7">
        <f t="shared" si="28"/>
        <v>1.949546600445623E-5</v>
      </c>
      <c r="G49" s="2"/>
      <c r="H49" s="6">
        <v>-1</v>
      </c>
      <c r="I49" s="2"/>
      <c r="J49" s="7">
        <f t="shared" si="29"/>
        <v>-1.0309278350515464E-5</v>
      </c>
      <c r="K49" s="2"/>
      <c r="L49" s="6">
        <f t="shared" si="30"/>
        <v>1.45</v>
      </c>
      <c r="M49" s="2"/>
      <c r="N49" s="7">
        <f t="shared" si="31"/>
        <v>-1.45</v>
      </c>
      <c r="O49" s="11"/>
      <c r="P49" s="6">
        <v>-0.23</v>
      </c>
      <c r="Q49" s="2"/>
      <c r="R49" s="7">
        <f t="shared" si="32"/>
        <v>-6.2033293862177773E-7</v>
      </c>
      <c r="S49" s="2"/>
      <c r="T49" s="6">
        <v>-8</v>
      </c>
      <c r="U49" s="2"/>
      <c r="V49" s="7">
        <f t="shared" si="33"/>
        <v>-1.1095700416088765E-5</v>
      </c>
      <c r="W49" s="2"/>
      <c r="X49" s="6">
        <f t="shared" si="34"/>
        <v>7.77</v>
      </c>
      <c r="Y49" s="2"/>
      <c r="Z49" s="7">
        <f t="shared" si="35"/>
        <v>-0.97124999999999995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560.49</v>
      </c>
      <c r="E50" s="1"/>
      <c r="F50" s="5">
        <f t="shared" si="28"/>
        <v>2.428225275741705E-2</v>
      </c>
      <c r="G50" s="1"/>
      <c r="H50" s="1">
        <f>SUM(OSRRefH22_4x_0)</f>
        <v>750</v>
      </c>
      <c r="I50" s="1"/>
      <c r="J50" s="5">
        <f t="shared" si="29"/>
        <v>7.7319587628865982E-3</v>
      </c>
      <c r="K50" s="1"/>
      <c r="L50" s="1">
        <f t="shared" si="30"/>
        <v>-189.51</v>
      </c>
      <c r="M50" s="1"/>
      <c r="N50" s="5">
        <f t="shared" si="31"/>
        <v>-0.25267999999999996</v>
      </c>
      <c r="O50" s="13"/>
      <c r="P50" s="1">
        <f>SUM(OSRRefP22_4x_0)</f>
        <v>5459.6</v>
      </c>
      <c r="Q50" s="1"/>
      <c r="R50" s="5">
        <f t="shared" si="32"/>
        <v>1.4725085703041121E-2</v>
      </c>
      <c r="S50" s="1"/>
      <c r="T50" s="1">
        <f>SUM(OSRRefT22_4x_0)</f>
        <v>8450</v>
      </c>
      <c r="U50" s="1"/>
      <c r="V50" s="5">
        <f t="shared" si="33"/>
        <v>1.1719833564493758E-2</v>
      </c>
      <c r="W50" s="1"/>
      <c r="X50" s="1">
        <f t="shared" si="34"/>
        <v>-2990.3999999999996</v>
      </c>
      <c r="Y50" s="1"/>
      <c r="Z50" s="5">
        <f t="shared" si="35"/>
        <v>-0.35389349112426033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560.49</v>
      </c>
      <c r="E51" s="2"/>
      <c r="F51" s="7">
        <f t="shared" si="28"/>
        <v>2.428225275741705E-2</v>
      </c>
      <c r="G51" s="2"/>
      <c r="H51" s="6">
        <v>750</v>
      </c>
      <c r="I51" s="2"/>
      <c r="J51" s="7">
        <f t="shared" si="29"/>
        <v>7.7319587628865982E-3</v>
      </c>
      <c r="K51" s="2"/>
      <c r="L51" s="6">
        <f t="shared" si="30"/>
        <v>-189.51</v>
      </c>
      <c r="M51" s="2"/>
      <c r="N51" s="7">
        <f t="shared" si="31"/>
        <v>-0.25267999999999996</v>
      </c>
      <c r="O51" s="11"/>
      <c r="P51" s="6">
        <v>5459.6</v>
      </c>
      <c r="Q51" s="2"/>
      <c r="R51" s="7">
        <f t="shared" si="32"/>
        <v>1.4725085703041121E-2</v>
      </c>
      <c r="S51" s="2"/>
      <c r="T51" s="6">
        <v>8450</v>
      </c>
      <c r="U51" s="2"/>
      <c r="V51" s="7">
        <f t="shared" si="33"/>
        <v>1.1719833564493758E-2</v>
      </c>
      <c r="W51" s="2"/>
      <c r="X51" s="6">
        <f t="shared" si="34"/>
        <v>-2990.3999999999996</v>
      </c>
      <c r="Y51" s="2"/>
      <c r="Z51" s="7">
        <f t="shared" si="35"/>
        <v>-0.35389349112426033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535.89</v>
      </c>
      <c r="E52" s="1"/>
      <c r="F52" s="5">
        <f t="shared" si="28"/>
        <v>2.3216500615840109E-2</v>
      </c>
      <c r="G52" s="1"/>
      <c r="H52" s="1">
        <f>SUM(OSRRefH22_5x_0)</f>
        <v>1621</v>
      </c>
      <c r="I52" s="1"/>
      <c r="J52" s="5">
        <f t="shared" si="29"/>
        <v>1.6711340206185567E-2</v>
      </c>
      <c r="K52" s="1"/>
      <c r="L52" s="1">
        <f t="shared" si="30"/>
        <v>-1085.1100000000001</v>
      </c>
      <c r="M52" s="1"/>
      <c r="N52" s="5">
        <f t="shared" si="31"/>
        <v>-0.66940777297964227</v>
      </c>
      <c r="O52" s="13"/>
      <c r="P52" s="1">
        <f>SUM(OSRRefP22_5x_0)</f>
        <v>2621.82</v>
      </c>
      <c r="Q52" s="1"/>
      <c r="R52" s="5">
        <f t="shared" si="32"/>
        <v>7.0713100223363011E-3</v>
      </c>
      <c r="S52" s="1"/>
      <c r="T52" s="1">
        <f>SUM(OSRRefT22_5x_0)</f>
        <v>9332</v>
      </c>
      <c r="U52" s="1"/>
      <c r="V52" s="5">
        <f t="shared" si="33"/>
        <v>1.2943134535367546E-2</v>
      </c>
      <c r="W52" s="1"/>
      <c r="X52" s="1">
        <f t="shared" si="34"/>
        <v>-6710.18</v>
      </c>
      <c r="Y52" s="1"/>
      <c r="Z52" s="5">
        <f t="shared" si="35"/>
        <v>-0.7190505786540935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535.89</v>
      </c>
      <c r="E53" s="2"/>
      <c r="F53" s="7">
        <f t="shared" si="28"/>
        <v>2.3216500615840109E-2</v>
      </c>
      <c r="G53" s="2"/>
      <c r="H53" s="6">
        <v>298</v>
      </c>
      <c r="I53" s="2"/>
      <c r="J53" s="7">
        <f t="shared" si="29"/>
        <v>3.0721649484536082E-3</v>
      </c>
      <c r="K53" s="2"/>
      <c r="L53" s="6">
        <f t="shared" si="30"/>
        <v>237.89</v>
      </c>
      <c r="M53" s="2"/>
      <c r="N53" s="7">
        <f t="shared" si="31"/>
        <v>0.79828859060402679</v>
      </c>
      <c r="O53" s="11"/>
      <c r="P53" s="6">
        <v>2621.82</v>
      </c>
      <c r="Q53" s="2"/>
      <c r="R53" s="7">
        <f t="shared" si="32"/>
        <v>7.0713100223363011E-3</v>
      </c>
      <c r="S53" s="2"/>
      <c r="T53" s="6">
        <v>2384</v>
      </c>
      <c r="U53" s="2"/>
      <c r="V53" s="7">
        <f t="shared" si="33"/>
        <v>3.3065187239944521E-3</v>
      </c>
      <c r="W53" s="2"/>
      <c r="X53" s="6">
        <f t="shared" si="34"/>
        <v>237.82000000000016</v>
      </c>
      <c r="Y53" s="2"/>
      <c r="Z53" s="7">
        <f t="shared" si="35"/>
        <v>9.9756711409396043E-2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573</v>
      </c>
      <c r="I54" s="2"/>
      <c r="J54" s="7">
        <f t="shared" si="29"/>
        <v>5.9072164948453607E-3</v>
      </c>
      <c r="K54" s="2"/>
      <c r="L54" s="6">
        <f t="shared" si="30"/>
        <v>-573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3198</v>
      </c>
      <c r="U54" s="2"/>
      <c r="V54" s="7">
        <f t="shared" si="33"/>
        <v>4.435506241331484E-3</v>
      </c>
      <c r="W54" s="2"/>
      <c r="X54" s="6">
        <f t="shared" si="34"/>
        <v>-3198</v>
      </c>
      <c r="Y54" s="2"/>
      <c r="Z54" s="7">
        <f t="shared" si="35"/>
        <v>-1</v>
      </c>
    </row>
    <row r="55" spans="1:26" s="24" customFormat="1" hidden="1" outlineLevel="2" x14ac:dyDescent="0.25">
      <c r="A55" s="25"/>
      <c r="B55" s="11" t="str">
        <f>CONCATENATE("          ", "6326", " - ", "VEHICLES DEPRECIATION EXPENSE")</f>
        <v xml:space="preserve">          6326 - VEHICLES DEPRECIATION EXPENSE</v>
      </c>
      <c r="C55" s="11"/>
      <c r="D55" s="6"/>
      <c r="E55" s="2"/>
      <c r="F55" s="7">
        <f t="shared" si="28"/>
        <v>0</v>
      </c>
      <c r="G55" s="2"/>
      <c r="H55" s="6">
        <v>750</v>
      </c>
      <c r="I55" s="2"/>
      <c r="J55" s="7">
        <f t="shared" si="29"/>
        <v>7.7319587628865982E-3</v>
      </c>
      <c r="K55" s="2"/>
      <c r="L55" s="6">
        <f t="shared" si="30"/>
        <v>-750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3750</v>
      </c>
      <c r="U55" s="2"/>
      <c r="V55" s="7">
        <f t="shared" si="33"/>
        <v>5.2011095700416092E-3</v>
      </c>
      <c r="W55" s="2"/>
      <c r="X55" s="6">
        <f t="shared" si="34"/>
        <v>-3750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0</v>
      </c>
      <c r="M56" s="1"/>
      <c r="N56" s="5">
        <f t="shared" ref="N56:N64" si="39">IF(H56=0,0,L56/H56)</f>
        <v>0</v>
      </c>
      <c r="O56" s="13"/>
      <c r="P56" s="1">
        <f>SUM(OSRRefP22_6x_0)</f>
        <v>60</v>
      </c>
      <c r="Q56" s="1"/>
      <c r="R56" s="5">
        <f t="shared" ref="R56:R64" si="40">IF(P$12=0,0,P56/P$12)</f>
        <v>1.6182598398828985E-4</v>
      </c>
      <c r="S56" s="1"/>
      <c r="T56" s="1">
        <f>SUM(OSRRefT22_6x_0)</f>
        <v>300</v>
      </c>
      <c r="U56" s="1"/>
      <c r="V56" s="5">
        <f t="shared" ref="V56:V64" si="41">IF(T$12=0,0,T56/T$12)</f>
        <v>4.1608876560332873E-4</v>
      </c>
      <c r="W56" s="1"/>
      <c r="X56" s="1">
        <f t="shared" ref="X56:X64" si="42">+P56-T56</f>
        <v>-240</v>
      </c>
      <c r="Y56" s="1"/>
      <c r="Z56" s="5">
        <f t="shared" ref="Z56:Z64" si="43">IF(T56=0,0,X56/T56)</f>
        <v>-0.8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60</v>
      </c>
      <c r="Q57" s="2"/>
      <c r="R57" s="7">
        <f t="shared" si="40"/>
        <v>1.6182598398828985E-4</v>
      </c>
      <c r="S57" s="2"/>
      <c r="T57" s="6">
        <v>300</v>
      </c>
      <c r="U57" s="2"/>
      <c r="V57" s="7">
        <f t="shared" si="41"/>
        <v>4.1608876560332873E-4</v>
      </c>
      <c r="W57" s="2"/>
      <c r="X57" s="6">
        <f t="shared" si="42"/>
        <v>-240</v>
      </c>
      <c r="Y57" s="2"/>
      <c r="Z57" s="7">
        <f t="shared" si="43"/>
        <v>-0.8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16.239999999999998</v>
      </c>
      <c r="E58" s="1"/>
      <c r="F58" s="5">
        <f t="shared" si="36"/>
        <v>7.0356970647193144E-4</v>
      </c>
      <c r="G58" s="1"/>
      <c r="H58" s="1">
        <f>SUM(OSRRefH22_7x_0)</f>
        <v>125</v>
      </c>
      <c r="I58" s="1"/>
      <c r="J58" s="5">
        <f t="shared" si="37"/>
        <v>1.288659793814433E-3</v>
      </c>
      <c r="K58" s="1"/>
      <c r="L58" s="1">
        <f t="shared" si="38"/>
        <v>-108.76</v>
      </c>
      <c r="M58" s="1"/>
      <c r="N58" s="5">
        <f t="shared" si="39"/>
        <v>-0.87008000000000008</v>
      </c>
      <c r="O58" s="13"/>
      <c r="P58" s="1">
        <f>SUM(OSRRefP22_7x_0)</f>
        <v>758.72</v>
      </c>
      <c r="Q58" s="1"/>
      <c r="R58" s="5">
        <f t="shared" si="40"/>
        <v>2.046343509526588E-3</v>
      </c>
      <c r="S58" s="1"/>
      <c r="T58" s="1">
        <f>SUM(OSRRefT22_7x_0)</f>
        <v>725</v>
      </c>
      <c r="U58" s="1"/>
      <c r="V58" s="5">
        <f t="shared" si="41"/>
        <v>1.0055478502080445E-3</v>
      </c>
      <c r="W58" s="1"/>
      <c r="X58" s="1">
        <f t="shared" si="42"/>
        <v>33.720000000000027</v>
      </c>
      <c r="Y58" s="1"/>
      <c r="Z58" s="5">
        <f t="shared" si="43"/>
        <v>4.6510344827586245E-2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16.239999999999998</v>
      </c>
      <c r="E59" s="2"/>
      <c r="F59" s="7">
        <f t="shared" si="36"/>
        <v>7.0356970647193144E-4</v>
      </c>
      <c r="G59" s="2"/>
      <c r="H59" s="6">
        <v>125</v>
      </c>
      <c r="I59" s="2"/>
      <c r="J59" s="7">
        <f t="shared" si="37"/>
        <v>1.288659793814433E-3</v>
      </c>
      <c r="K59" s="2"/>
      <c r="L59" s="6">
        <f t="shared" si="38"/>
        <v>-108.76</v>
      </c>
      <c r="M59" s="2"/>
      <c r="N59" s="7">
        <f t="shared" si="39"/>
        <v>-0.87008000000000008</v>
      </c>
      <c r="O59" s="11"/>
      <c r="P59" s="6">
        <v>758.72</v>
      </c>
      <c r="Q59" s="2"/>
      <c r="R59" s="7">
        <f t="shared" si="40"/>
        <v>2.046343509526588E-3</v>
      </c>
      <c r="S59" s="2"/>
      <c r="T59" s="6">
        <v>725</v>
      </c>
      <c r="U59" s="2"/>
      <c r="V59" s="7">
        <f t="shared" si="41"/>
        <v>1.0055478502080445E-3</v>
      </c>
      <c r="W59" s="2"/>
      <c r="X59" s="6">
        <f t="shared" si="42"/>
        <v>33.720000000000027</v>
      </c>
      <c r="Y59" s="2"/>
      <c r="Z59" s="7">
        <f t="shared" si="43"/>
        <v>4.6510344827586245E-2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25</v>
      </c>
      <c r="I60" s="1"/>
      <c r="J60" s="5">
        <f t="shared" si="37"/>
        <v>2.577319587628866E-4</v>
      </c>
      <c r="K60" s="1"/>
      <c r="L60" s="1">
        <f t="shared" si="38"/>
        <v>-25</v>
      </c>
      <c r="M60" s="1"/>
      <c r="N60" s="5">
        <f t="shared" si="39"/>
        <v>-1</v>
      </c>
      <c r="O60" s="13"/>
      <c r="P60" s="1">
        <f>SUM(OSRRefP22_8x_0)</f>
        <v>2898.74</v>
      </c>
      <c r="Q60" s="1"/>
      <c r="R60" s="5">
        <f t="shared" si="40"/>
        <v>7.8181908804369205E-3</v>
      </c>
      <c r="S60" s="1"/>
      <c r="T60" s="1">
        <f>SUM(OSRRefT22_8x_0)</f>
        <v>3875</v>
      </c>
      <c r="U60" s="1"/>
      <c r="V60" s="5">
        <f t="shared" si="41"/>
        <v>5.3744798890429961E-3</v>
      </c>
      <c r="W60" s="1"/>
      <c r="X60" s="1">
        <f t="shared" si="42"/>
        <v>-976.26000000000022</v>
      </c>
      <c r="Y60" s="1"/>
      <c r="Z60" s="5">
        <f t="shared" si="43"/>
        <v>-0.2519380645161291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6"/>
        <v>0</v>
      </c>
      <c r="G61" s="2"/>
      <c r="H61" s="6">
        <v>25</v>
      </c>
      <c r="I61" s="2"/>
      <c r="J61" s="7">
        <f t="shared" si="37"/>
        <v>2.577319587628866E-4</v>
      </c>
      <c r="K61" s="2"/>
      <c r="L61" s="6">
        <f t="shared" si="38"/>
        <v>-25</v>
      </c>
      <c r="M61" s="2"/>
      <c r="N61" s="7">
        <f t="shared" si="39"/>
        <v>-1</v>
      </c>
      <c r="O61" s="11"/>
      <c r="P61" s="6">
        <v>2898.74</v>
      </c>
      <c r="Q61" s="2"/>
      <c r="R61" s="7">
        <f t="shared" si="40"/>
        <v>7.8181908804369205E-3</v>
      </c>
      <c r="S61" s="2"/>
      <c r="T61" s="6">
        <v>3875</v>
      </c>
      <c r="U61" s="2"/>
      <c r="V61" s="7">
        <f t="shared" si="41"/>
        <v>5.3744798890429961E-3</v>
      </c>
      <c r="W61" s="2"/>
      <c r="X61" s="6">
        <f t="shared" si="42"/>
        <v>-976.26000000000022</v>
      </c>
      <c r="Y61" s="2"/>
      <c r="Z61" s="7">
        <f t="shared" si="43"/>
        <v>-0.2519380645161291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0</v>
      </c>
      <c r="E62" s="1"/>
      <c r="F62" s="5">
        <f t="shared" si="36"/>
        <v>0</v>
      </c>
      <c r="G62" s="1"/>
      <c r="H62" s="1">
        <f>SUM(OSRRefH22_9x_0)</f>
        <v>200</v>
      </c>
      <c r="I62" s="1"/>
      <c r="J62" s="5">
        <f t="shared" si="37"/>
        <v>2.0618556701030928E-3</v>
      </c>
      <c r="K62" s="1"/>
      <c r="L62" s="1">
        <f t="shared" si="38"/>
        <v>-200</v>
      </c>
      <c r="M62" s="1"/>
      <c r="N62" s="5">
        <f t="shared" si="39"/>
        <v>-1</v>
      </c>
      <c r="O62" s="13"/>
      <c r="P62" s="1">
        <f>SUM(OSRRefP22_9x_0)</f>
        <v>5294.83</v>
      </c>
      <c r="Q62" s="1"/>
      <c r="R62" s="5">
        <f t="shared" si="40"/>
        <v>1.4280684580011945E-2</v>
      </c>
      <c r="S62" s="1"/>
      <c r="T62" s="1">
        <f>SUM(OSRRefT22_9x_0)</f>
        <v>4220</v>
      </c>
      <c r="U62" s="1"/>
      <c r="V62" s="5">
        <f t="shared" si="41"/>
        <v>5.8529819694868234E-3</v>
      </c>
      <c r="W62" s="1"/>
      <c r="X62" s="1">
        <f t="shared" si="42"/>
        <v>1074.83</v>
      </c>
      <c r="Y62" s="1"/>
      <c r="Z62" s="5">
        <f t="shared" si="43"/>
        <v>0.25469905213270139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1071.28</v>
      </c>
      <c r="Q63" s="2"/>
      <c r="R63" s="7">
        <f t="shared" si="40"/>
        <v>2.8893490021162523E-3</v>
      </c>
      <c r="S63" s="2"/>
      <c r="T63" s="6">
        <v>120</v>
      </c>
      <c r="U63" s="2"/>
      <c r="V63" s="7">
        <f t="shared" si="41"/>
        <v>1.6643550624133148E-4</v>
      </c>
      <c r="W63" s="2"/>
      <c r="X63" s="6">
        <f t="shared" si="42"/>
        <v>951.28</v>
      </c>
      <c r="Y63" s="2"/>
      <c r="Z63" s="7">
        <f t="shared" si="43"/>
        <v>7.9273333333333333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6"/>
        <v>0</v>
      </c>
      <c r="G64" s="2"/>
      <c r="H64" s="6">
        <v>200</v>
      </c>
      <c r="I64" s="2"/>
      <c r="J64" s="7">
        <f t="shared" si="37"/>
        <v>2.0618556701030928E-3</v>
      </c>
      <c r="K64" s="2"/>
      <c r="L64" s="6">
        <f t="shared" si="38"/>
        <v>-200</v>
      </c>
      <c r="M64" s="2"/>
      <c r="N64" s="7">
        <f t="shared" si="39"/>
        <v>-1</v>
      </c>
      <c r="O64" s="11"/>
      <c r="P64" s="6">
        <v>4223.55</v>
      </c>
      <c r="Q64" s="2"/>
      <c r="R64" s="7">
        <f t="shared" si="40"/>
        <v>1.1391335577895692E-2</v>
      </c>
      <c r="S64" s="2"/>
      <c r="T64" s="6">
        <v>4100</v>
      </c>
      <c r="U64" s="2"/>
      <c r="V64" s="7">
        <f t="shared" si="41"/>
        <v>5.6865464632454921E-3</v>
      </c>
      <c r="W64" s="2"/>
      <c r="X64" s="6">
        <f t="shared" si="42"/>
        <v>123.55000000000018</v>
      </c>
      <c r="Y64" s="2"/>
      <c r="Z64" s="7">
        <f t="shared" si="43"/>
        <v>3.0134146341463459E-2</v>
      </c>
    </row>
    <row r="65" spans="1:26" s="27" customFormat="1" outlineLevel="1" collapsed="1" x14ac:dyDescent="0.25">
      <c r="A65" s="26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0</v>
      </c>
      <c r="E65" s="1"/>
      <c r="F65" s="5">
        <f t="shared" ref="F65:F70" si="44">IF(D$12=0,0,D65/D$12)</f>
        <v>0</v>
      </c>
      <c r="G65" s="1"/>
      <c r="H65" s="1">
        <f>SUM(OSRRefH22_10x_0)</f>
        <v>1000</v>
      </c>
      <c r="I65" s="1"/>
      <c r="J65" s="5">
        <f t="shared" ref="J65:J70" si="45">IF(H$12=0,0,H65/H$12)</f>
        <v>1.0309278350515464E-2</v>
      </c>
      <c r="K65" s="1"/>
      <c r="L65" s="1">
        <f t="shared" ref="L65:L70" si="46">+D65-H65</f>
        <v>-1000</v>
      </c>
      <c r="M65" s="1"/>
      <c r="N65" s="5">
        <f t="shared" ref="N65:N70" si="47">IF(H65=0,0,L65/H65)</f>
        <v>-1</v>
      </c>
      <c r="O65" s="13"/>
      <c r="P65" s="1">
        <f>SUM(OSRRefP22_10x_0)</f>
        <v>0</v>
      </c>
      <c r="Q65" s="1"/>
      <c r="R65" s="5">
        <f t="shared" ref="R65:R70" si="48">IF(P$12=0,0,P65/P$12)</f>
        <v>0</v>
      </c>
      <c r="S65" s="1"/>
      <c r="T65" s="1">
        <f>SUM(OSRRefT22_10x_0)</f>
        <v>5000</v>
      </c>
      <c r="U65" s="1"/>
      <c r="V65" s="5">
        <f t="shared" ref="V65:V70" si="49">IF(T$12=0,0,T65/T$12)</f>
        <v>6.9348127600554789E-3</v>
      </c>
      <c r="W65" s="1"/>
      <c r="X65" s="1">
        <f t="shared" ref="X65:X70" si="50">+P65-T65</f>
        <v>-5000</v>
      </c>
      <c r="Y65" s="1"/>
      <c r="Z65" s="5">
        <f t="shared" ref="Z65:Z70" si="51">IF(T65=0,0,X65/T65)</f>
        <v>-1</v>
      </c>
    </row>
    <row r="66" spans="1:26" s="24" customFormat="1" hidden="1" outlineLevel="2" x14ac:dyDescent="0.25">
      <c r="A66" s="25"/>
      <c r="B66" s="11" t="str">
        <f>CONCATENATE("          ", "6254", " - ", "ROYALTY &amp; COMMISSIONS")</f>
        <v xml:space="preserve">          6254 - ROYALTY &amp; COMMISSIONS</v>
      </c>
      <c r="C66" s="11"/>
      <c r="D66" s="6"/>
      <c r="E66" s="2"/>
      <c r="F66" s="7">
        <f t="shared" si="44"/>
        <v>0</v>
      </c>
      <c r="G66" s="2"/>
      <c r="H66" s="6">
        <v>1000</v>
      </c>
      <c r="I66" s="2"/>
      <c r="J66" s="7">
        <f t="shared" si="45"/>
        <v>1.0309278350515464E-2</v>
      </c>
      <c r="K66" s="2"/>
      <c r="L66" s="6">
        <f t="shared" si="46"/>
        <v>-1000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5000</v>
      </c>
      <c r="U66" s="2"/>
      <c r="V66" s="7">
        <f t="shared" si="49"/>
        <v>6.9348127600554789E-3</v>
      </c>
      <c r="W66" s="2"/>
      <c r="X66" s="6">
        <f t="shared" si="50"/>
        <v>-5000</v>
      </c>
      <c r="Y66" s="2"/>
      <c r="Z66" s="7">
        <f t="shared" si="51"/>
        <v>-1</v>
      </c>
    </row>
    <row r="67" spans="1:26" s="27" customFormat="1" outlineLevel="1" collapsed="1" x14ac:dyDescent="0.25">
      <c r="A67" s="26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2341.48</v>
      </c>
      <c r="E67" s="1"/>
      <c r="F67" s="5">
        <f t="shared" si="44"/>
        <v>0.10144054164469817</v>
      </c>
      <c r="G67" s="1"/>
      <c r="H67" s="1">
        <f>SUM(OSRRefH22_11x_0)</f>
        <v>3860</v>
      </c>
      <c r="I67" s="1"/>
      <c r="J67" s="5">
        <f t="shared" si="45"/>
        <v>3.979381443298969E-2</v>
      </c>
      <c r="K67" s="1"/>
      <c r="L67" s="1">
        <f t="shared" si="46"/>
        <v>-1518.52</v>
      </c>
      <c r="M67" s="1"/>
      <c r="N67" s="5">
        <f t="shared" si="47"/>
        <v>-0.39339896373056993</v>
      </c>
      <c r="O67" s="13"/>
      <c r="P67" s="1">
        <f>SUM(OSRRefP22_11x_0)</f>
        <v>17924.07</v>
      </c>
      <c r="Q67" s="1"/>
      <c r="R67" s="5">
        <f t="shared" si="48"/>
        <v>4.8343004413749766E-2</v>
      </c>
      <c r="S67" s="1"/>
      <c r="T67" s="1">
        <f>SUM(OSRRefT22_11x_0)</f>
        <v>22230</v>
      </c>
      <c r="U67" s="1"/>
      <c r="V67" s="5">
        <f t="shared" si="49"/>
        <v>3.0832177531206657E-2</v>
      </c>
      <c r="W67" s="1"/>
      <c r="X67" s="1">
        <f t="shared" si="50"/>
        <v>-4305.93</v>
      </c>
      <c r="Y67" s="1"/>
      <c r="Z67" s="5">
        <f t="shared" si="51"/>
        <v>-0.19369905533063428</v>
      </c>
    </row>
    <row r="68" spans="1:26" s="24" customFormat="1" hidden="1" outlineLevel="2" x14ac:dyDescent="0.25">
      <c r="A68" s="25"/>
      <c r="B68" s="11" t="str">
        <f>CONCATENATE("          ", "6283", " - ", "PLANT SERVICE")</f>
        <v xml:space="preserve">          6283 - PLANT SERVICE</v>
      </c>
      <c r="C68" s="11"/>
      <c r="D68" s="6">
        <v>62.95</v>
      </c>
      <c r="E68" s="2"/>
      <c r="F68" s="7">
        <f t="shared" si="44"/>
        <v>2.7271990777344881E-3</v>
      </c>
      <c r="G68" s="2"/>
      <c r="H68" s="6">
        <v>60</v>
      </c>
      <c r="I68" s="2"/>
      <c r="J68" s="7">
        <f t="shared" si="45"/>
        <v>6.1855670103092778E-4</v>
      </c>
      <c r="K68" s="2"/>
      <c r="L68" s="6">
        <f t="shared" si="46"/>
        <v>2.9500000000000028</v>
      </c>
      <c r="M68" s="2"/>
      <c r="N68" s="7">
        <f t="shared" si="47"/>
        <v>4.9166666666666713E-2</v>
      </c>
      <c r="O68" s="11"/>
      <c r="P68" s="6">
        <v>314.75</v>
      </c>
      <c r="Q68" s="2"/>
      <c r="R68" s="7">
        <f t="shared" si="48"/>
        <v>8.4891214100523706E-4</v>
      </c>
      <c r="S68" s="2"/>
      <c r="T68" s="6">
        <v>480</v>
      </c>
      <c r="U68" s="2"/>
      <c r="V68" s="7">
        <f t="shared" si="49"/>
        <v>6.6574202496532591E-4</v>
      </c>
      <c r="W68" s="2"/>
      <c r="X68" s="6">
        <f t="shared" si="50"/>
        <v>-165.25</v>
      </c>
      <c r="Y68" s="2"/>
      <c r="Z68" s="7">
        <f t="shared" si="51"/>
        <v>-0.34427083333333336</v>
      </c>
    </row>
    <row r="69" spans="1:26" s="24" customFormat="1" hidden="1" outlineLevel="2" x14ac:dyDescent="0.25">
      <c r="A69" s="25"/>
      <c r="B69" s="11" t="str">
        <f>CONCATENATE("          ", "6285", " - ", "JANITORIAL SERVICES")</f>
        <v xml:space="preserve">          6285 - JANITORIAL SERVICES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/>
      <c r="Q69" s="2"/>
      <c r="R69" s="7">
        <f t="shared" si="48"/>
        <v>0</v>
      </c>
      <c r="S69" s="2"/>
      <c r="T69" s="6">
        <v>250</v>
      </c>
      <c r="U69" s="2"/>
      <c r="V69" s="7">
        <f t="shared" si="49"/>
        <v>3.4674063800277393E-4</v>
      </c>
      <c r="W69" s="2"/>
      <c r="X69" s="6">
        <f t="shared" si="50"/>
        <v>-250</v>
      </c>
      <c r="Y69" s="2"/>
      <c r="Z69" s="7">
        <f t="shared" si="51"/>
        <v>-1</v>
      </c>
    </row>
    <row r="70" spans="1:26" s="24" customFormat="1" hidden="1" outlineLevel="2" x14ac:dyDescent="0.25">
      <c r="A70" s="25"/>
      <c r="B70" s="11" t="str">
        <f>CONCATENATE("          ", "6286", " - ", "LAUNDRY EXPENSE")</f>
        <v xml:space="preserve">          6286 - LAUNDRY EXPENSE</v>
      </c>
      <c r="C70" s="11"/>
      <c r="D70" s="6">
        <v>2278.5300000000002</v>
      </c>
      <c r="E70" s="2"/>
      <c r="F70" s="7">
        <f t="shared" si="44"/>
        <v>9.871334256696368E-2</v>
      </c>
      <c r="G70" s="2"/>
      <c r="H70" s="6">
        <v>3800</v>
      </c>
      <c r="I70" s="2"/>
      <c r="J70" s="7">
        <f t="shared" si="45"/>
        <v>3.9175257731958762E-2</v>
      </c>
      <c r="K70" s="2"/>
      <c r="L70" s="6">
        <f t="shared" si="46"/>
        <v>-1521.4699999999998</v>
      </c>
      <c r="M70" s="2"/>
      <c r="N70" s="7">
        <f t="shared" si="47"/>
        <v>-0.4003868421052631</v>
      </c>
      <c r="O70" s="11"/>
      <c r="P70" s="6">
        <v>17609.32</v>
      </c>
      <c r="Q70" s="2"/>
      <c r="R70" s="7">
        <f t="shared" si="48"/>
        <v>4.749409227274453E-2</v>
      </c>
      <c r="S70" s="2"/>
      <c r="T70" s="6">
        <v>21500</v>
      </c>
      <c r="U70" s="2"/>
      <c r="V70" s="7">
        <f t="shared" si="49"/>
        <v>2.9819694868238558E-2</v>
      </c>
      <c r="W70" s="2"/>
      <c r="X70" s="6">
        <f t="shared" si="50"/>
        <v>-3890.6800000000003</v>
      </c>
      <c r="Y70" s="2"/>
      <c r="Z70" s="7">
        <f t="shared" si="51"/>
        <v>-0.18096186046511628</v>
      </c>
    </row>
    <row r="71" spans="1:26" s="27" customFormat="1" outlineLevel="1" collapsed="1" x14ac:dyDescent="0.25">
      <c r="A71" s="26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2190.42</v>
      </c>
      <c r="E71" s="1"/>
      <c r="F71" s="5">
        <f t="shared" ref="F71:F77" si="52">IF(D$12=0,0,D71/D$12)</f>
        <v>9.4896130323291153E-2</v>
      </c>
      <c r="G71" s="1"/>
      <c r="H71" s="1">
        <f>SUM(OSRRefH22_12x_0)</f>
        <v>4075.3</v>
      </c>
      <c r="I71" s="1"/>
      <c r="J71" s="5">
        <f t="shared" ref="J71:J77" si="53">IF(H$12=0,0,H71/H$12)</f>
        <v>4.2013402061855672E-2</v>
      </c>
      <c r="K71" s="1"/>
      <c r="L71" s="1">
        <f t="shared" ref="L71:L77" si="54">+D71-H71</f>
        <v>-1884.88</v>
      </c>
      <c r="M71" s="1"/>
      <c r="N71" s="5">
        <f t="shared" ref="N71:N77" si="55">IF(H71=0,0,L71/H71)</f>
        <v>-0.46251318921306406</v>
      </c>
      <c r="O71" s="13"/>
      <c r="P71" s="1">
        <f>SUM(OSRRefP22_12x_0)</f>
        <v>11552.150000000001</v>
      </c>
      <c r="Q71" s="1"/>
      <c r="R71" s="5">
        <f t="shared" ref="R71:R77" si="56">IF(P$12=0,0,P71/P$12)</f>
        <v>3.1157300682172043E-2</v>
      </c>
      <c r="S71" s="1"/>
      <c r="T71" s="1">
        <f>SUM(OSRRefT22_12x_0)</f>
        <v>16265.8</v>
      </c>
      <c r="U71" s="1"/>
      <c r="V71" s="5">
        <f t="shared" ref="V71:V77" si="57">IF(T$12=0,0,T71/T$12)</f>
        <v>2.2560055478502081E-2</v>
      </c>
      <c r="W71" s="1"/>
      <c r="X71" s="1">
        <f t="shared" ref="X71:X77" si="58">+P71-T71</f>
        <v>-4713.6499999999978</v>
      </c>
      <c r="Y71" s="1"/>
      <c r="Z71" s="5">
        <f t="shared" ref="Z71:Z77" si="59">IF(T71=0,0,X71/T71)</f>
        <v>-0.28978900515191369</v>
      </c>
    </row>
    <row r="72" spans="1:26" s="24" customFormat="1" hidden="1" outlineLevel="2" x14ac:dyDescent="0.25">
      <c r="A72" s="25"/>
      <c r="B72" s="11" t="str">
        <f>CONCATENATE("          ", "6234", " - ", "EXPENDABLE SUPPLIES &amp; EQUIPMEN")</f>
        <v xml:space="preserve">          6234 - EXPENDABLE SUPPLIES &amp; EQUIPMEN</v>
      </c>
      <c r="C72" s="11"/>
      <c r="D72" s="6">
        <v>360.61</v>
      </c>
      <c r="E72" s="2"/>
      <c r="F72" s="7">
        <f t="shared" si="52"/>
        <v>1.5622799990815469E-2</v>
      </c>
      <c r="G72" s="2"/>
      <c r="H72" s="6">
        <v>500</v>
      </c>
      <c r="I72" s="2"/>
      <c r="J72" s="7">
        <f t="shared" si="53"/>
        <v>5.1546391752577319E-3</v>
      </c>
      <c r="K72" s="2"/>
      <c r="L72" s="6">
        <f t="shared" si="54"/>
        <v>-139.38999999999999</v>
      </c>
      <c r="M72" s="2"/>
      <c r="N72" s="7">
        <f t="shared" si="55"/>
        <v>-0.27877999999999997</v>
      </c>
      <c r="O72" s="11"/>
      <c r="P72" s="6">
        <v>647.9</v>
      </c>
      <c r="Q72" s="2"/>
      <c r="R72" s="7">
        <f t="shared" si="56"/>
        <v>1.7474509171002163E-3</v>
      </c>
      <c r="S72" s="2"/>
      <c r="T72" s="6">
        <v>4050</v>
      </c>
      <c r="U72" s="2"/>
      <c r="V72" s="7">
        <f t="shared" si="57"/>
        <v>5.6171983356449375E-3</v>
      </c>
      <c r="W72" s="2"/>
      <c r="X72" s="6">
        <f t="shared" si="58"/>
        <v>-3402.1</v>
      </c>
      <c r="Y72" s="2"/>
      <c r="Z72" s="7">
        <f t="shared" si="59"/>
        <v>-0.84002469135802471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>
        <v>143.15</v>
      </c>
      <c r="E73" s="2"/>
      <c r="F73" s="7">
        <f t="shared" si="52"/>
        <v>6.2017243523064649E-3</v>
      </c>
      <c r="G73" s="2"/>
      <c r="H73" s="6">
        <v>2000</v>
      </c>
      <c r="I73" s="2"/>
      <c r="J73" s="7">
        <f t="shared" si="53"/>
        <v>2.0618556701030927E-2</v>
      </c>
      <c r="K73" s="2"/>
      <c r="L73" s="6">
        <f t="shared" si="54"/>
        <v>-1856.85</v>
      </c>
      <c r="M73" s="2"/>
      <c r="N73" s="7">
        <f t="shared" si="55"/>
        <v>-0.92842499999999994</v>
      </c>
      <c r="O73" s="11"/>
      <c r="P73" s="6">
        <v>3652.68</v>
      </c>
      <c r="Q73" s="2"/>
      <c r="R73" s="7">
        <f t="shared" si="56"/>
        <v>9.8516422532391075E-3</v>
      </c>
      <c r="S73" s="2"/>
      <c r="T73" s="6">
        <v>3373.71</v>
      </c>
      <c r="U73" s="2"/>
      <c r="V73" s="7">
        <f t="shared" si="57"/>
        <v>4.6792094313453537E-3</v>
      </c>
      <c r="W73" s="2"/>
      <c r="X73" s="6">
        <f t="shared" si="58"/>
        <v>278.9699999999998</v>
      </c>
      <c r="Y73" s="2"/>
      <c r="Z73" s="7">
        <f t="shared" si="59"/>
        <v>8.2689383497692392E-2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52"/>
        <v>0</v>
      </c>
      <c r="G74" s="2"/>
      <c r="H74" s="6">
        <v>300</v>
      </c>
      <c r="I74" s="2"/>
      <c r="J74" s="7">
        <f t="shared" si="53"/>
        <v>3.092783505154639E-3</v>
      </c>
      <c r="K74" s="2"/>
      <c r="L74" s="6">
        <f t="shared" si="54"/>
        <v>-300</v>
      </c>
      <c r="M74" s="2"/>
      <c r="N74" s="7">
        <f t="shared" si="55"/>
        <v>-1</v>
      </c>
      <c r="O74" s="11"/>
      <c r="P74" s="6">
        <v>649.69000000000005</v>
      </c>
      <c r="Q74" s="2"/>
      <c r="R74" s="7">
        <f t="shared" si="56"/>
        <v>1.7522787256225338E-3</v>
      </c>
      <c r="S74" s="2"/>
      <c r="T74" s="6">
        <v>1581.25</v>
      </c>
      <c r="U74" s="2"/>
      <c r="V74" s="7">
        <f t="shared" si="57"/>
        <v>2.1931345353675452E-3</v>
      </c>
      <c r="W74" s="2"/>
      <c r="X74" s="6">
        <f t="shared" si="58"/>
        <v>-931.56</v>
      </c>
      <c r="Y74" s="2"/>
      <c r="Z74" s="7">
        <f t="shared" si="59"/>
        <v>-0.58912885375494073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6">
        <v>1206.31</v>
      </c>
      <c r="E75" s="2"/>
      <c r="F75" s="7">
        <f t="shared" si="52"/>
        <v>5.2261279101856871E-2</v>
      </c>
      <c r="G75" s="2"/>
      <c r="H75" s="6">
        <v>1000</v>
      </c>
      <c r="I75" s="2"/>
      <c r="J75" s="7">
        <f t="shared" si="53"/>
        <v>1.0309278350515464E-2</v>
      </c>
      <c r="K75" s="2"/>
      <c r="L75" s="6">
        <f t="shared" si="54"/>
        <v>206.30999999999995</v>
      </c>
      <c r="M75" s="2"/>
      <c r="N75" s="7">
        <f t="shared" si="55"/>
        <v>0.20630999999999994</v>
      </c>
      <c r="O75" s="11"/>
      <c r="P75" s="6">
        <v>5035.1099999999997</v>
      </c>
      <c r="Q75" s="2"/>
      <c r="R75" s="7">
        <f t="shared" si="56"/>
        <v>1.35801938373213E-2</v>
      </c>
      <c r="S75" s="2"/>
      <c r="T75" s="6">
        <v>5024.5200000000004</v>
      </c>
      <c r="U75" s="2"/>
      <c r="V75" s="7">
        <f t="shared" si="57"/>
        <v>6.9688210818307913E-3</v>
      </c>
      <c r="W75" s="2"/>
      <c r="X75" s="6">
        <f t="shared" si="58"/>
        <v>10.589999999999236</v>
      </c>
      <c r="Y75" s="2"/>
      <c r="Z75" s="7">
        <f t="shared" si="59"/>
        <v>2.1076640156670158E-3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6">
        <v>22.28</v>
      </c>
      <c r="E76" s="2"/>
      <c r="F76" s="7">
        <f t="shared" si="52"/>
        <v>9.6524218350952187E-4</v>
      </c>
      <c r="G76" s="2"/>
      <c r="H76" s="6">
        <v>25.3</v>
      </c>
      <c r="I76" s="2"/>
      <c r="J76" s="7">
        <f t="shared" si="53"/>
        <v>2.6082474226804124E-4</v>
      </c>
      <c r="K76" s="2"/>
      <c r="L76" s="6">
        <f t="shared" si="54"/>
        <v>-3.0199999999999996</v>
      </c>
      <c r="M76" s="2"/>
      <c r="N76" s="7">
        <f t="shared" si="55"/>
        <v>-0.1193675889328063</v>
      </c>
      <c r="O76" s="11"/>
      <c r="P76" s="6">
        <v>388.37</v>
      </c>
      <c r="Q76" s="2"/>
      <c r="R76" s="7">
        <f t="shared" si="56"/>
        <v>1.0474726233588687E-3</v>
      </c>
      <c r="S76" s="2"/>
      <c r="T76" s="6">
        <v>936.32</v>
      </c>
      <c r="U76" s="2"/>
      <c r="V76" s="7">
        <f t="shared" si="57"/>
        <v>1.2986407766990291E-3</v>
      </c>
      <c r="W76" s="2"/>
      <c r="X76" s="6">
        <f t="shared" si="58"/>
        <v>-547.95000000000005</v>
      </c>
      <c r="Y76" s="2"/>
      <c r="Z76" s="7">
        <f t="shared" si="59"/>
        <v>-0.58521659261790837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6">
        <v>458.07</v>
      </c>
      <c r="E77" s="2"/>
      <c r="F77" s="7">
        <f t="shared" si="52"/>
        <v>1.9845084694802811E-2</v>
      </c>
      <c r="G77" s="2"/>
      <c r="H77" s="6">
        <v>250</v>
      </c>
      <c r="I77" s="2"/>
      <c r="J77" s="7">
        <f t="shared" si="53"/>
        <v>2.5773195876288659E-3</v>
      </c>
      <c r="K77" s="2"/>
      <c r="L77" s="6">
        <f t="shared" si="54"/>
        <v>208.07</v>
      </c>
      <c r="M77" s="2"/>
      <c r="N77" s="7">
        <f t="shared" si="55"/>
        <v>0.83228000000000002</v>
      </c>
      <c r="O77" s="11"/>
      <c r="P77" s="6">
        <v>1178.4000000000001</v>
      </c>
      <c r="Q77" s="2"/>
      <c r="R77" s="7">
        <f t="shared" si="56"/>
        <v>3.1782623255300125E-3</v>
      </c>
      <c r="S77" s="2"/>
      <c r="T77" s="6">
        <v>1300</v>
      </c>
      <c r="U77" s="2"/>
      <c r="V77" s="7">
        <f t="shared" si="57"/>
        <v>1.8030513176144243E-3</v>
      </c>
      <c r="W77" s="2"/>
      <c r="X77" s="6">
        <f t="shared" si="58"/>
        <v>-121.59999999999991</v>
      </c>
      <c r="Y77" s="2"/>
      <c r="Z77" s="7">
        <f t="shared" si="59"/>
        <v>-9.3538461538461473E-2</v>
      </c>
    </row>
    <row r="78" spans="1:26" s="27" customFormat="1" outlineLevel="1" collapsed="1" x14ac:dyDescent="0.25">
      <c r="A78" s="26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229.01</v>
      </c>
      <c r="E78" s="1"/>
      <c r="F78" s="5">
        <f t="shared" ref="F78:F83" si="60">IF(D$12=0,0,D78/D$12)</f>
        <v>9.9214592659567138E-3</v>
      </c>
      <c r="G78" s="1"/>
      <c r="H78" s="1">
        <f>SUM(OSRRefH22_13x_0)</f>
        <v>195</v>
      </c>
      <c r="I78" s="1"/>
      <c r="J78" s="5">
        <f t="shared" ref="J78:J83" si="61">IF(H$12=0,0,H78/H$12)</f>
        <v>2.0103092783505154E-3</v>
      </c>
      <c r="K78" s="1"/>
      <c r="L78" s="1">
        <f t="shared" ref="L78:L83" si="62">+D78-H78</f>
        <v>34.009999999999991</v>
      </c>
      <c r="M78" s="1"/>
      <c r="N78" s="5">
        <f t="shared" ref="N78:N83" si="63">IF(H78=0,0,L78/H78)</f>
        <v>0.17441025641025637</v>
      </c>
      <c r="O78" s="13"/>
      <c r="P78" s="1">
        <f>SUM(OSRRefP22_13x_0)</f>
        <v>1636.36</v>
      </c>
      <c r="Q78" s="1"/>
      <c r="R78" s="5">
        <f t="shared" ref="R78:R83" si="64">IF(P$12=0,0,P78/P$12)</f>
        <v>4.4134261193179659E-3</v>
      </c>
      <c r="S78" s="1"/>
      <c r="T78" s="1">
        <f>SUM(OSRRefT22_13x_0)</f>
        <v>1170</v>
      </c>
      <c r="U78" s="1"/>
      <c r="V78" s="5">
        <f t="shared" ref="V78:V83" si="65">IF(T$12=0,0,T78/T$12)</f>
        <v>1.6227461858529819E-3</v>
      </c>
      <c r="W78" s="1"/>
      <c r="X78" s="1">
        <f t="shared" ref="X78:X83" si="66">+P78-T78</f>
        <v>466.3599999999999</v>
      </c>
      <c r="Y78" s="1"/>
      <c r="Z78" s="5">
        <f t="shared" ref="Z78:Z83" si="67">IF(T78=0,0,X78/T78)</f>
        <v>0.39859829059829049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229.01</v>
      </c>
      <c r="E79" s="2"/>
      <c r="F79" s="7">
        <f t="shared" si="60"/>
        <v>9.9214592659567138E-3</v>
      </c>
      <c r="G79" s="2"/>
      <c r="H79" s="6">
        <v>195</v>
      </c>
      <c r="I79" s="2"/>
      <c r="J79" s="7">
        <f t="shared" si="61"/>
        <v>2.0103092783505154E-3</v>
      </c>
      <c r="K79" s="2"/>
      <c r="L79" s="6">
        <f t="shared" si="62"/>
        <v>34.009999999999991</v>
      </c>
      <c r="M79" s="2"/>
      <c r="N79" s="7">
        <f t="shared" si="63"/>
        <v>0.17441025641025637</v>
      </c>
      <c r="O79" s="11"/>
      <c r="P79" s="6">
        <v>1636.36</v>
      </c>
      <c r="Q79" s="2"/>
      <c r="R79" s="7">
        <f t="shared" si="64"/>
        <v>4.4134261193179659E-3</v>
      </c>
      <c r="S79" s="2"/>
      <c r="T79" s="6">
        <v>1170</v>
      </c>
      <c r="U79" s="2"/>
      <c r="V79" s="7">
        <f t="shared" si="65"/>
        <v>1.6227461858529819E-3</v>
      </c>
      <c r="W79" s="2"/>
      <c r="X79" s="6">
        <f t="shared" si="66"/>
        <v>466.3599999999999</v>
      </c>
      <c r="Y79" s="2"/>
      <c r="Z79" s="7">
        <f t="shared" si="67"/>
        <v>0.39859829059829049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60"/>
        <v>0</v>
      </c>
      <c r="G80" s="1"/>
      <c r="H80" s="1">
        <f>SUM(OSRRefH22_14x_0)</f>
        <v>0</v>
      </c>
      <c r="I80" s="1"/>
      <c r="J80" s="5">
        <f t="shared" si="61"/>
        <v>0</v>
      </c>
      <c r="K80" s="1"/>
      <c r="L80" s="1">
        <f t="shared" si="62"/>
        <v>0</v>
      </c>
      <c r="M80" s="1"/>
      <c r="N80" s="5">
        <f t="shared" si="63"/>
        <v>0</v>
      </c>
      <c r="O80" s="13"/>
      <c r="P80" s="1">
        <f>SUM(OSRRefP22_14x_0)</f>
        <v>175</v>
      </c>
      <c r="Q80" s="1"/>
      <c r="R80" s="5">
        <f t="shared" si="64"/>
        <v>4.719924532991787E-4</v>
      </c>
      <c r="S80" s="1"/>
      <c r="T80" s="1">
        <f>SUM(OSRRefT22_14x_0)</f>
        <v>600</v>
      </c>
      <c r="U80" s="1"/>
      <c r="V80" s="5">
        <f t="shared" si="65"/>
        <v>8.3217753120665746E-4</v>
      </c>
      <c r="W80" s="1"/>
      <c r="X80" s="1">
        <f t="shared" si="66"/>
        <v>-425</v>
      </c>
      <c r="Y80" s="1"/>
      <c r="Z80" s="5">
        <f t="shared" si="67"/>
        <v>-0.70833333333333337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175</v>
      </c>
      <c r="Q81" s="2"/>
      <c r="R81" s="7">
        <f t="shared" si="64"/>
        <v>4.719924532991787E-4</v>
      </c>
      <c r="S81" s="2"/>
      <c r="T81" s="6">
        <v>600</v>
      </c>
      <c r="U81" s="2"/>
      <c r="V81" s="7">
        <f t="shared" si="65"/>
        <v>8.3217753120665746E-4</v>
      </c>
      <c r="W81" s="2"/>
      <c r="X81" s="6">
        <f t="shared" si="66"/>
        <v>-425</v>
      </c>
      <c r="Y81" s="2"/>
      <c r="Z81" s="7">
        <f t="shared" si="67"/>
        <v>-0.70833333333333337</v>
      </c>
    </row>
    <row r="82" spans="1:26" s="27" customFormat="1" outlineLevel="1" collapsed="1" x14ac:dyDescent="0.25">
      <c r="A82" s="26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SUM(OSRRefD22_15x_0)</f>
        <v>0</v>
      </c>
      <c r="E82" s="1"/>
      <c r="F82" s="5">
        <f t="shared" si="60"/>
        <v>0</v>
      </c>
      <c r="G82" s="1"/>
      <c r="H82" s="1">
        <f>SUM(OSRRefH22_15x_0)</f>
        <v>1500</v>
      </c>
      <c r="I82" s="1"/>
      <c r="J82" s="5">
        <f t="shared" si="61"/>
        <v>1.5463917525773196E-2</v>
      </c>
      <c r="K82" s="1"/>
      <c r="L82" s="1">
        <f t="shared" si="62"/>
        <v>-1500</v>
      </c>
      <c r="M82" s="1"/>
      <c r="N82" s="5">
        <f t="shared" si="63"/>
        <v>-1</v>
      </c>
      <c r="O82" s="13"/>
      <c r="P82" s="1">
        <f>SUM(OSRRefP22_15x_0)</f>
        <v>0</v>
      </c>
      <c r="Q82" s="1"/>
      <c r="R82" s="5">
        <f t="shared" si="64"/>
        <v>0</v>
      </c>
      <c r="S82" s="1"/>
      <c r="T82" s="1">
        <f>SUM(OSRRefT22_15x_0)</f>
        <v>1500</v>
      </c>
      <c r="U82" s="1"/>
      <c r="V82" s="5">
        <f t="shared" si="65"/>
        <v>2.0804438280166435E-3</v>
      </c>
      <c r="W82" s="1"/>
      <c r="X82" s="1">
        <f t="shared" si="66"/>
        <v>-1500</v>
      </c>
      <c r="Y82" s="1"/>
      <c r="Z82" s="5">
        <f t="shared" si="67"/>
        <v>-1</v>
      </c>
    </row>
    <row r="83" spans="1:26" s="24" customFormat="1" hidden="1" outlineLevel="2" x14ac:dyDescent="0.25">
      <c r="A83" s="25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60"/>
        <v>0</v>
      </c>
      <c r="G83" s="2"/>
      <c r="H83" s="6">
        <v>1500</v>
      </c>
      <c r="I83" s="2"/>
      <c r="J83" s="7">
        <f t="shared" si="61"/>
        <v>1.5463917525773196E-2</v>
      </c>
      <c r="K83" s="2"/>
      <c r="L83" s="6">
        <f t="shared" si="62"/>
        <v>-1500</v>
      </c>
      <c r="M83" s="2"/>
      <c r="N83" s="7">
        <f t="shared" si="63"/>
        <v>-1</v>
      </c>
      <c r="O83" s="11"/>
      <c r="P83" s="6"/>
      <c r="Q83" s="2"/>
      <c r="R83" s="7">
        <f t="shared" si="64"/>
        <v>0</v>
      </c>
      <c r="S83" s="2"/>
      <c r="T83" s="6">
        <v>1500</v>
      </c>
      <c r="U83" s="2"/>
      <c r="V83" s="7">
        <f t="shared" si="65"/>
        <v>2.0804438280166435E-3</v>
      </c>
      <c r="W83" s="2"/>
      <c r="X83" s="6">
        <f t="shared" si="66"/>
        <v>-1500</v>
      </c>
      <c r="Y83" s="2"/>
      <c r="Z83" s="7">
        <f t="shared" si="67"/>
        <v>-1</v>
      </c>
    </row>
    <row r="84" spans="1:26" s="53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9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1">
        <f>+D22-D24+D85</f>
        <v>-30826.300000000003</v>
      </c>
      <c r="E87" s="14"/>
      <c r="F87" s="22">
        <f>IF(D$12=0,0,D87/D$12)</f>
        <v>-1.3354957415403759</v>
      </c>
      <c r="G87" s="14"/>
      <c r="H87" s="21">
        <f>+H22-H24+H85</f>
        <v>5148.270413646118</v>
      </c>
      <c r="I87" s="14"/>
      <c r="J87" s="22">
        <f>IF(H$12=0,0,H87/H$12)</f>
        <v>5.3074952718001216E-2</v>
      </c>
      <c r="K87" s="15"/>
      <c r="L87" s="21">
        <f>+D87-H87</f>
        <v>-35974.570413646121</v>
      </c>
      <c r="M87" s="15"/>
      <c r="N87" s="22">
        <f>IF(H87=0,0,L87/H87)</f>
        <v>-6.9877002416755616</v>
      </c>
      <c r="O87" s="29"/>
      <c r="P87" s="21">
        <f>+P22-P24+P85</f>
        <v>-127984.58999999994</v>
      </c>
      <c r="Q87" s="14"/>
      <c r="R87" s="22">
        <f>IF(P$12=0,0,P87/P$12)</f>
        <v>-0.34518720353479715</v>
      </c>
      <c r="S87" s="14"/>
      <c r="T87" s="21">
        <f>+T22-T24+T85</f>
        <v>1638.0781169576803</v>
      </c>
      <c r="U87" s="14"/>
      <c r="V87" s="22">
        <f>IF(T$12=0,0,T87/T$12)</f>
        <v>2.2719530054891544E-3</v>
      </c>
      <c r="W87" s="15"/>
      <c r="X87" s="21">
        <f>+P87-T87</f>
        <v>-129622.66811695762</v>
      </c>
      <c r="Y87" s="15"/>
      <c r="Z87" s="22">
        <f>IF(T87=0,0,X87/T87)</f>
        <v>-79.130944229753368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1529.9</v>
      </c>
      <c r="E89" s="4"/>
      <c r="F89" s="12">
        <f>IF(D$12=0,0,D89/D$12)</f>
        <v>6.628025208937241E-2</v>
      </c>
      <c r="G89" s="4"/>
      <c r="H89" s="4">
        <v>9871</v>
      </c>
      <c r="I89" s="4"/>
      <c r="J89" s="12">
        <f>IF(H$12=0,0,H89/H$12)</f>
        <v>0.10176288659793814</v>
      </c>
      <c r="K89" s="4"/>
      <c r="L89" s="4">
        <f>+D89-H89</f>
        <v>-8341.1</v>
      </c>
      <c r="M89" s="4"/>
      <c r="N89" s="12">
        <f>IF(H89=0,0,L89/H89)</f>
        <v>-0.8450106372201398</v>
      </c>
      <c r="O89" s="10"/>
      <c r="P89" s="4">
        <v>37788.659999999996</v>
      </c>
      <c r="Q89" s="4"/>
      <c r="R89" s="12">
        <f>IF(P$12=0,0,P89/P$12)</f>
        <v>0.1019197848016488</v>
      </c>
      <c r="S89" s="4"/>
      <c r="T89" s="4">
        <v>86700</v>
      </c>
      <c r="U89" s="4"/>
      <c r="V89" s="12">
        <f>IF(T$12=0,0,T89/T$12)</f>
        <v>0.120249653259362</v>
      </c>
      <c r="W89" s="4"/>
      <c r="X89" s="4">
        <f>+P89-T89</f>
        <v>-48911.340000000004</v>
      </c>
      <c r="Y89" s="4"/>
      <c r="Z89" s="12">
        <f>IF(T89=0,0,X89/T89)</f>
        <v>-0.56414463667820069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1">
        <f>+D87-D89</f>
        <v>-32356.200000000004</v>
      </c>
      <c r="E91" s="14"/>
      <c r="F91" s="32">
        <f>IF(D$12=0,0,D91/D$12)</f>
        <v>-1.4017759936297483</v>
      </c>
      <c r="G91" s="14"/>
      <c r="H91" s="31">
        <f>+H87-H89</f>
        <v>-4722.729586353882</v>
      </c>
      <c r="I91" s="14"/>
      <c r="J91" s="32">
        <f>IF(H$12=0,0,H91/H$12)</f>
        <v>-4.8687933879936932E-2</v>
      </c>
      <c r="K91" s="15"/>
      <c r="L91" s="31">
        <f>D91-H91</f>
        <v>-27633.470413646122</v>
      </c>
      <c r="M91" s="15"/>
      <c r="N91" s="32">
        <f>IF(H91=0,0,L91/H91)</f>
        <v>5.8511650748524353</v>
      </c>
      <c r="O91" s="29"/>
      <c r="P91" s="31">
        <f>+P87-P89</f>
        <v>-165773.24999999994</v>
      </c>
      <c r="Q91" s="14"/>
      <c r="R91" s="32">
        <f>IF(P$12=0,0,P91/P$12)</f>
        <v>-0.44710698833644597</v>
      </c>
      <c r="S91" s="14"/>
      <c r="T91" s="31">
        <f>+T87-T89</f>
        <v>-85061.92188304232</v>
      </c>
      <c r="U91" s="14"/>
      <c r="V91" s="32">
        <f>IF(T$12=0,0,T91/T$12)</f>
        <v>-0.11797770025387284</v>
      </c>
      <c r="W91" s="15"/>
      <c r="X91" s="31">
        <f>P91-T91</f>
        <v>-80711.328116957622</v>
      </c>
      <c r="Y91" s="15"/>
      <c r="Z91" s="32">
        <f>IF(T91=0,0,X91/T91)</f>
        <v>0.94885380356128513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3">
        <f>SUM(D91:D93)</f>
        <v>-32356.200000000004</v>
      </c>
      <c r="E94" s="14"/>
      <c r="F94" s="30">
        <f>IF(D$12=0,0,D94/D$12)</f>
        <v>-1.4017759936297483</v>
      </c>
      <c r="G94" s="14"/>
      <c r="H94" s="33">
        <f>SUM(H91:H93)</f>
        <v>-4722.729586353882</v>
      </c>
      <c r="I94" s="14"/>
      <c r="J94" s="30">
        <f>IF(H$12=0,0,H94/H$12)</f>
        <v>-4.8687933879936932E-2</v>
      </c>
      <c r="K94" s="15"/>
      <c r="L94" s="33">
        <f>+D94-H94</f>
        <v>-27633.470413646122</v>
      </c>
      <c r="M94" s="15"/>
      <c r="N94" s="30">
        <f>IF(H94=0,0,L94/H94)</f>
        <v>5.8511650748524353</v>
      </c>
      <c r="O94" s="29"/>
      <c r="P94" s="33">
        <f>SUM(P91:P93)</f>
        <v>-165773.24999999994</v>
      </c>
      <c r="Q94" s="14"/>
      <c r="R94" s="30">
        <f>IF(P$12=0,0,P94/P$12)</f>
        <v>-0.44710698833644597</v>
      </c>
      <c r="S94" s="14"/>
      <c r="T94" s="33">
        <f>SUM(T91:T93)</f>
        <v>-85061.92188304232</v>
      </c>
      <c r="U94" s="14"/>
      <c r="V94" s="30">
        <f>IF(T$12=0,0,T94/T$12)</f>
        <v>-0.11797770025387284</v>
      </c>
      <c r="W94" s="15"/>
      <c r="X94" s="33">
        <f>+P94-T94</f>
        <v>-80711.328116957622</v>
      </c>
      <c r="Y94" s="15"/>
      <c r="Z94" s="30">
        <f>IF(T94=0,0,X94/T94)</f>
        <v>0.94885380356128513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9">
        <v>43908.495124502311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3" t="s">
        <v>314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7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45434.89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45434.89</v>
      </c>
      <c r="M12" s="4"/>
      <c r="N12" s="12">
        <f t="shared" ref="N12:N14" si="1">IF(H12=0,0,L12/H12)</f>
        <v>0</v>
      </c>
      <c r="O12" s="10"/>
      <c r="P12" s="4">
        <f>SUM(OSRRefP13x_0)</f>
        <v>181046.44999999998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181046.44999999998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--45089.6</f>
        <v>45089.599999999999</v>
      </c>
      <c r="E13" s="2"/>
      <c r="F13" s="19"/>
      <c r="G13" s="2"/>
      <c r="H13" s="2"/>
      <c r="I13" s="2"/>
      <c r="J13" s="19"/>
      <c r="K13" s="2"/>
      <c r="L13" s="2">
        <f t="shared" si="0"/>
        <v>45089.599999999999</v>
      </c>
      <c r="M13" s="2"/>
      <c r="N13" s="19">
        <f t="shared" si="1"/>
        <v>0</v>
      </c>
      <c r="O13" s="11"/>
      <c r="P13" s="2">
        <f>--180327.65</f>
        <v>180327.65</v>
      </c>
      <c r="Q13" s="2"/>
      <c r="R13" s="19"/>
      <c r="S13" s="2"/>
      <c r="T13" s="2"/>
      <c r="U13" s="2"/>
      <c r="V13" s="19"/>
      <c r="W13" s="2"/>
      <c r="X13" s="2">
        <f t="shared" si="2"/>
        <v>180327.65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--345.29</f>
        <v>345.29</v>
      </c>
      <c r="E14" s="2"/>
      <c r="F14" s="19"/>
      <c r="G14" s="2"/>
      <c r="H14" s="2"/>
      <c r="I14" s="2"/>
      <c r="J14" s="19"/>
      <c r="K14" s="2"/>
      <c r="L14" s="2">
        <f t="shared" si="0"/>
        <v>345.29</v>
      </c>
      <c r="M14" s="2"/>
      <c r="N14" s="19">
        <f t="shared" si="1"/>
        <v>0</v>
      </c>
      <c r="O14" s="11"/>
      <c r="P14" s="2">
        <f>--718.8</f>
        <v>718.8</v>
      </c>
      <c r="Q14" s="2"/>
      <c r="R14" s="19"/>
      <c r="S14" s="2"/>
      <c r="T14" s="2"/>
      <c r="U14" s="2"/>
      <c r="V14" s="19"/>
      <c r="W14" s="2"/>
      <c r="X14" s="2">
        <f t="shared" si="2"/>
        <v>718.8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30.73</v>
      </c>
      <c r="E16" s="4"/>
      <c r="F16" s="12">
        <f t="shared" ref="F16:F17" si="4">IF(D$12=0,0,D16/D$12)</f>
        <v>6.7635246833435715E-4</v>
      </c>
      <c r="G16" s="4"/>
      <c r="H16" s="4">
        <f>SUM(OSRRefH16x_0)</f>
        <v>0</v>
      </c>
      <c r="I16" s="4"/>
      <c r="J16" s="12">
        <f t="shared" ref="J16:J17" si="5">IF(H$12=0,0,H16/H$12)</f>
        <v>0</v>
      </c>
      <c r="K16" s="4"/>
      <c r="L16" s="4">
        <f t="shared" ref="L16:L17" si="6">+D16-H16</f>
        <v>30.73</v>
      </c>
      <c r="M16" s="4"/>
      <c r="N16" s="12">
        <f t="shared" ref="N16:N17" si="7">IF(H16=0,0,L16/H16)</f>
        <v>0</v>
      </c>
      <c r="O16" s="10"/>
      <c r="P16" s="4">
        <f>SUM(OSRRefP16x_0)</f>
        <v>333.93</v>
      </c>
      <c r="Q16" s="4"/>
      <c r="R16" s="12">
        <f t="shared" ref="R16:R17" si="8">IF(P$12=0,0,P16/P$12)</f>
        <v>1.8444437877682773E-3</v>
      </c>
      <c r="S16" s="4"/>
      <c r="T16" s="4">
        <f>SUM(OSRRefT16x_0)</f>
        <v>0</v>
      </c>
      <c r="U16" s="4"/>
      <c r="V16" s="12">
        <f t="shared" ref="V16:V17" si="9">IF(T$12=0,0,T16/T$12)</f>
        <v>0</v>
      </c>
      <c r="W16" s="4"/>
      <c r="X16" s="4">
        <f t="shared" ref="X16:X17" si="10">+P16-T16</f>
        <v>333.93</v>
      </c>
      <c r="Y16" s="4"/>
      <c r="Z16" s="12">
        <f t="shared" ref="Z16:Z17" si="11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30.73</v>
      </c>
      <c r="E17" s="2"/>
      <c r="F17" s="19">
        <f t="shared" si="4"/>
        <v>6.7635246833435715E-4</v>
      </c>
      <c r="G17" s="2"/>
      <c r="H17" s="2"/>
      <c r="I17" s="2"/>
      <c r="J17" s="19">
        <f t="shared" si="5"/>
        <v>0</v>
      </c>
      <c r="K17" s="2"/>
      <c r="L17" s="2">
        <f t="shared" si="6"/>
        <v>30.73</v>
      </c>
      <c r="M17" s="2"/>
      <c r="N17" s="19">
        <f t="shared" si="7"/>
        <v>0</v>
      </c>
      <c r="O17" s="11"/>
      <c r="P17" s="2">
        <v>333.93</v>
      </c>
      <c r="Q17" s="2"/>
      <c r="R17" s="19">
        <f t="shared" si="8"/>
        <v>1.8444437877682773E-3</v>
      </c>
      <c r="S17" s="2"/>
      <c r="T17" s="2"/>
      <c r="U17" s="2"/>
      <c r="V17" s="19">
        <f t="shared" si="9"/>
        <v>0</v>
      </c>
      <c r="W17" s="2"/>
      <c r="X17" s="2">
        <f t="shared" si="10"/>
        <v>333.93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1">
        <f>D12-D16</f>
        <v>45404.159999999996</v>
      </c>
      <c r="E19" s="14"/>
      <c r="F19" s="22">
        <f>IF(D$12=0,0,D19/D$12)</f>
        <v>0.99932364753166558</v>
      </c>
      <c r="G19" s="14"/>
      <c r="H19" s="21">
        <f>H12-H16</f>
        <v>0</v>
      </c>
      <c r="I19" s="14"/>
      <c r="J19" s="22">
        <f>IF(H$12=0,0,H19/H$12)</f>
        <v>0</v>
      </c>
      <c r="K19" s="15"/>
      <c r="L19" s="21">
        <f>+D19-H19</f>
        <v>45404.159999999996</v>
      </c>
      <c r="M19" s="15"/>
      <c r="N19" s="22">
        <f>IF(H19=0,0,L19/H19)</f>
        <v>0</v>
      </c>
      <c r="O19" s="29"/>
      <c r="P19" s="21">
        <f>P12-P16</f>
        <v>180712.52</v>
      </c>
      <c r="Q19" s="14"/>
      <c r="R19" s="22">
        <f>IF(P$12=0,0,P19/P$12)</f>
        <v>0.99815555621223173</v>
      </c>
      <c r="S19" s="14"/>
      <c r="T19" s="21">
        <f>T12-T16</f>
        <v>0</v>
      </c>
      <c r="U19" s="14"/>
      <c r="V19" s="22">
        <f>IF(T$12=0,0,T19/T$12)</f>
        <v>0</v>
      </c>
      <c r="W19" s="15"/>
      <c r="X19" s="21">
        <f>+P19-T19</f>
        <v>180712.52</v>
      </c>
      <c r="Y19" s="15"/>
      <c r="Z19" s="22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0">
        <f>SUM(OSRRefD22x_0)</f>
        <v>31764.1</v>
      </c>
      <c r="E21" s="20"/>
      <c r="F21" s="34">
        <f t="shared" ref="F21:F30" si="12">IF(D$12=0,0,D21/D$12)</f>
        <v>0.69911251023167431</v>
      </c>
      <c r="G21" s="20"/>
      <c r="H21" s="20">
        <f>SUM(OSRRefH22x_0)</f>
        <v>0</v>
      </c>
      <c r="I21" s="20"/>
      <c r="J21" s="34">
        <f t="shared" ref="J21:J30" si="13">IF(H$12=0,0,H21/H$12)</f>
        <v>0</v>
      </c>
      <c r="K21" s="4"/>
      <c r="L21" s="20">
        <f t="shared" ref="L21:L30" si="14">+D21-H21</f>
        <v>31764.1</v>
      </c>
      <c r="M21" s="4"/>
      <c r="N21" s="34">
        <f t="shared" ref="N21:N30" si="15">IF(H21=0,0,L21/H21)</f>
        <v>0</v>
      </c>
      <c r="O21" s="10"/>
      <c r="P21" s="20">
        <f>SUM(OSRRefP22x_0)</f>
        <v>183304.52</v>
      </c>
      <c r="Q21" s="20"/>
      <c r="R21" s="34">
        <f t="shared" ref="R21:R30" si="16">IF(P$12=0,0,P21/P$12)</f>
        <v>1.0124723240914142</v>
      </c>
      <c r="S21" s="20"/>
      <c r="T21" s="20">
        <f>SUM(OSRRefT22x_0)</f>
        <v>0</v>
      </c>
      <c r="U21" s="20"/>
      <c r="V21" s="34">
        <f t="shared" ref="V21:V30" si="17">IF(T$12=0,0,T21/T$12)</f>
        <v>0</v>
      </c>
      <c r="W21" s="4"/>
      <c r="X21" s="20">
        <f t="shared" ref="X21:X30" si="18">+P21-T21</f>
        <v>183304.52</v>
      </c>
      <c r="Y21" s="4"/>
      <c r="Z21" s="34">
        <f t="shared" ref="Z21:Z30" si="19">IF(T21=0,0,X21/T21)</f>
        <v>0</v>
      </c>
    </row>
    <row r="22" spans="1:26" s="27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12882.289999999999</v>
      </c>
      <c r="E22" s="1"/>
      <c r="F22" s="5">
        <f t="shared" si="12"/>
        <v>0.2835329853335179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12882.289999999999</v>
      </c>
      <c r="M22" s="1"/>
      <c r="N22" s="5">
        <f t="shared" si="15"/>
        <v>0</v>
      </c>
      <c r="O22" s="13"/>
      <c r="P22" s="1">
        <f>SUM(OSRRefP22_0x_0)</f>
        <v>48175.75</v>
      </c>
      <c r="Q22" s="1"/>
      <c r="R22" s="5">
        <f t="shared" si="16"/>
        <v>0.26609607644888927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48175.75</v>
      </c>
      <c r="Y22" s="1"/>
      <c r="Z22" s="5">
        <f t="shared" si="19"/>
        <v>0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6">
        <v>1631.44</v>
      </c>
      <c r="E23" s="2"/>
      <c r="F23" s="7">
        <f t="shared" si="12"/>
        <v>3.5907206994448541E-2</v>
      </c>
      <c r="G23" s="2"/>
      <c r="H23" s="6"/>
      <c r="I23" s="2"/>
      <c r="J23" s="7">
        <f t="shared" si="13"/>
        <v>0</v>
      </c>
      <c r="K23" s="2"/>
      <c r="L23" s="6">
        <f t="shared" si="14"/>
        <v>1631.44</v>
      </c>
      <c r="M23" s="2"/>
      <c r="N23" s="7">
        <f t="shared" si="15"/>
        <v>0</v>
      </c>
      <c r="O23" s="11"/>
      <c r="P23" s="6">
        <v>9876.9699999999993</v>
      </c>
      <c r="Q23" s="2"/>
      <c r="R23" s="7">
        <f t="shared" si="16"/>
        <v>5.4554894614061752E-2</v>
      </c>
      <c r="S23" s="2"/>
      <c r="T23" s="6"/>
      <c r="U23" s="2"/>
      <c r="V23" s="7">
        <f t="shared" si="17"/>
        <v>0</v>
      </c>
      <c r="W23" s="2"/>
      <c r="X23" s="6">
        <f t="shared" si="18"/>
        <v>9876.9699999999993</v>
      </c>
      <c r="Y23" s="2"/>
      <c r="Z23" s="7">
        <f t="shared" si="19"/>
        <v>0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6">
        <v>865.07</v>
      </c>
      <c r="E24" s="2"/>
      <c r="F24" s="7">
        <f t="shared" si="12"/>
        <v>1.9039773178717943E-2</v>
      </c>
      <c r="G24" s="2"/>
      <c r="H24" s="6"/>
      <c r="I24" s="2"/>
      <c r="J24" s="7">
        <f t="shared" si="13"/>
        <v>0</v>
      </c>
      <c r="K24" s="2"/>
      <c r="L24" s="6">
        <f t="shared" si="14"/>
        <v>865.07</v>
      </c>
      <c r="M24" s="2"/>
      <c r="N24" s="7">
        <f t="shared" si="15"/>
        <v>0</v>
      </c>
      <c r="O24" s="11"/>
      <c r="P24" s="6">
        <v>5858.88</v>
      </c>
      <c r="Q24" s="2"/>
      <c r="R24" s="7">
        <f t="shared" si="16"/>
        <v>3.2361197913574113E-2</v>
      </c>
      <c r="S24" s="2"/>
      <c r="T24" s="6"/>
      <c r="U24" s="2"/>
      <c r="V24" s="7">
        <f t="shared" si="17"/>
        <v>0</v>
      </c>
      <c r="W24" s="2"/>
      <c r="X24" s="6">
        <f t="shared" si="18"/>
        <v>5858.88</v>
      </c>
      <c r="Y24" s="2"/>
      <c r="Z24" s="7">
        <f t="shared" si="19"/>
        <v>0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6">
        <v>6448.79</v>
      </c>
      <c r="E25" s="2"/>
      <c r="F25" s="7">
        <f t="shared" si="12"/>
        <v>0.14193475542694173</v>
      </c>
      <c r="G25" s="2"/>
      <c r="H25" s="6"/>
      <c r="I25" s="2"/>
      <c r="J25" s="7">
        <f t="shared" si="13"/>
        <v>0</v>
      </c>
      <c r="K25" s="2"/>
      <c r="L25" s="6">
        <f t="shared" si="14"/>
        <v>6448.79</v>
      </c>
      <c r="M25" s="2"/>
      <c r="N25" s="7">
        <f t="shared" si="15"/>
        <v>0</v>
      </c>
      <c r="O25" s="11"/>
      <c r="P25" s="6">
        <v>13326.32</v>
      </c>
      <c r="Q25" s="2"/>
      <c r="R25" s="7">
        <f t="shared" si="16"/>
        <v>7.3607187547726022E-2</v>
      </c>
      <c r="S25" s="2"/>
      <c r="T25" s="6"/>
      <c r="U25" s="2"/>
      <c r="V25" s="7">
        <f t="shared" si="17"/>
        <v>0</v>
      </c>
      <c r="W25" s="2"/>
      <c r="X25" s="6">
        <f t="shared" si="18"/>
        <v>13326.32</v>
      </c>
      <c r="Y25" s="2"/>
      <c r="Z25" s="7">
        <f t="shared" si="19"/>
        <v>0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6">
        <v>57.97</v>
      </c>
      <c r="E26" s="2"/>
      <c r="F26" s="7">
        <f t="shared" si="12"/>
        <v>1.2758917210980371E-3</v>
      </c>
      <c r="G26" s="2"/>
      <c r="H26" s="6"/>
      <c r="I26" s="2"/>
      <c r="J26" s="7">
        <f t="shared" si="13"/>
        <v>0</v>
      </c>
      <c r="K26" s="2"/>
      <c r="L26" s="6">
        <f t="shared" si="14"/>
        <v>57.97</v>
      </c>
      <c r="M26" s="2"/>
      <c r="N26" s="7">
        <f t="shared" si="15"/>
        <v>0</v>
      </c>
      <c r="O26" s="11"/>
      <c r="P26" s="6">
        <v>392.61</v>
      </c>
      <c r="Q26" s="2"/>
      <c r="R26" s="7">
        <f t="shared" si="16"/>
        <v>2.1685595050331009E-3</v>
      </c>
      <c r="S26" s="2"/>
      <c r="T26" s="6"/>
      <c r="U26" s="2"/>
      <c r="V26" s="7">
        <f t="shared" si="17"/>
        <v>0</v>
      </c>
      <c r="W26" s="2"/>
      <c r="X26" s="6">
        <f t="shared" si="18"/>
        <v>392.61</v>
      </c>
      <c r="Y26" s="2"/>
      <c r="Z26" s="7">
        <f t="shared" si="19"/>
        <v>0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6">
        <v>1412.56</v>
      </c>
      <c r="E27" s="2"/>
      <c r="F27" s="7">
        <f t="shared" si="12"/>
        <v>3.1089763835677822E-2</v>
      </c>
      <c r="G27" s="2"/>
      <c r="H27" s="6"/>
      <c r="I27" s="2"/>
      <c r="J27" s="7">
        <f t="shared" si="13"/>
        <v>0</v>
      </c>
      <c r="K27" s="2"/>
      <c r="L27" s="6">
        <f t="shared" si="14"/>
        <v>1412.56</v>
      </c>
      <c r="M27" s="2"/>
      <c r="N27" s="7">
        <f t="shared" si="15"/>
        <v>0</v>
      </c>
      <c r="O27" s="11"/>
      <c r="P27" s="6">
        <v>7336.92</v>
      </c>
      <c r="Q27" s="2"/>
      <c r="R27" s="7">
        <f t="shared" si="16"/>
        <v>4.0525069671346781E-2</v>
      </c>
      <c r="S27" s="2"/>
      <c r="T27" s="6"/>
      <c r="U27" s="2"/>
      <c r="V27" s="7">
        <f t="shared" si="17"/>
        <v>0</v>
      </c>
      <c r="W27" s="2"/>
      <c r="X27" s="6">
        <f t="shared" si="18"/>
        <v>7336.92</v>
      </c>
      <c r="Y27" s="2"/>
      <c r="Z27" s="7">
        <f t="shared" si="19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>
        <v>1091.78</v>
      </c>
      <c r="E28" s="2"/>
      <c r="F28" s="7">
        <f t="shared" si="12"/>
        <v>2.4029550858382182E-2</v>
      </c>
      <c r="G28" s="2"/>
      <c r="H28" s="6"/>
      <c r="I28" s="2"/>
      <c r="J28" s="7">
        <f t="shared" si="13"/>
        <v>0</v>
      </c>
      <c r="K28" s="2"/>
      <c r="L28" s="6">
        <f t="shared" si="14"/>
        <v>1091.78</v>
      </c>
      <c r="M28" s="2"/>
      <c r="N28" s="7">
        <f t="shared" si="15"/>
        <v>0</v>
      </c>
      <c r="O28" s="11"/>
      <c r="P28" s="6">
        <v>5702.53</v>
      </c>
      <c r="Q28" s="2"/>
      <c r="R28" s="7">
        <f t="shared" si="16"/>
        <v>3.1497607381972971E-2</v>
      </c>
      <c r="S28" s="2"/>
      <c r="T28" s="6"/>
      <c r="U28" s="2"/>
      <c r="V28" s="7">
        <f t="shared" si="17"/>
        <v>0</v>
      </c>
      <c r="W28" s="2"/>
      <c r="X28" s="6">
        <f t="shared" si="18"/>
        <v>5702.53</v>
      </c>
      <c r="Y28" s="2"/>
      <c r="Z28" s="7">
        <f t="shared" si="19"/>
        <v>0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>
        <v>853.34</v>
      </c>
      <c r="E29" s="2"/>
      <c r="F29" s="7">
        <f t="shared" si="12"/>
        <v>1.8781601540137988E-2</v>
      </c>
      <c r="G29" s="2"/>
      <c r="H29" s="6"/>
      <c r="I29" s="2"/>
      <c r="J29" s="7">
        <f t="shared" si="13"/>
        <v>0</v>
      </c>
      <c r="K29" s="2"/>
      <c r="L29" s="6">
        <f t="shared" si="14"/>
        <v>853.34</v>
      </c>
      <c r="M29" s="2"/>
      <c r="N29" s="7">
        <f t="shared" si="15"/>
        <v>0</v>
      </c>
      <c r="O29" s="11"/>
      <c r="P29" s="6">
        <v>4693.37</v>
      </c>
      <c r="Q29" s="2"/>
      <c r="R29" s="7">
        <f t="shared" si="16"/>
        <v>2.5923568233456113E-2</v>
      </c>
      <c r="S29" s="2"/>
      <c r="T29" s="6"/>
      <c r="U29" s="2"/>
      <c r="V29" s="7">
        <f t="shared" si="17"/>
        <v>0</v>
      </c>
      <c r="W29" s="2"/>
      <c r="X29" s="6">
        <f t="shared" si="18"/>
        <v>4693.37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521.34</v>
      </c>
      <c r="E30" s="2"/>
      <c r="F30" s="7">
        <f t="shared" si="12"/>
        <v>1.1474441778113693E-2</v>
      </c>
      <c r="G30" s="2"/>
      <c r="H30" s="6"/>
      <c r="I30" s="2"/>
      <c r="J30" s="7">
        <f t="shared" si="13"/>
        <v>0</v>
      </c>
      <c r="K30" s="2"/>
      <c r="L30" s="6">
        <f t="shared" si="14"/>
        <v>521.34</v>
      </c>
      <c r="M30" s="2"/>
      <c r="N30" s="7">
        <f t="shared" si="15"/>
        <v>0</v>
      </c>
      <c r="O30" s="11"/>
      <c r="P30" s="6">
        <v>988.15</v>
      </c>
      <c r="Q30" s="2"/>
      <c r="R30" s="7">
        <f t="shared" si="16"/>
        <v>5.4579915817183937E-3</v>
      </c>
      <c r="S30" s="2"/>
      <c r="T30" s="6"/>
      <c r="U30" s="2"/>
      <c r="V30" s="7">
        <f t="shared" si="17"/>
        <v>0</v>
      </c>
      <c r="W30" s="2"/>
      <c r="X30" s="6">
        <f t="shared" si="18"/>
        <v>988.15</v>
      </c>
      <c r="Y30" s="2"/>
      <c r="Z30" s="7">
        <f t="shared" si="19"/>
        <v>0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18800.870000000003</v>
      </c>
      <c r="E31" s="1"/>
      <c r="F31" s="5">
        <f t="shared" ref="F31:F35" si="20">IF(D$12=0,0,D31/D$12)</f>
        <v>0.41379807456340278</v>
      </c>
      <c r="G31" s="1"/>
      <c r="H31" s="1">
        <f>SUM(OSRRefH22_1x_0)</f>
        <v>0</v>
      </c>
      <c r="I31" s="1"/>
      <c r="J31" s="5">
        <f t="shared" ref="J31:J35" si="21">IF(H$12=0,0,H31/H$12)</f>
        <v>0</v>
      </c>
      <c r="K31" s="1"/>
      <c r="L31" s="1">
        <f t="shared" ref="L31:L35" si="22">+D31-H31</f>
        <v>18800.870000000003</v>
      </c>
      <c r="M31" s="1"/>
      <c r="N31" s="5">
        <f t="shared" ref="N31:N35" si="23">IF(H31=0,0,L31/H31)</f>
        <v>0</v>
      </c>
      <c r="O31" s="13"/>
      <c r="P31" s="1">
        <f>SUM(OSRRefP22_1x_0)</f>
        <v>130682.27999999998</v>
      </c>
      <c r="Q31" s="1"/>
      <c r="R31" s="5">
        <f t="shared" ref="R31:R35" si="24">IF(P$12=0,0,P31/P$12)</f>
        <v>0.72181630736200575</v>
      </c>
      <c r="S31" s="1"/>
      <c r="T31" s="1">
        <f>SUM(OSRRefT22_1x_0)</f>
        <v>0</v>
      </c>
      <c r="U31" s="1"/>
      <c r="V31" s="5">
        <f t="shared" ref="V31:V35" si="25">IF(T$12=0,0,T31/T$12)</f>
        <v>0</v>
      </c>
      <c r="W31" s="1"/>
      <c r="X31" s="1">
        <f t="shared" ref="X31:X35" si="26">+P31-T31</f>
        <v>130682.27999999998</v>
      </c>
      <c r="Y31" s="1"/>
      <c r="Z31" s="5">
        <f t="shared" ref="Z31:Z35" si="27">IF(T31=0,0,X31/T31)</f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12800.37</v>
      </c>
      <c r="E32" s="2"/>
      <c r="F32" s="7">
        <f t="shared" si="20"/>
        <v>0.28172996567175579</v>
      </c>
      <c r="G32" s="2"/>
      <c r="H32" s="6"/>
      <c r="I32" s="2"/>
      <c r="J32" s="7">
        <f t="shared" si="21"/>
        <v>0</v>
      </c>
      <c r="K32" s="2"/>
      <c r="L32" s="6">
        <f t="shared" si="22"/>
        <v>12800.37</v>
      </c>
      <c r="M32" s="2"/>
      <c r="N32" s="7">
        <f t="shared" si="23"/>
        <v>0</v>
      </c>
      <c r="O32" s="11"/>
      <c r="P32" s="6">
        <v>93110.739999999991</v>
      </c>
      <c r="Q32" s="2"/>
      <c r="R32" s="7">
        <f t="shared" si="24"/>
        <v>0.51429199523105806</v>
      </c>
      <c r="S32" s="2"/>
      <c r="T32" s="6"/>
      <c r="U32" s="2"/>
      <c r="V32" s="7">
        <f t="shared" si="25"/>
        <v>0</v>
      </c>
      <c r="W32" s="2"/>
      <c r="X32" s="6">
        <f t="shared" si="26"/>
        <v>93110.739999999991</v>
      </c>
      <c r="Y32" s="2"/>
      <c r="Z32" s="7">
        <f t="shared" si="27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2152.69</v>
      </c>
      <c r="E33" s="2"/>
      <c r="F33" s="7">
        <f t="shared" si="20"/>
        <v>4.7379667916000241E-2</v>
      </c>
      <c r="G33" s="2"/>
      <c r="H33" s="6"/>
      <c r="I33" s="2"/>
      <c r="J33" s="7">
        <f t="shared" si="21"/>
        <v>0</v>
      </c>
      <c r="K33" s="2"/>
      <c r="L33" s="6">
        <f t="shared" si="22"/>
        <v>2152.69</v>
      </c>
      <c r="M33" s="2"/>
      <c r="N33" s="7">
        <f t="shared" si="23"/>
        <v>0</v>
      </c>
      <c r="O33" s="11"/>
      <c r="P33" s="6">
        <v>13598.63</v>
      </c>
      <c r="Q33" s="2"/>
      <c r="R33" s="7">
        <f t="shared" si="24"/>
        <v>7.5111276691699841E-2</v>
      </c>
      <c r="S33" s="2"/>
      <c r="T33" s="6"/>
      <c r="U33" s="2"/>
      <c r="V33" s="7">
        <f t="shared" si="25"/>
        <v>0</v>
      </c>
      <c r="W33" s="2"/>
      <c r="X33" s="6">
        <f t="shared" si="26"/>
        <v>13598.63</v>
      </c>
      <c r="Y33" s="2"/>
      <c r="Z33" s="7">
        <f t="shared" si="27"/>
        <v>0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3847.81</v>
      </c>
      <c r="E34" s="2"/>
      <c r="F34" s="7">
        <f t="shared" si="20"/>
        <v>8.4688440975646692E-2</v>
      </c>
      <c r="G34" s="2"/>
      <c r="H34" s="6"/>
      <c r="I34" s="2"/>
      <c r="J34" s="7">
        <f t="shared" si="21"/>
        <v>0</v>
      </c>
      <c r="K34" s="2"/>
      <c r="L34" s="6">
        <f t="shared" si="22"/>
        <v>3847.81</v>
      </c>
      <c r="M34" s="2"/>
      <c r="N34" s="7">
        <f t="shared" si="23"/>
        <v>0</v>
      </c>
      <c r="O34" s="11"/>
      <c r="P34" s="6">
        <v>20165.46</v>
      </c>
      <c r="Q34" s="2"/>
      <c r="R34" s="7">
        <f t="shared" si="24"/>
        <v>0.11138279706671962</v>
      </c>
      <c r="S34" s="2"/>
      <c r="T34" s="6"/>
      <c r="U34" s="2"/>
      <c r="V34" s="7">
        <f t="shared" si="25"/>
        <v>0</v>
      </c>
      <c r="W34" s="2"/>
      <c r="X34" s="6">
        <f t="shared" si="26"/>
        <v>20165.46</v>
      </c>
      <c r="Y34" s="2"/>
      <c r="Z34" s="7">
        <f t="shared" si="27"/>
        <v>0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3807.45</v>
      </c>
      <c r="Q35" s="2"/>
      <c r="R35" s="7">
        <f t="shared" si="24"/>
        <v>2.1030238372528157E-2</v>
      </c>
      <c r="S35" s="2"/>
      <c r="T35" s="6"/>
      <c r="U35" s="2"/>
      <c r="V35" s="7">
        <f t="shared" si="25"/>
        <v>0</v>
      </c>
      <c r="W35" s="2"/>
      <c r="X35" s="6">
        <f t="shared" si="26"/>
        <v>3807.45</v>
      </c>
      <c r="Y35" s="2"/>
      <c r="Z35" s="7">
        <f t="shared" si="27"/>
        <v>0</v>
      </c>
    </row>
    <row r="36" spans="1:26" s="27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8">IF(D$12=0,0,D36/D$12)</f>
        <v>0</v>
      </c>
      <c r="G36" s="1"/>
      <c r="H36" s="1">
        <f>SUM(OSRRefH22_2x_0)</f>
        <v>0</v>
      </c>
      <c r="I36" s="1"/>
      <c r="J36" s="5">
        <f t="shared" ref="J36:J44" si="29">IF(H$12=0,0,H36/H$12)</f>
        <v>0</v>
      </c>
      <c r="K36" s="1"/>
      <c r="L36" s="1">
        <f t="shared" ref="L36:L44" si="30">+D36-H36</f>
        <v>0</v>
      </c>
      <c r="M36" s="1"/>
      <c r="N36" s="5">
        <f t="shared" ref="N36:N44" si="31">IF(H36=0,0,L36/H36)</f>
        <v>0</v>
      </c>
      <c r="O36" s="13"/>
      <c r="P36" s="1">
        <f>SUM(OSRRefP22_2x_0)</f>
        <v>500</v>
      </c>
      <c r="Q36" s="1"/>
      <c r="R36" s="5">
        <f t="shared" ref="R36:R44" si="32">IF(P$12=0,0,P36/P$12)</f>
        <v>2.7617221989163559E-3</v>
      </c>
      <c r="S36" s="1"/>
      <c r="T36" s="1">
        <f>SUM(OSRRefT22_2x_0)</f>
        <v>0</v>
      </c>
      <c r="U36" s="1"/>
      <c r="V36" s="5">
        <f t="shared" ref="V36:V44" si="33">IF(T$12=0,0,T36/T$12)</f>
        <v>0</v>
      </c>
      <c r="W36" s="1"/>
      <c r="X36" s="1">
        <f t="shared" ref="X36:X44" si="34">+P36-T36</f>
        <v>500</v>
      </c>
      <c r="Y36" s="1"/>
      <c r="Z36" s="5">
        <f t="shared" ref="Z36:Z44" si="35">IF(T36=0,0,X36/T36)</f>
        <v>0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8"/>
        <v>0</v>
      </c>
      <c r="G37" s="2"/>
      <c r="H37" s="6"/>
      <c r="I37" s="2"/>
      <c r="J37" s="7">
        <f t="shared" si="29"/>
        <v>0</v>
      </c>
      <c r="K37" s="2"/>
      <c r="L37" s="6">
        <f t="shared" si="30"/>
        <v>0</v>
      </c>
      <c r="M37" s="2"/>
      <c r="N37" s="7">
        <f t="shared" si="31"/>
        <v>0</v>
      </c>
      <c r="O37" s="11"/>
      <c r="P37" s="6">
        <v>500</v>
      </c>
      <c r="Q37" s="2"/>
      <c r="R37" s="7">
        <f t="shared" si="32"/>
        <v>2.7617221989163559E-3</v>
      </c>
      <c r="S37" s="2"/>
      <c r="T37" s="6"/>
      <c r="U37" s="2"/>
      <c r="V37" s="7">
        <f t="shared" si="33"/>
        <v>0</v>
      </c>
      <c r="W37" s="2"/>
      <c r="X37" s="6">
        <f t="shared" si="34"/>
        <v>500</v>
      </c>
      <c r="Y37" s="2"/>
      <c r="Z37" s="7">
        <f t="shared" si="35"/>
        <v>0</v>
      </c>
    </row>
    <row r="38" spans="1:26" s="27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80.94</v>
      </c>
      <c r="E38" s="1"/>
      <c r="F38" s="5">
        <f t="shared" si="28"/>
        <v>1.7814503347537542E-3</v>
      </c>
      <c r="G38" s="1"/>
      <c r="H38" s="1">
        <f>SUM(OSRRefH22_3x_0)</f>
        <v>0</v>
      </c>
      <c r="I38" s="1"/>
      <c r="J38" s="5">
        <f t="shared" si="29"/>
        <v>0</v>
      </c>
      <c r="K38" s="1"/>
      <c r="L38" s="1">
        <f t="shared" si="30"/>
        <v>80.94</v>
      </c>
      <c r="M38" s="1"/>
      <c r="N38" s="5">
        <f t="shared" si="31"/>
        <v>0</v>
      </c>
      <c r="O38" s="13"/>
      <c r="P38" s="1">
        <f>SUM(OSRRefP22_3x_0)</f>
        <v>388.66</v>
      </c>
      <c r="Q38" s="1"/>
      <c r="R38" s="5">
        <f t="shared" si="32"/>
        <v>2.1467418996616618E-3</v>
      </c>
      <c r="S38" s="1"/>
      <c r="T38" s="1">
        <f>SUM(OSRRefT22_3x_0)</f>
        <v>0</v>
      </c>
      <c r="U38" s="1"/>
      <c r="V38" s="5">
        <f t="shared" si="33"/>
        <v>0</v>
      </c>
      <c r="W38" s="1"/>
      <c r="X38" s="1">
        <f t="shared" si="34"/>
        <v>388.66</v>
      </c>
      <c r="Y38" s="1"/>
      <c r="Z38" s="5">
        <f t="shared" si="35"/>
        <v>0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80.94</v>
      </c>
      <c r="E39" s="2"/>
      <c r="F39" s="7">
        <f t="shared" si="28"/>
        <v>1.7814503347537542E-3</v>
      </c>
      <c r="G39" s="2"/>
      <c r="H39" s="6"/>
      <c r="I39" s="2"/>
      <c r="J39" s="7">
        <f t="shared" si="29"/>
        <v>0</v>
      </c>
      <c r="K39" s="2"/>
      <c r="L39" s="6">
        <f t="shared" si="30"/>
        <v>80.94</v>
      </c>
      <c r="M39" s="2"/>
      <c r="N39" s="7">
        <f t="shared" si="31"/>
        <v>0</v>
      </c>
      <c r="O39" s="11"/>
      <c r="P39" s="6">
        <v>388.66</v>
      </c>
      <c r="Q39" s="2"/>
      <c r="R39" s="7">
        <f t="shared" si="32"/>
        <v>2.1467418996616618E-3</v>
      </c>
      <c r="S39" s="2"/>
      <c r="T39" s="6"/>
      <c r="U39" s="2"/>
      <c r="V39" s="7">
        <f t="shared" si="33"/>
        <v>0</v>
      </c>
      <c r="W39" s="2"/>
      <c r="X39" s="6">
        <f t="shared" si="34"/>
        <v>388.66</v>
      </c>
      <c r="Y39" s="2"/>
      <c r="Z39" s="7">
        <f t="shared" si="35"/>
        <v>0</v>
      </c>
    </row>
    <row r="40" spans="1:26" s="27" customFormat="1" outlineLevel="1" collapsed="1" x14ac:dyDescent="0.25">
      <c r="A40" s="26"/>
      <c r="B40" s="13" t="str">
        <f>CONCATENATE("     ","Repair and Maintenance                            ")</f>
        <v xml:space="preserve">     Repair and Maintenance                            </v>
      </c>
      <c r="C40" s="13"/>
      <c r="D40" s="1">
        <f>SUM(OSRRefD22_4x_0)</f>
        <v>0</v>
      </c>
      <c r="E40" s="1"/>
      <c r="F40" s="5">
        <f t="shared" si="28"/>
        <v>0</v>
      </c>
      <c r="G40" s="1"/>
      <c r="H40" s="1">
        <f>SUM(OSRRefH22_4x_0)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3"/>
      <c r="P40" s="1">
        <f>SUM(OSRRefP22_4x_0)</f>
        <v>1151.21</v>
      </c>
      <c r="Q40" s="1"/>
      <c r="R40" s="5">
        <f t="shared" si="32"/>
        <v>6.3586444252289962E-3</v>
      </c>
      <c r="S40" s="1"/>
      <c r="T40" s="1">
        <f>SUM(OSRRefT22_4x_0)</f>
        <v>0</v>
      </c>
      <c r="U40" s="1"/>
      <c r="V40" s="5">
        <f t="shared" si="33"/>
        <v>0</v>
      </c>
      <c r="W40" s="1"/>
      <c r="X40" s="1">
        <f t="shared" si="34"/>
        <v>1151.21</v>
      </c>
      <c r="Y40" s="1"/>
      <c r="Z40" s="5">
        <f t="shared" si="35"/>
        <v>0</v>
      </c>
    </row>
    <row r="41" spans="1:26" s="24" customFormat="1" hidden="1" outlineLevel="2" x14ac:dyDescent="0.25">
      <c r="A41" s="25"/>
      <c r="B41" s="11" t="str">
        <f>CONCATENATE("          ", "6375", " - ", "OUTSIDE REPAIRS &amp; MAINTENANCE")</f>
        <v xml:space="preserve">          6375 - OUTSIDE REPAIRS &amp; MAINTENANCE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1151.21</v>
      </c>
      <c r="Q41" s="2"/>
      <c r="R41" s="7">
        <f t="shared" si="32"/>
        <v>6.3586444252289962E-3</v>
      </c>
      <c r="S41" s="2"/>
      <c r="T41" s="6"/>
      <c r="U41" s="2"/>
      <c r="V41" s="7">
        <f t="shared" si="33"/>
        <v>0</v>
      </c>
      <c r="W41" s="2"/>
      <c r="X41" s="6">
        <f t="shared" si="34"/>
        <v>1151.21</v>
      </c>
      <c r="Y41" s="2"/>
      <c r="Z41" s="7">
        <f t="shared" si="35"/>
        <v>0</v>
      </c>
    </row>
    <row r="42" spans="1:26" s="27" customFormat="1" outlineLevel="1" collapsed="1" x14ac:dyDescent="0.25">
      <c r="A42" s="26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SUM(OSRRefD22_5x_0)</f>
        <v>0</v>
      </c>
      <c r="E42" s="1"/>
      <c r="F42" s="5">
        <f t="shared" si="28"/>
        <v>0</v>
      </c>
      <c r="G42" s="1"/>
      <c r="H42" s="1">
        <f>SUM(OSRRefH22_5x_0)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3"/>
      <c r="P42" s="1">
        <f>SUM(OSRRefP22_5x_0)</f>
        <v>1137.47</v>
      </c>
      <c r="Q42" s="1"/>
      <c r="R42" s="5">
        <f t="shared" si="32"/>
        <v>6.2827522992027745E-3</v>
      </c>
      <c r="S42" s="1"/>
      <c r="T42" s="1">
        <f>SUM(OSRRefT22_5x_0)</f>
        <v>0</v>
      </c>
      <c r="U42" s="1"/>
      <c r="V42" s="5">
        <f t="shared" si="33"/>
        <v>0</v>
      </c>
      <c r="W42" s="1"/>
      <c r="X42" s="1">
        <f t="shared" si="34"/>
        <v>1137.47</v>
      </c>
      <c r="Y42" s="1"/>
      <c r="Z42" s="5">
        <f t="shared" si="35"/>
        <v>0</v>
      </c>
    </row>
    <row r="43" spans="1:26" s="24" customFormat="1" hidden="1" outlineLevel="2" x14ac:dyDescent="0.25">
      <c r="A43" s="25"/>
      <c r="B43" s="11" t="str">
        <f>CONCATENATE("          ", "6241", " - ", "OFFICE EXPENSE")</f>
        <v xml:space="preserve">          6241 - OFFICE EXPENSE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>
        <v>914.08</v>
      </c>
      <c r="Q43" s="2"/>
      <c r="R43" s="7">
        <f t="shared" si="32"/>
        <v>5.0488700551709247E-3</v>
      </c>
      <c r="S43" s="2"/>
      <c r="T43" s="6"/>
      <c r="U43" s="2"/>
      <c r="V43" s="7">
        <f t="shared" si="33"/>
        <v>0</v>
      </c>
      <c r="W43" s="2"/>
      <c r="X43" s="6">
        <f t="shared" si="34"/>
        <v>914.08</v>
      </c>
      <c r="Y43" s="2"/>
      <c r="Z43" s="7">
        <f t="shared" si="35"/>
        <v>0</v>
      </c>
    </row>
    <row r="44" spans="1:26" s="24" customFormat="1" hidden="1" outlineLevel="2" x14ac:dyDescent="0.25">
      <c r="A44" s="25"/>
      <c r="B44" s="11" t="str">
        <f>CONCATENATE("          ", "6247", " - ", "STORE SUPPLIES")</f>
        <v xml:space="preserve">          6247 - STORE SUPPLIES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223.39</v>
      </c>
      <c r="Q44" s="2"/>
      <c r="R44" s="7">
        <f t="shared" si="32"/>
        <v>1.2338822440318494E-3</v>
      </c>
      <c r="S44" s="2"/>
      <c r="T44" s="6"/>
      <c r="U44" s="2"/>
      <c r="V44" s="7">
        <f t="shared" si="33"/>
        <v>0</v>
      </c>
      <c r="W44" s="2"/>
      <c r="X44" s="6">
        <f t="shared" si="34"/>
        <v>223.39</v>
      </c>
      <c r="Y44" s="2"/>
      <c r="Z44" s="7">
        <f t="shared" si="35"/>
        <v>0</v>
      </c>
    </row>
    <row r="45" spans="1:26" s="27" customFormat="1" outlineLevel="1" collapsed="1" x14ac:dyDescent="0.25">
      <c r="A45" s="26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SUM(OSRRefD22_6x_0)</f>
        <v>0</v>
      </c>
      <c r="E45" s="1"/>
      <c r="F45" s="5">
        <f t="shared" ref="F45:F46" si="36">IF(D$12=0,0,D45/D$12)</f>
        <v>0</v>
      </c>
      <c r="G45" s="1"/>
      <c r="H45" s="1">
        <f>SUM(OSRRefH22_6x_0)</f>
        <v>0</v>
      </c>
      <c r="I45" s="1"/>
      <c r="J45" s="5">
        <f t="shared" ref="J45:J46" si="37">IF(H$12=0,0,H45/H$12)</f>
        <v>0</v>
      </c>
      <c r="K45" s="1"/>
      <c r="L45" s="1">
        <f t="shared" ref="L45:L46" si="38">+D45-H45</f>
        <v>0</v>
      </c>
      <c r="M45" s="1"/>
      <c r="N45" s="5">
        <f t="shared" ref="N45:N46" si="39">IF(H45=0,0,L45/H45)</f>
        <v>0</v>
      </c>
      <c r="O45" s="13"/>
      <c r="P45" s="1">
        <f>SUM(OSRRefP22_6x_0)</f>
        <v>1269.1500000000001</v>
      </c>
      <c r="Q45" s="1"/>
      <c r="R45" s="5">
        <f t="shared" ref="R45:R46" si="40">IF(P$12=0,0,P45/P$12)</f>
        <v>7.0100794575093861E-3</v>
      </c>
      <c r="S45" s="1"/>
      <c r="T45" s="1">
        <f>SUM(OSRRefT22_6x_0)</f>
        <v>0</v>
      </c>
      <c r="U45" s="1"/>
      <c r="V45" s="5">
        <f t="shared" ref="V45:V46" si="41">IF(T$12=0,0,T45/T$12)</f>
        <v>0</v>
      </c>
      <c r="W45" s="1"/>
      <c r="X45" s="1">
        <f t="shared" ref="X45:X46" si="42">+P45-T45</f>
        <v>1269.1500000000001</v>
      </c>
      <c r="Y45" s="1"/>
      <c r="Z45" s="5">
        <f t="shared" ref="Z45:Z46" si="43">IF(T45=0,0,X45/T45)</f>
        <v>0</v>
      </c>
    </row>
    <row r="46" spans="1:26" s="24" customFormat="1" hidden="1" outlineLevel="2" x14ac:dyDescent="0.25">
      <c r="A46" s="25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36"/>
        <v>0</v>
      </c>
      <c r="G46" s="2"/>
      <c r="H46" s="6"/>
      <c r="I46" s="2"/>
      <c r="J46" s="7">
        <f t="shared" si="37"/>
        <v>0</v>
      </c>
      <c r="K46" s="2"/>
      <c r="L46" s="6">
        <f t="shared" si="38"/>
        <v>0</v>
      </c>
      <c r="M46" s="2"/>
      <c r="N46" s="7">
        <f t="shared" si="39"/>
        <v>0</v>
      </c>
      <c r="O46" s="11"/>
      <c r="P46" s="6">
        <v>1269.1500000000001</v>
      </c>
      <c r="Q46" s="2"/>
      <c r="R46" s="7">
        <f t="shared" si="40"/>
        <v>7.0100794575093861E-3</v>
      </c>
      <c r="S46" s="2"/>
      <c r="T46" s="6"/>
      <c r="U46" s="2"/>
      <c r="V46" s="7">
        <f t="shared" si="41"/>
        <v>0</v>
      </c>
      <c r="W46" s="2"/>
      <c r="X46" s="6">
        <f t="shared" si="42"/>
        <v>1269.1500000000001</v>
      </c>
      <c r="Y46" s="2"/>
      <c r="Z46" s="7">
        <f t="shared" si="43"/>
        <v>0</v>
      </c>
    </row>
    <row r="47" spans="1:26" s="53" customFormat="1" x14ac:dyDescent="0.25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1">
        <f>+D19-D21+D48</f>
        <v>13640.059999999998</v>
      </c>
      <c r="E50" s="14"/>
      <c r="F50" s="22">
        <f>IF(D$12=0,0,D50/D$12)</f>
        <v>0.30021113729999122</v>
      </c>
      <c r="G50" s="14"/>
      <c r="H50" s="21">
        <f>+H19-H21+H48</f>
        <v>0</v>
      </c>
      <c r="I50" s="14"/>
      <c r="J50" s="22">
        <f>IF(H$12=0,0,H50/H$12)</f>
        <v>0</v>
      </c>
      <c r="K50" s="15"/>
      <c r="L50" s="21">
        <f>+D50-H50</f>
        <v>13640.059999999998</v>
      </c>
      <c r="M50" s="15"/>
      <c r="N50" s="22">
        <f>IF(H50=0,0,L50/H50)</f>
        <v>0</v>
      </c>
      <c r="O50" s="29"/>
      <c r="P50" s="21">
        <f>+P19-P21+P48</f>
        <v>-2592</v>
      </c>
      <c r="Q50" s="14"/>
      <c r="R50" s="22">
        <f>IF(P$12=0,0,P50/P$12)</f>
        <v>-1.4316767879182388E-2</v>
      </c>
      <c r="S50" s="14"/>
      <c r="T50" s="21">
        <f>+T19-T21+T48</f>
        <v>0</v>
      </c>
      <c r="U50" s="14"/>
      <c r="V50" s="22">
        <f>IF(T$12=0,0,T50/T$12)</f>
        <v>0</v>
      </c>
      <c r="W50" s="15"/>
      <c r="X50" s="21">
        <f>+P50-T50</f>
        <v>-2592</v>
      </c>
      <c r="Y50" s="15"/>
      <c r="Z50" s="22">
        <f>IF(T50=0,0,X50/T50)</f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2"/>
      <c r="B52" s="10" t="s">
        <v>14</v>
      </c>
      <c r="C52" s="10"/>
      <c r="D52" s="4">
        <v>4309.8500000000004</v>
      </c>
      <c r="E52" s="4"/>
      <c r="F52" s="12">
        <f>IF(D$12=0,0,D52/D$12)</f>
        <v>9.4857718374579542E-2</v>
      </c>
      <c r="G52" s="4"/>
      <c r="H52" s="4"/>
      <c r="I52" s="4"/>
      <c r="J52" s="12">
        <f>IF(H$12=0,0,H52/H$12)</f>
        <v>0</v>
      </c>
      <c r="K52" s="4"/>
      <c r="L52" s="4">
        <f>+D52-H52</f>
        <v>4309.8500000000004</v>
      </c>
      <c r="M52" s="4"/>
      <c r="N52" s="12">
        <f>IF(H52=0,0,L52/H52)</f>
        <v>0</v>
      </c>
      <c r="O52" s="10"/>
      <c r="P52" s="4">
        <v>18452.21</v>
      </c>
      <c r="Q52" s="4"/>
      <c r="R52" s="12">
        <f>IF(P$12=0,0,P52/P$12)</f>
        <v>0.10191975595213273</v>
      </c>
      <c r="S52" s="4"/>
      <c r="T52" s="4"/>
      <c r="U52" s="4"/>
      <c r="V52" s="12">
        <f>IF(T$12=0,0,T52/T$12)</f>
        <v>0</v>
      </c>
      <c r="W52" s="4"/>
      <c r="X52" s="4">
        <f>+P52-T52</f>
        <v>18452.21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1">
        <f>+D50-D52</f>
        <v>9330.2099999999973</v>
      </c>
      <c r="E54" s="14"/>
      <c r="F54" s="32">
        <f>IF(D$12=0,0,D54/D$12)</f>
        <v>0.20535341892541167</v>
      </c>
      <c r="G54" s="14"/>
      <c r="H54" s="31">
        <f>+H50-H52</f>
        <v>0</v>
      </c>
      <c r="I54" s="14"/>
      <c r="J54" s="32">
        <f>IF(H$12=0,0,H54/H$12)</f>
        <v>0</v>
      </c>
      <c r="K54" s="15"/>
      <c r="L54" s="31">
        <f>D54-H54</f>
        <v>9330.2099999999973</v>
      </c>
      <c r="M54" s="15"/>
      <c r="N54" s="32">
        <f>IF(H54=0,0,L54/H54)</f>
        <v>0</v>
      </c>
      <c r="O54" s="29"/>
      <c r="P54" s="31">
        <f>+P50-P52</f>
        <v>-21044.21</v>
      </c>
      <c r="Q54" s="14"/>
      <c r="R54" s="32">
        <f>IF(P$12=0,0,P54/P$12)</f>
        <v>-0.11623652383131512</v>
      </c>
      <c r="S54" s="14"/>
      <c r="T54" s="31">
        <f>+T50-T52</f>
        <v>0</v>
      </c>
      <c r="U54" s="14"/>
      <c r="V54" s="32">
        <f>IF(T$12=0,0,T54/T$12)</f>
        <v>0</v>
      </c>
      <c r="W54" s="15"/>
      <c r="X54" s="31">
        <f>P54-T54</f>
        <v>-21044.21</v>
      </c>
      <c r="Y54" s="15"/>
      <c r="Z54" s="32">
        <f>IF(T54=0,0,X54/T54)</f>
        <v>0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3">
        <f>SUM(D54:D56)</f>
        <v>9330.2099999999973</v>
      </c>
      <c r="E57" s="14"/>
      <c r="F57" s="30">
        <f>IF(D$12=0,0,D57/D$12)</f>
        <v>0.20535341892541167</v>
      </c>
      <c r="G57" s="14"/>
      <c r="H57" s="33">
        <f>SUM(H54:H56)</f>
        <v>0</v>
      </c>
      <c r="I57" s="14"/>
      <c r="J57" s="30">
        <f>IF(H$12=0,0,H57/H$12)</f>
        <v>0</v>
      </c>
      <c r="K57" s="15"/>
      <c r="L57" s="33">
        <f>+D57-H57</f>
        <v>9330.2099999999973</v>
      </c>
      <c r="M57" s="15"/>
      <c r="N57" s="30">
        <f>IF(H57=0,0,L57/H57)</f>
        <v>0</v>
      </c>
      <c r="O57" s="29"/>
      <c r="P57" s="33">
        <f>SUM(P54:P56)</f>
        <v>-21044.21</v>
      </c>
      <c r="Q57" s="14"/>
      <c r="R57" s="30">
        <f>IF(P$12=0,0,P57/P$12)</f>
        <v>-0.11623652383131512</v>
      </c>
      <c r="S57" s="14"/>
      <c r="T57" s="33">
        <f>SUM(T54:T56)</f>
        <v>0</v>
      </c>
      <c r="U57" s="14"/>
      <c r="V57" s="30">
        <f>IF(T$12=0,0,T57/T$12)</f>
        <v>0</v>
      </c>
      <c r="W57" s="15"/>
      <c r="X57" s="33">
        <f>+P57-T57</f>
        <v>-21044.21</v>
      </c>
      <c r="Y57" s="15"/>
      <c r="Z57" s="30">
        <f>IF(T57=0,0,X57/T57)</f>
        <v>0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9">
        <v>43908.495252314817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63" t="s">
        <v>314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57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38705.949999999997</v>
      </c>
      <c r="E12" s="4"/>
      <c r="F12" s="12"/>
      <c r="G12" s="4"/>
      <c r="H12" s="4">
        <f>SUM(OSRRefH13x_0)</f>
        <v>46588</v>
      </c>
      <c r="I12" s="4"/>
      <c r="J12" s="12"/>
      <c r="K12" s="4"/>
      <c r="L12" s="4">
        <f t="shared" ref="L12:L16" si="0">+D12-H12</f>
        <v>-7882.0500000000029</v>
      </c>
      <c r="M12" s="4"/>
      <c r="N12" s="12">
        <f t="shared" ref="N12:N16" si="1">IF(H12=0,0,L12/H12)</f>
        <v>-0.16918627114278362</v>
      </c>
      <c r="O12" s="10"/>
      <c r="P12" s="4">
        <f>SUM(OSRRefP13x_0)</f>
        <v>239244.02</v>
      </c>
      <c r="Q12" s="4"/>
      <c r="R12" s="12"/>
      <c r="S12" s="4"/>
      <c r="T12" s="4">
        <f>SUM(OSRRefT13x_0)</f>
        <v>295522</v>
      </c>
      <c r="U12" s="4"/>
      <c r="V12" s="12"/>
      <c r="W12" s="4"/>
      <c r="X12" s="4">
        <f t="shared" ref="X12:X16" si="2">+P12-T12</f>
        <v>-56277.98000000001</v>
      </c>
      <c r="Y12" s="4"/>
      <c r="Z12" s="12">
        <f t="shared" ref="Z12:Z16" si="3">IF(T12=0,0,X12/T12)</f>
        <v>-0.19043583895615221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9888</v>
      </c>
      <c r="I13" s="2"/>
      <c r="J13" s="19"/>
      <c r="K13" s="2"/>
      <c r="L13" s="2">
        <f t="shared" si="0"/>
        <v>-9888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58497</v>
      </c>
      <c r="U13" s="2"/>
      <c r="V13" s="19"/>
      <c r="W13" s="2"/>
      <c r="X13" s="2">
        <f t="shared" si="2"/>
        <v>-58497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--8120.41</f>
        <v>8120.41</v>
      </c>
      <c r="E14" s="2"/>
      <c r="F14" s="19"/>
      <c r="G14" s="2"/>
      <c r="H14" s="2"/>
      <c r="I14" s="2"/>
      <c r="J14" s="19"/>
      <c r="K14" s="2"/>
      <c r="L14" s="2">
        <f t="shared" si="0"/>
        <v>8120.41</v>
      </c>
      <c r="M14" s="2"/>
      <c r="N14" s="19">
        <f t="shared" si="1"/>
        <v>0</v>
      </c>
      <c r="O14" s="11"/>
      <c r="P14" s="2">
        <f>--54433.03</f>
        <v>54433.03</v>
      </c>
      <c r="Q14" s="2"/>
      <c r="R14" s="19"/>
      <c r="S14" s="2"/>
      <c r="T14" s="2"/>
      <c r="U14" s="2"/>
      <c r="V14" s="19"/>
      <c r="W14" s="2"/>
      <c r="X14" s="2">
        <f t="shared" si="2"/>
        <v>54433.03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36700</v>
      </c>
      <c r="I15" s="2"/>
      <c r="J15" s="19"/>
      <c r="K15" s="2"/>
      <c r="L15" s="2">
        <f t="shared" si="0"/>
        <v>-36700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237025</v>
      </c>
      <c r="U15" s="2"/>
      <c r="V15" s="19"/>
      <c r="W15" s="2"/>
      <c r="X15" s="2">
        <f t="shared" si="2"/>
        <v>-237025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--30585.54</f>
        <v>30585.54</v>
      </c>
      <c r="E16" s="2"/>
      <c r="F16" s="19"/>
      <c r="G16" s="2"/>
      <c r="H16" s="2"/>
      <c r="I16" s="2"/>
      <c r="J16" s="19"/>
      <c r="K16" s="2"/>
      <c r="L16" s="2">
        <f t="shared" si="0"/>
        <v>30585.54</v>
      </c>
      <c r="M16" s="2"/>
      <c r="N16" s="19">
        <f t="shared" si="1"/>
        <v>0</v>
      </c>
      <c r="O16" s="11"/>
      <c r="P16" s="2">
        <f>--184810.99</f>
        <v>184810.99</v>
      </c>
      <c r="Q16" s="2"/>
      <c r="R16" s="19"/>
      <c r="S16" s="2"/>
      <c r="T16" s="2"/>
      <c r="U16" s="2"/>
      <c r="V16" s="19"/>
      <c r="W16" s="2"/>
      <c r="X16" s="2">
        <f t="shared" si="2"/>
        <v>184810.99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14497.82</v>
      </c>
      <c r="E18" s="4"/>
      <c r="F18" s="12">
        <f t="shared" ref="F18:F21" si="4">IF(D$12=0,0,D18/D$12)</f>
        <v>0.37456308397029398</v>
      </c>
      <c r="G18" s="4"/>
      <c r="H18" s="4">
        <f>SUM(OSRRefH16x_0)</f>
        <v>13976</v>
      </c>
      <c r="I18" s="4"/>
      <c r="J18" s="12">
        <f t="shared" ref="J18:J21" si="5">IF(H$12=0,0,H18/H$12)</f>
        <v>0.29999141409805102</v>
      </c>
      <c r="K18" s="4"/>
      <c r="L18" s="4">
        <f t="shared" ref="L18:L21" si="6">+D18-H18</f>
        <v>521.81999999999971</v>
      </c>
      <c r="M18" s="4"/>
      <c r="N18" s="12">
        <f t="shared" ref="N18:N21" si="7">IF(H18=0,0,L18/H18)</f>
        <v>3.7336863194046915E-2</v>
      </c>
      <c r="O18" s="10"/>
      <c r="P18" s="4">
        <f>SUM(OSRRefP16x_0)</f>
        <v>78532.92</v>
      </c>
      <c r="Q18" s="4"/>
      <c r="R18" s="12">
        <f t="shared" ref="R18:R21" si="8">IF(P$12=0,0,P18/P$12)</f>
        <v>0.32825447423931431</v>
      </c>
      <c r="S18" s="4"/>
      <c r="T18" s="4">
        <f>SUM(OSRRefT16x_0)</f>
        <v>91976</v>
      </c>
      <c r="U18" s="4"/>
      <c r="V18" s="12">
        <f t="shared" ref="V18:V21" si="9">IF(T$12=0,0,T18/T$12)</f>
        <v>0.3112323278808346</v>
      </c>
      <c r="W18" s="4"/>
      <c r="X18" s="4">
        <f t="shared" ref="X18:X21" si="10">+P18-T18</f>
        <v>-13443.080000000002</v>
      </c>
      <c r="Y18" s="4"/>
      <c r="Z18" s="12">
        <f t="shared" ref="Z18:Z21" si="11">IF(T18=0,0,X18/T18)</f>
        <v>-0.14615856310341829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13976</v>
      </c>
      <c r="I19" s="2"/>
      <c r="J19" s="19">
        <f t="shared" si="5"/>
        <v>0.29999141409805102</v>
      </c>
      <c r="K19" s="2"/>
      <c r="L19" s="2">
        <f t="shared" si="6"/>
        <v>-13976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91976</v>
      </c>
      <c r="U19" s="2"/>
      <c r="V19" s="19">
        <f t="shared" si="9"/>
        <v>0.3112323278808346</v>
      </c>
      <c r="W19" s="2"/>
      <c r="X19" s="2">
        <f t="shared" si="10"/>
        <v>-91976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14113.84</v>
      </c>
      <c r="E20" s="2"/>
      <c r="F20" s="19">
        <f t="shared" si="4"/>
        <v>0.3646426453813949</v>
      </c>
      <c r="G20" s="2"/>
      <c r="H20" s="2"/>
      <c r="I20" s="2"/>
      <c r="J20" s="19">
        <f t="shared" si="5"/>
        <v>0</v>
      </c>
      <c r="K20" s="2"/>
      <c r="L20" s="2">
        <f t="shared" si="6"/>
        <v>14113.84</v>
      </c>
      <c r="M20" s="2"/>
      <c r="N20" s="19">
        <f t="shared" si="7"/>
        <v>0</v>
      </c>
      <c r="O20" s="11"/>
      <c r="P20" s="2">
        <v>84544.98</v>
      </c>
      <c r="Q20" s="2"/>
      <c r="R20" s="19">
        <f t="shared" si="8"/>
        <v>0.35338387977262714</v>
      </c>
      <c r="S20" s="2"/>
      <c r="T20" s="2"/>
      <c r="U20" s="2"/>
      <c r="V20" s="19">
        <f t="shared" si="9"/>
        <v>0</v>
      </c>
      <c r="W20" s="2"/>
      <c r="X20" s="2">
        <f t="shared" si="10"/>
        <v>84544.98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383.98</v>
      </c>
      <c r="E21" s="2"/>
      <c r="F21" s="19">
        <f t="shared" si="4"/>
        <v>9.9204385888991241E-3</v>
      </c>
      <c r="G21" s="2"/>
      <c r="H21" s="2"/>
      <c r="I21" s="2"/>
      <c r="J21" s="19">
        <f t="shared" si="5"/>
        <v>0</v>
      </c>
      <c r="K21" s="2"/>
      <c r="L21" s="2">
        <f t="shared" si="6"/>
        <v>383.98</v>
      </c>
      <c r="M21" s="2"/>
      <c r="N21" s="19">
        <f t="shared" si="7"/>
        <v>0</v>
      </c>
      <c r="O21" s="11"/>
      <c r="P21" s="2">
        <v>-6012.06</v>
      </c>
      <c r="Q21" s="2"/>
      <c r="R21" s="19">
        <f t="shared" si="8"/>
        <v>-2.5129405533312811E-2</v>
      </c>
      <c r="S21" s="2"/>
      <c r="T21" s="2"/>
      <c r="U21" s="2"/>
      <c r="V21" s="19">
        <f t="shared" si="9"/>
        <v>0</v>
      </c>
      <c r="W21" s="2"/>
      <c r="X21" s="2">
        <f t="shared" si="10"/>
        <v>-6012.06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24208.129999999997</v>
      </c>
      <c r="E23" s="14"/>
      <c r="F23" s="22">
        <f>IF(D$12=0,0,D23/D$12)</f>
        <v>0.62543691602970597</v>
      </c>
      <c r="G23" s="14"/>
      <c r="H23" s="21">
        <f>H12-H18</f>
        <v>32612</v>
      </c>
      <c r="I23" s="14"/>
      <c r="J23" s="22">
        <f>IF(H$12=0,0,H23/H$12)</f>
        <v>0.70000858590194903</v>
      </c>
      <c r="K23" s="15"/>
      <c r="L23" s="21">
        <f>+D23-H23</f>
        <v>-8403.8700000000026</v>
      </c>
      <c r="M23" s="15"/>
      <c r="N23" s="22">
        <f>IF(H23=0,0,L23/H23)</f>
        <v>-0.25769256715319522</v>
      </c>
      <c r="O23" s="29"/>
      <c r="P23" s="21">
        <f>P12-P18</f>
        <v>160711.09999999998</v>
      </c>
      <c r="Q23" s="14"/>
      <c r="R23" s="22">
        <f>IF(P$12=0,0,P23/P$12)</f>
        <v>0.67174552576068558</v>
      </c>
      <c r="S23" s="14"/>
      <c r="T23" s="21">
        <f>T12-T18</f>
        <v>203546</v>
      </c>
      <c r="U23" s="14"/>
      <c r="V23" s="22">
        <f>IF(T$12=0,0,T23/T$12)</f>
        <v>0.68876767211916545</v>
      </c>
      <c r="W23" s="15"/>
      <c r="X23" s="21">
        <f>+P23-T23</f>
        <v>-42834.900000000023</v>
      </c>
      <c r="Y23" s="15"/>
      <c r="Z23" s="22">
        <f>IF(T23=0,0,X23/T23)</f>
        <v>-0.21044333958908562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22666.269999999997</v>
      </c>
      <c r="E25" s="20"/>
      <c r="F25" s="34">
        <f t="shared" ref="F25:F35" si="12">IF(D$12=0,0,D25/D$12)</f>
        <v>0.58560169689673036</v>
      </c>
      <c r="G25" s="20"/>
      <c r="H25" s="20">
        <f>SUM(OSRRefH22x_0)</f>
        <v>19239.277989300001</v>
      </c>
      <c r="I25" s="20"/>
      <c r="J25" s="34">
        <f t="shared" ref="J25:J35" si="13">IF(H$12=0,0,H25/H$12)</f>
        <v>0.41296638596419682</v>
      </c>
      <c r="K25" s="4"/>
      <c r="L25" s="20">
        <f t="shared" ref="L25:L35" si="14">+D25-H25</f>
        <v>3426.9920106999962</v>
      </c>
      <c r="M25" s="4"/>
      <c r="N25" s="34">
        <f t="shared" ref="N25:N35" si="15">IF(H25=0,0,L25/H25)</f>
        <v>0.17812477228126394</v>
      </c>
      <c r="O25" s="10"/>
      <c r="P25" s="20">
        <f>SUM(OSRRefP22x_0)</f>
        <v>160899.27999999994</v>
      </c>
      <c r="Q25" s="20"/>
      <c r="R25" s="34">
        <f t="shared" ref="R25:R35" si="16">IF(P$12=0,0,P25/P$12)</f>
        <v>0.67253208669541642</v>
      </c>
      <c r="S25" s="20"/>
      <c r="T25" s="20">
        <f>SUM(OSRRefT22x_0)</f>
        <v>146634.28729027498</v>
      </c>
      <c r="U25" s="20"/>
      <c r="V25" s="34">
        <f t="shared" ref="V25:V35" si="17">IF(T$12=0,0,T25/T$12)</f>
        <v>0.49618738127880491</v>
      </c>
      <c r="W25" s="4"/>
      <c r="X25" s="20">
        <f t="shared" ref="X25:X35" si="18">+P25-T25</f>
        <v>14264.99270972496</v>
      </c>
      <c r="Y25" s="4"/>
      <c r="Z25" s="34">
        <f t="shared" ref="Z25:Z35" si="19">IF(T25=0,0,X25/T25)</f>
        <v>9.7282790903373093E-2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3839.9099999999994</v>
      </c>
      <c r="E26" s="1"/>
      <c r="F26" s="5">
        <f t="shared" si="12"/>
        <v>9.9207227829313058E-2</v>
      </c>
      <c r="G26" s="1"/>
      <c r="H26" s="1">
        <f>SUM(OSRRefH22_0x_0)</f>
        <v>3798.4354508384622</v>
      </c>
      <c r="I26" s="1"/>
      <c r="J26" s="5">
        <f t="shared" si="13"/>
        <v>8.1532485851259176E-2</v>
      </c>
      <c r="K26" s="1"/>
      <c r="L26" s="1">
        <f t="shared" si="14"/>
        <v>41.474549161537198</v>
      </c>
      <c r="M26" s="1"/>
      <c r="N26" s="5">
        <f t="shared" si="15"/>
        <v>1.0918850589492617E-2</v>
      </c>
      <c r="O26" s="13"/>
      <c r="P26" s="1">
        <f>SUM(OSRRefP22_0x_0)</f>
        <v>27976.199999999993</v>
      </c>
      <c r="Q26" s="1"/>
      <c r="R26" s="5">
        <f t="shared" si="16"/>
        <v>0.11693583814550514</v>
      </c>
      <c r="S26" s="1"/>
      <c r="T26" s="1">
        <f>SUM(OSRRefT22_0x_0)</f>
        <v>30444.075078736547</v>
      </c>
      <c r="U26" s="1"/>
      <c r="V26" s="5">
        <f t="shared" si="17"/>
        <v>0.10301796508800207</v>
      </c>
      <c r="W26" s="1"/>
      <c r="X26" s="1">
        <f t="shared" si="18"/>
        <v>-2467.8750787365534</v>
      </c>
      <c r="Y26" s="1"/>
      <c r="Z26" s="5">
        <f t="shared" si="19"/>
        <v>-8.1062573665120929E-2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708.25</v>
      </c>
      <c r="E27" s="2"/>
      <c r="F27" s="7">
        <f t="shared" si="12"/>
        <v>1.8298220299463003E-2</v>
      </c>
      <c r="G27" s="2"/>
      <c r="H27" s="6">
        <v>704.50886545384606</v>
      </c>
      <c r="I27" s="2"/>
      <c r="J27" s="7">
        <f t="shared" si="13"/>
        <v>1.5122110102469435E-2</v>
      </c>
      <c r="K27" s="2"/>
      <c r="L27" s="6">
        <f t="shared" si="14"/>
        <v>3.741134546153944</v>
      </c>
      <c r="M27" s="2"/>
      <c r="N27" s="7">
        <f t="shared" si="15"/>
        <v>5.3102731982569125E-3</v>
      </c>
      <c r="O27" s="11"/>
      <c r="P27" s="6">
        <v>5508.58</v>
      </c>
      <c r="Q27" s="2"/>
      <c r="R27" s="7">
        <f t="shared" si="16"/>
        <v>2.302494331937743E-2</v>
      </c>
      <c r="S27" s="2"/>
      <c r="T27" s="6">
        <v>5831.9626306211539</v>
      </c>
      <c r="U27" s="2"/>
      <c r="V27" s="7">
        <f t="shared" si="17"/>
        <v>1.9734444916524502E-2</v>
      </c>
      <c r="W27" s="2"/>
      <c r="X27" s="6">
        <f t="shared" si="18"/>
        <v>-323.38263062115402</v>
      </c>
      <c r="Y27" s="2"/>
      <c r="Z27" s="7">
        <f t="shared" si="19"/>
        <v>-5.5450051912748793E-2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645.70000000000005</v>
      </c>
      <c r="E28" s="2"/>
      <c r="F28" s="7">
        <f t="shared" si="12"/>
        <v>1.6682189689182156E-2</v>
      </c>
      <c r="G28" s="2"/>
      <c r="H28" s="6">
        <v>534.55909076923092</v>
      </c>
      <c r="I28" s="2"/>
      <c r="J28" s="7">
        <f t="shared" si="13"/>
        <v>1.1474179848227675E-2</v>
      </c>
      <c r="K28" s="2"/>
      <c r="L28" s="6">
        <f t="shared" si="14"/>
        <v>111.14090923076913</v>
      </c>
      <c r="M28" s="2"/>
      <c r="N28" s="7">
        <f t="shared" si="15"/>
        <v>0.20791136312140399</v>
      </c>
      <c r="O28" s="11"/>
      <c r="P28" s="6">
        <v>3263.7</v>
      </c>
      <c r="Q28" s="2"/>
      <c r="R28" s="7">
        <f t="shared" si="16"/>
        <v>1.3641720282078523E-2</v>
      </c>
      <c r="S28" s="2"/>
      <c r="T28" s="6">
        <v>3903.5683362307705</v>
      </c>
      <c r="U28" s="2"/>
      <c r="V28" s="7">
        <f t="shared" si="17"/>
        <v>1.3209061715306374E-2</v>
      </c>
      <c r="W28" s="2"/>
      <c r="X28" s="6">
        <f t="shared" si="18"/>
        <v>-639.86833623077064</v>
      </c>
      <c r="Y28" s="2"/>
      <c r="Z28" s="7">
        <f t="shared" si="19"/>
        <v>-0.16391882531986576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1371.71</v>
      </c>
      <c r="E29" s="2"/>
      <c r="F29" s="7">
        <f t="shared" si="12"/>
        <v>3.543925417151627E-2</v>
      </c>
      <c r="G29" s="2"/>
      <c r="H29" s="6">
        <v>1381</v>
      </c>
      <c r="I29" s="2"/>
      <c r="J29" s="7">
        <f t="shared" si="13"/>
        <v>2.9642826478921611E-2</v>
      </c>
      <c r="K29" s="2"/>
      <c r="L29" s="6">
        <f t="shared" si="14"/>
        <v>-9.2899999999999636</v>
      </c>
      <c r="M29" s="2"/>
      <c r="N29" s="7">
        <f t="shared" si="15"/>
        <v>-6.7270094134684747E-3</v>
      </c>
      <c r="O29" s="11"/>
      <c r="P29" s="6">
        <v>10470.74</v>
      </c>
      <c r="Q29" s="2"/>
      <c r="R29" s="7">
        <f t="shared" si="16"/>
        <v>4.3765942404746419E-2</v>
      </c>
      <c r="S29" s="2"/>
      <c r="T29" s="6">
        <v>11048</v>
      </c>
      <c r="U29" s="2"/>
      <c r="V29" s="7">
        <f t="shared" si="17"/>
        <v>3.7384695555660832E-2</v>
      </c>
      <c r="W29" s="2"/>
      <c r="X29" s="6">
        <f t="shared" si="18"/>
        <v>-577.26000000000022</v>
      </c>
      <c r="Y29" s="2"/>
      <c r="Z29" s="7">
        <f t="shared" si="19"/>
        <v>-5.2250181028240424E-2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43.27</v>
      </c>
      <c r="E30" s="2"/>
      <c r="F30" s="7">
        <f t="shared" si="12"/>
        <v>1.1179159793261761E-3</v>
      </c>
      <c r="G30" s="2"/>
      <c r="H30" s="6">
        <v>35.820970000000003</v>
      </c>
      <c r="I30" s="2"/>
      <c r="J30" s="7">
        <f t="shared" si="13"/>
        <v>7.6888834034515333E-4</v>
      </c>
      <c r="K30" s="2"/>
      <c r="L30" s="6">
        <f t="shared" si="14"/>
        <v>7.4490300000000005</v>
      </c>
      <c r="M30" s="2"/>
      <c r="N30" s="7">
        <f t="shared" si="15"/>
        <v>0.20795165513385036</v>
      </c>
      <c r="O30" s="11"/>
      <c r="P30" s="6">
        <v>268.52999999999997</v>
      </c>
      <c r="Q30" s="2"/>
      <c r="R30" s="7">
        <f t="shared" si="16"/>
        <v>1.1224104995393406E-3</v>
      </c>
      <c r="S30" s="2"/>
      <c r="T30" s="6">
        <v>261.57932149999999</v>
      </c>
      <c r="U30" s="2"/>
      <c r="V30" s="7">
        <f t="shared" si="17"/>
        <v>8.8514331081949906E-4</v>
      </c>
      <c r="W30" s="2"/>
      <c r="X30" s="6">
        <f t="shared" si="18"/>
        <v>6.9506784999999809</v>
      </c>
      <c r="Y30" s="2"/>
      <c r="Z30" s="7">
        <f t="shared" si="19"/>
        <v>2.6571972356767434E-2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326.52</v>
      </c>
      <c r="E31" s="2"/>
      <c r="F31" s="7">
        <f t="shared" si="12"/>
        <v>8.4359123080559959E-3</v>
      </c>
      <c r="G31" s="2"/>
      <c r="H31" s="6">
        <v>402.01010923076899</v>
      </c>
      <c r="I31" s="2"/>
      <c r="J31" s="7">
        <f t="shared" si="13"/>
        <v>8.6290484509051468E-3</v>
      </c>
      <c r="K31" s="2"/>
      <c r="L31" s="6">
        <f t="shared" si="14"/>
        <v>-75.490109230769008</v>
      </c>
      <c r="M31" s="2"/>
      <c r="N31" s="7">
        <f t="shared" si="15"/>
        <v>-0.18778161916180777</v>
      </c>
      <c r="O31" s="11"/>
      <c r="P31" s="6">
        <v>2775.42</v>
      </c>
      <c r="Q31" s="2"/>
      <c r="R31" s="7">
        <f t="shared" si="16"/>
        <v>1.1600791526576087E-2</v>
      </c>
      <c r="S31" s="2"/>
      <c r="T31" s="6">
        <v>3517.5884557692311</v>
      </c>
      <c r="U31" s="2"/>
      <c r="V31" s="7">
        <f t="shared" si="17"/>
        <v>1.1902966465336695E-2</v>
      </c>
      <c r="W31" s="2"/>
      <c r="X31" s="6">
        <f t="shared" si="18"/>
        <v>-742.16845576923106</v>
      </c>
      <c r="Y31" s="2"/>
      <c r="Z31" s="7">
        <f t="shared" si="19"/>
        <v>-0.21098785861432803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321.74</v>
      </c>
      <c r="E33" s="2"/>
      <c r="F33" s="7">
        <f t="shared" si="12"/>
        <v>8.3124170831616329E-3</v>
      </c>
      <c r="G33" s="2"/>
      <c r="H33" s="6">
        <v>233.72680769230803</v>
      </c>
      <c r="I33" s="2"/>
      <c r="J33" s="7">
        <f t="shared" si="13"/>
        <v>5.0168886342471884E-3</v>
      </c>
      <c r="K33" s="2"/>
      <c r="L33" s="6">
        <f t="shared" si="14"/>
        <v>88.01319230769198</v>
      </c>
      <c r="M33" s="2"/>
      <c r="N33" s="7">
        <f t="shared" si="15"/>
        <v>0.37656438804211889</v>
      </c>
      <c r="O33" s="11"/>
      <c r="P33" s="6">
        <v>2426.1799999999998</v>
      </c>
      <c r="Q33" s="2"/>
      <c r="R33" s="7">
        <f t="shared" si="16"/>
        <v>1.0141026722423407E-2</v>
      </c>
      <c r="S33" s="2"/>
      <c r="T33" s="6">
        <v>2045.109567307695</v>
      </c>
      <c r="U33" s="2"/>
      <c r="V33" s="7">
        <f t="shared" si="17"/>
        <v>6.9203293403120409E-3</v>
      </c>
      <c r="W33" s="2"/>
      <c r="X33" s="6">
        <f t="shared" si="18"/>
        <v>381.07043269230485</v>
      </c>
      <c r="Y33" s="2"/>
      <c r="Z33" s="7">
        <f t="shared" si="19"/>
        <v>0.18633252652275684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278.35000000000002</v>
      </c>
      <c r="E34" s="2"/>
      <c r="F34" s="7">
        <f t="shared" si="12"/>
        <v>7.1914008053025448E-3</v>
      </c>
      <c r="G34" s="2"/>
      <c r="H34" s="6">
        <v>506.80960769230796</v>
      </c>
      <c r="I34" s="2"/>
      <c r="J34" s="7">
        <f t="shared" si="13"/>
        <v>1.0878543996142954E-2</v>
      </c>
      <c r="K34" s="2"/>
      <c r="L34" s="6">
        <f t="shared" si="14"/>
        <v>-228.45960769230794</v>
      </c>
      <c r="M34" s="2"/>
      <c r="N34" s="7">
        <f t="shared" si="15"/>
        <v>-0.45077994620616851</v>
      </c>
      <c r="O34" s="11"/>
      <c r="P34" s="6">
        <v>2229.39</v>
      </c>
      <c r="Q34" s="2"/>
      <c r="R34" s="7">
        <f t="shared" si="16"/>
        <v>9.3184774273563867E-3</v>
      </c>
      <c r="S34" s="2"/>
      <c r="T34" s="6">
        <v>3836.2667673076949</v>
      </c>
      <c r="U34" s="2"/>
      <c r="V34" s="7">
        <f t="shared" si="17"/>
        <v>1.2981323784042119E-2</v>
      </c>
      <c r="W34" s="2"/>
      <c r="X34" s="6">
        <f t="shared" si="18"/>
        <v>-1606.876767307695</v>
      </c>
      <c r="Y34" s="2"/>
      <c r="Z34" s="7">
        <f t="shared" si="19"/>
        <v>-0.41886471008777282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144.37</v>
      </c>
      <c r="E35" s="2"/>
      <c r="F35" s="7">
        <f t="shared" si="12"/>
        <v>3.7299174933052934E-3</v>
      </c>
      <c r="G35" s="2"/>
      <c r="H35" s="6"/>
      <c r="I35" s="2"/>
      <c r="J35" s="7">
        <f t="shared" si="13"/>
        <v>0</v>
      </c>
      <c r="K35" s="2"/>
      <c r="L35" s="6">
        <f t="shared" si="14"/>
        <v>144.37</v>
      </c>
      <c r="M35" s="2"/>
      <c r="N35" s="7">
        <f t="shared" si="15"/>
        <v>0</v>
      </c>
      <c r="O35" s="11"/>
      <c r="P35" s="6">
        <v>1033.6600000000001</v>
      </c>
      <c r="Q35" s="2"/>
      <c r="R35" s="7">
        <f t="shared" si="16"/>
        <v>4.3205259634075711E-3</v>
      </c>
      <c r="S35" s="2"/>
      <c r="T35" s="6"/>
      <c r="U35" s="2"/>
      <c r="V35" s="7">
        <f t="shared" si="17"/>
        <v>0</v>
      </c>
      <c r="W35" s="2"/>
      <c r="X35" s="6">
        <f t="shared" si="18"/>
        <v>1033.6600000000001</v>
      </c>
      <c r="Y35" s="2"/>
      <c r="Z35" s="7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15677.57</v>
      </c>
      <c r="E36" s="1"/>
      <c r="F36" s="5">
        <f t="shared" ref="F36:F46" si="20">IF(D$12=0,0,D36/D$12)</f>
        <v>0.40504289392199394</v>
      </c>
      <c r="G36" s="1"/>
      <c r="H36" s="1">
        <f>SUM(OSRRefH22_1x_0)</f>
        <v>13309.842538461542</v>
      </c>
      <c r="I36" s="1"/>
      <c r="J36" s="5">
        <f t="shared" ref="J36:J46" si="21">IF(H$12=0,0,H36/H$12)</f>
        <v>0.28569250747964159</v>
      </c>
      <c r="K36" s="1"/>
      <c r="L36" s="1">
        <f t="shared" ref="L36:L46" si="22">+D36-H36</f>
        <v>2367.7274615384576</v>
      </c>
      <c r="M36" s="1"/>
      <c r="N36" s="5">
        <f t="shared" ref="N36:N46" si="23">IF(H36=0,0,L36/H36)</f>
        <v>0.17789297316601752</v>
      </c>
      <c r="O36" s="13"/>
      <c r="P36" s="1">
        <f>SUM(OSRRefP22_1x_0)</f>
        <v>100776.17</v>
      </c>
      <c r="Q36" s="1"/>
      <c r="R36" s="5">
        <f t="shared" ref="R36:R46" si="24">IF(P$12=0,0,P36/P$12)</f>
        <v>0.42122753998198159</v>
      </c>
      <c r="S36" s="1"/>
      <c r="T36" s="1">
        <f>SUM(OSRRefT22_1x_0)</f>
        <v>96517.212211538455</v>
      </c>
      <c r="U36" s="1"/>
      <c r="V36" s="5">
        <f t="shared" ref="V36:V46" si="25">IF(T$12=0,0,T36/T$12)</f>
        <v>0.32659907624995249</v>
      </c>
      <c r="W36" s="1"/>
      <c r="X36" s="1">
        <f t="shared" ref="X36:X46" si="26">+P36-T36</f>
        <v>4258.9577884615428</v>
      </c>
      <c r="Y36" s="1"/>
      <c r="Z36" s="5">
        <f t="shared" ref="Z36:Z46" si="27">IF(T36=0,0,X36/T36)</f>
        <v>4.4126406999065733E-2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4674.62</v>
      </c>
      <c r="E38" s="2"/>
      <c r="F38" s="7">
        <f t="shared" si="20"/>
        <v>0.12077264606604411</v>
      </c>
      <c r="G38" s="2"/>
      <c r="H38" s="6">
        <v>4207.08253846154</v>
      </c>
      <c r="I38" s="2"/>
      <c r="J38" s="7">
        <f t="shared" si="21"/>
        <v>9.0303995416449304E-2</v>
      </c>
      <c r="K38" s="2"/>
      <c r="L38" s="6">
        <f t="shared" si="22"/>
        <v>467.53746153845987</v>
      </c>
      <c r="M38" s="2"/>
      <c r="N38" s="7">
        <f t="shared" si="23"/>
        <v>0.11113104087314402</v>
      </c>
      <c r="O38" s="11"/>
      <c r="P38" s="6">
        <v>38799.699999999997</v>
      </c>
      <c r="Q38" s="2"/>
      <c r="R38" s="7">
        <f t="shared" si="24"/>
        <v>0.16217625836583083</v>
      </c>
      <c r="S38" s="2"/>
      <c r="T38" s="6">
        <v>36811.972211538457</v>
      </c>
      <c r="U38" s="2"/>
      <c r="V38" s="7">
        <f t="shared" si="25"/>
        <v>0.12456592812561657</v>
      </c>
      <c r="W38" s="2"/>
      <c r="X38" s="6">
        <f t="shared" si="26"/>
        <v>1987.7277884615396</v>
      </c>
      <c r="Y38" s="2"/>
      <c r="Z38" s="7">
        <f t="shared" si="27"/>
        <v>5.3996775207781456E-2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688.67</v>
      </c>
      <c r="E40" s="2"/>
      <c r="F40" s="7">
        <f t="shared" si="20"/>
        <v>1.7792354922176047E-2</v>
      </c>
      <c r="G40" s="2"/>
      <c r="H40" s="6">
        <v>4531.12</v>
      </c>
      <c r="I40" s="2"/>
      <c r="J40" s="7">
        <f t="shared" si="21"/>
        <v>9.7259380097879281E-2</v>
      </c>
      <c r="K40" s="2"/>
      <c r="L40" s="6">
        <f t="shared" si="22"/>
        <v>-3842.45</v>
      </c>
      <c r="M40" s="2"/>
      <c r="N40" s="7">
        <f t="shared" si="23"/>
        <v>-0.84801329472624865</v>
      </c>
      <c r="O40" s="11"/>
      <c r="P40" s="6">
        <v>688.67</v>
      </c>
      <c r="Q40" s="2"/>
      <c r="R40" s="7">
        <f t="shared" si="24"/>
        <v>2.8785254486193637E-3</v>
      </c>
      <c r="S40" s="2"/>
      <c r="T40" s="6">
        <v>31582.73</v>
      </c>
      <c r="U40" s="2"/>
      <c r="V40" s="7">
        <f t="shared" si="25"/>
        <v>0.10687099437605321</v>
      </c>
      <c r="W40" s="2"/>
      <c r="X40" s="6">
        <f t="shared" si="26"/>
        <v>-30894.06</v>
      </c>
      <c r="Y40" s="2"/>
      <c r="Z40" s="7">
        <f t="shared" si="27"/>
        <v>-0.97819472857476231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3894.88</v>
      </c>
      <c r="E41" s="2"/>
      <c r="F41" s="7">
        <f t="shared" si="20"/>
        <v>0.10062742291559826</v>
      </c>
      <c r="G41" s="2"/>
      <c r="H41" s="6">
        <v>826.2</v>
      </c>
      <c r="I41" s="2"/>
      <c r="J41" s="7">
        <f t="shared" si="21"/>
        <v>1.7734180475658969E-2</v>
      </c>
      <c r="K41" s="2"/>
      <c r="L41" s="6">
        <f t="shared" si="22"/>
        <v>3068.6800000000003</v>
      </c>
      <c r="M41" s="2"/>
      <c r="N41" s="7">
        <f t="shared" si="23"/>
        <v>3.7142096344710724</v>
      </c>
      <c r="O41" s="11"/>
      <c r="P41" s="6">
        <v>25476.84</v>
      </c>
      <c r="Q41" s="2"/>
      <c r="R41" s="7">
        <f t="shared" si="24"/>
        <v>0.10648893125938948</v>
      </c>
      <c r="S41" s="2"/>
      <c r="T41" s="6">
        <v>4867.95</v>
      </c>
      <c r="U41" s="2"/>
      <c r="V41" s="7">
        <f t="shared" si="25"/>
        <v>1.6472377691001006E-2</v>
      </c>
      <c r="W41" s="2"/>
      <c r="X41" s="6">
        <f t="shared" si="26"/>
        <v>20608.89</v>
      </c>
      <c r="Y41" s="2"/>
      <c r="Z41" s="7">
        <f t="shared" si="27"/>
        <v>4.23358703355622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5580.51</v>
      </c>
      <c r="E43" s="2"/>
      <c r="F43" s="7">
        <f t="shared" si="20"/>
        <v>0.14417705804921468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5580.51</v>
      </c>
      <c r="M43" s="2"/>
      <c r="N43" s="7">
        <f t="shared" si="23"/>
        <v>0</v>
      </c>
      <c r="O43" s="11"/>
      <c r="P43" s="6">
        <v>32382.57</v>
      </c>
      <c r="Q43" s="2"/>
      <c r="R43" s="7">
        <f t="shared" si="24"/>
        <v>0.13535372796360803</v>
      </c>
      <c r="S43" s="2"/>
      <c r="T43" s="6">
        <v>3720</v>
      </c>
      <c r="U43" s="2"/>
      <c r="V43" s="7">
        <f t="shared" si="25"/>
        <v>1.2587895317438296E-2</v>
      </c>
      <c r="W43" s="2"/>
      <c r="X43" s="6">
        <f t="shared" si="26"/>
        <v>28662.57</v>
      </c>
      <c r="Y43" s="2"/>
      <c r="Z43" s="7">
        <f t="shared" si="27"/>
        <v>7.7049919354838705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838.89</v>
      </c>
      <c r="E44" s="2"/>
      <c r="F44" s="7">
        <f t="shared" si="20"/>
        <v>2.1673411968960846E-2</v>
      </c>
      <c r="G44" s="2"/>
      <c r="H44" s="6">
        <v>3745.44</v>
      </c>
      <c r="I44" s="2"/>
      <c r="J44" s="7">
        <f t="shared" si="21"/>
        <v>8.039495148965399E-2</v>
      </c>
      <c r="K44" s="2"/>
      <c r="L44" s="6">
        <f t="shared" si="22"/>
        <v>-2906.55</v>
      </c>
      <c r="M44" s="2"/>
      <c r="N44" s="7">
        <f t="shared" si="23"/>
        <v>-0.77602364475201846</v>
      </c>
      <c r="O44" s="11"/>
      <c r="P44" s="6">
        <v>3428.39</v>
      </c>
      <c r="Q44" s="2"/>
      <c r="R44" s="7">
        <f t="shared" si="24"/>
        <v>1.433009694453387E-2</v>
      </c>
      <c r="S44" s="2"/>
      <c r="T44" s="6">
        <v>19534.560000000001</v>
      </c>
      <c r="U44" s="2"/>
      <c r="V44" s="7">
        <f t="shared" si="25"/>
        <v>6.6101880739843397E-2</v>
      </c>
      <c r="W44" s="2"/>
      <c r="X44" s="6">
        <f t="shared" si="26"/>
        <v>-16106.170000000002</v>
      </c>
      <c r="Y44" s="2"/>
      <c r="Z44" s="7">
        <f t="shared" si="27"/>
        <v>-0.82449617498423311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335.3</v>
      </c>
      <c r="E47" s="1"/>
      <c r="F47" s="5">
        <f t="shared" ref="F47:F62" si="28">IF(D$12=0,0,D47/D$12)</f>
        <v>8.6627508173807918E-3</v>
      </c>
      <c r="G47" s="1"/>
      <c r="H47" s="1">
        <f>SUM(OSRRefH22_2x_0)</f>
        <v>75</v>
      </c>
      <c r="I47" s="1"/>
      <c r="J47" s="5">
        <f t="shared" ref="J47:J62" si="29">IF(H$12=0,0,H47/H$12)</f>
        <v>1.6098566154374517E-3</v>
      </c>
      <c r="K47" s="1"/>
      <c r="L47" s="1">
        <f t="shared" ref="L47:L62" si="30">+D47-H47</f>
        <v>260.3</v>
      </c>
      <c r="M47" s="1"/>
      <c r="N47" s="5">
        <f t="shared" ref="N47:N62" si="31">IF(H47=0,0,L47/H47)</f>
        <v>3.4706666666666668</v>
      </c>
      <c r="O47" s="13"/>
      <c r="P47" s="1">
        <f>SUM(OSRRefP22_2x_0)</f>
        <v>2599.63</v>
      </c>
      <c r="Q47" s="1"/>
      <c r="R47" s="5">
        <f t="shared" ref="R47:R62" si="32">IF(P$12=0,0,P47/P$12)</f>
        <v>1.0866018720133529E-2</v>
      </c>
      <c r="S47" s="1"/>
      <c r="T47" s="1">
        <f>SUM(OSRRefT22_2x_0)</f>
        <v>900</v>
      </c>
      <c r="U47" s="1"/>
      <c r="V47" s="5">
        <f t="shared" ref="V47:V62" si="33">IF(T$12=0,0,T47/T$12)</f>
        <v>3.045458544541523E-3</v>
      </c>
      <c r="W47" s="1"/>
      <c r="X47" s="1">
        <f t="shared" ref="X47:X62" si="34">+P47-T47</f>
        <v>1699.63</v>
      </c>
      <c r="Y47" s="1"/>
      <c r="Z47" s="5">
        <f t="shared" ref="Z47:Z62" si="35">IF(T47=0,0,X47/T47)</f>
        <v>1.8884777777777779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335.3</v>
      </c>
      <c r="E48" s="2"/>
      <c r="F48" s="7">
        <f t="shared" si="28"/>
        <v>8.6627508173807918E-3</v>
      </c>
      <c r="G48" s="2"/>
      <c r="H48" s="6">
        <v>75</v>
      </c>
      <c r="I48" s="2"/>
      <c r="J48" s="7">
        <f t="shared" si="29"/>
        <v>1.6098566154374517E-3</v>
      </c>
      <c r="K48" s="2"/>
      <c r="L48" s="6">
        <f t="shared" si="30"/>
        <v>260.3</v>
      </c>
      <c r="M48" s="2"/>
      <c r="N48" s="7">
        <f t="shared" si="31"/>
        <v>3.4706666666666668</v>
      </c>
      <c r="O48" s="11"/>
      <c r="P48" s="6">
        <v>2599.63</v>
      </c>
      <c r="Q48" s="2"/>
      <c r="R48" s="7">
        <f t="shared" si="32"/>
        <v>1.0866018720133529E-2</v>
      </c>
      <c r="S48" s="2"/>
      <c r="T48" s="6">
        <v>900</v>
      </c>
      <c r="U48" s="2"/>
      <c r="V48" s="7">
        <f t="shared" si="33"/>
        <v>3.045458544541523E-3</v>
      </c>
      <c r="W48" s="2"/>
      <c r="X48" s="6">
        <f t="shared" si="34"/>
        <v>1699.63</v>
      </c>
      <c r="Y48" s="2"/>
      <c r="Z48" s="7">
        <f t="shared" si="35"/>
        <v>1.8884777777777779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0.45</v>
      </c>
      <c r="E49" s="1"/>
      <c r="F49" s="5">
        <f t="shared" si="28"/>
        <v>1.1626119498423371E-5</v>
      </c>
      <c r="G49" s="1"/>
      <c r="H49" s="1">
        <f>SUM(OSRRefH22_3x_0)</f>
        <v>20</v>
      </c>
      <c r="I49" s="1"/>
      <c r="J49" s="5">
        <f t="shared" si="29"/>
        <v>4.292950974499871E-4</v>
      </c>
      <c r="K49" s="1"/>
      <c r="L49" s="1">
        <f t="shared" si="30"/>
        <v>-19.55</v>
      </c>
      <c r="M49" s="1"/>
      <c r="N49" s="5">
        <f t="shared" si="31"/>
        <v>-0.97750000000000004</v>
      </c>
      <c r="O49" s="13"/>
      <c r="P49" s="1">
        <f>SUM(OSRRefP22_3x_0)</f>
        <v>-48.07</v>
      </c>
      <c r="Q49" s="1"/>
      <c r="R49" s="5">
        <f t="shared" si="32"/>
        <v>-2.0092456229417981E-4</v>
      </c>
      <c r="S49" s="1"/>
      <c r="T49" s="1">
        <f>SUM(OSRRefT22_3x_0)</f>
        <v>160</v>
      </c>
      <c r="U49" s="1"/>
      <c r="V49" s="5">
        <f t="shared" si="33"/>
        <v>5.4141485236293744E-4</v>
      </c>
      <c r="W49" s="1"/>
      <c r="X49" s="1">
        <f t="shared" si="34"/>
        <v>-208.07</v>
      </c>
      <c r="Y49" s="1"/>
      <c r="Z49" s="5">
        <f t="shared" si="35"/>
        <v>-1.3004374999999999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0.45</v>
      </c>
      <c r="E50" s="2"/>
      <c r="F50" s="7">
        <f t="shared" si="28"/>
        <v>1.1626119498423371E-5</v>
      </c>
      <c r="G50" s="2"/>
      <c r="H50" s="6">
        <v>20</v>
      </c>
      <c r="I50" s="2"/>
      <c r="J50" s="7">
        <f t="shared" si="29"/>
        <v>4.292950974499871E-4</v>
      </c>
      <c r="K50" s="2"/>
      <c r="L50" s="6">
        <f t="shared" si="30"/>
        <v>-19.55</v>
      </c>
      <c r="M50" s="2"/>
      <c r="N50" s="7">
        <f t="shared" si="31"/>
        <v>-0.97750000000000004</v>
      </c>
      <c r="O50" s="11"/>
      <c r="P50" s="6">
        <v>-48.07</v>
      </c>
      <c r="Q50" s="2"/>
      <c r="R50" s="7">
        <f t="shared" si="32"/>
        <v>-2.0092456229417981E-4</v>
      </c>
      <c r="S50" s="2"/>
      <c r="T50" s="6">
        <v>160</v>
      </c>
      <c r="U50" s="2"/>
      <c r="V50" s="7">
        <f t="shared" si="33"/>
        <v>5.4141485236293744E-4</v>
      </c>
      <c r="W50" s="2"/>
      <c r="X50" s="6">
        <f t="shared" si="34"/>
        <v>-208.07</v>
      </c>
      <c r="Y50" s="2"/>
      <c r="Z50" s="7">
        <f t="shared" si="35"/>
        <v>-1.3004374999999999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1061.6099999999999</v>
      </c>
      <c r="E51" s="1"/>
      <c r="F51" s="5">
        <f t="shared" si="28"/>
        <v>2.7427566046047184E-2</v>
      </c>
      <c r="G51" s="1"/>
      <c r="H51" s="1">
        <f>SUM(OSRRefH22_4x_0)</f>
        <v>800</v>
      </c>
      <c r="I51" s="1"/>
      <c r="J51" s="5">
        <f t="shared" si="29"/>
        <v>1.7171803897999483E-2</v>
      </c>
      <c r="K51" s="1"/>
      <c r="L51" s="1">
        <f t="shared" si="30"/>
        <v>261.6099999999999</v>
      </c>
      <c r="M51" s="1"/>
      <c r="N51" s="5">
        <f t="shared" si="31"/>
        <v>0.32701249999999987</v>
      </c>
      <c r="O51" s="13"/>
      <c r="P51" s="1">
        <f>SUM(OSRRefP22_4x_0)</f>
        <v>8964.74</v>
      </c>
      <c r="Q51" s="1"/>
      <c r="R51" s="5">
        <f t="shared" si="32"/>
        <v>3.7471114220535166E-2</v>
      </c>
      <c r="S51" s="1"/>
      <c r="T51" s="1">
        <f>SUM(OSRRefT22_4x_0)</f>
        <v>7100</v>
      </c>
      <c r="U51" s="1"/>
      <c r="V51" s="5">
        <f t="shared" si="33"/>
        <v>2.4025284073605348E-2</v>
      </c>
      <c r="W51" s="1"/>
      <c r="X51" s="1">
        <f t="shared" si="34"/>
        <v>1864.7399999999998</v>
      </c>
      <c r="Y51" s="1"/>
      <c r="Z51" s="5">
        <f t="shared" si="35"/>
        <v>0.26263943661971828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1061.6099999999999</v>
      </c>
      <c r="E52" s="2"/>
      <c r="F52" s="7">
        <f t="shared" si="28"/>
        <v>2.7427566046047184E-2</v>
      </c>
      <c r="G52" s="2"/>
      <c r="H52" s="6">
        <v>800</v>
      </c>
      <c r="I52" s="2"/>
      <c r="J52" s="7">
        <f t="shared" si="29"/>
        <v>1.7171803897999483E-2</v>
      </c>
      <c r="K52" s="2"/>
      <c r="L52" s="6">
        <f t="shared" si="30"/>
        <v>261.6099999999999</v>
      </c>
      <c r="M52" s="2"/>
      <c r="N52" s="7">
        <f t="shared" si="31"/>
        <v>0.32701249999999987</v>
      </c>
      <c r="O52" s="11"/>
      <c r="P52" s="6">
        <v>8964.74</v>
      </c>
      <c r="Q52" s="2"/>
      <c r="R52" s="7">
        <f t="shared" si="32"/>
        <v>3.7471114220535166E-2</v>
      </c>
      <c r="S52" s="2"/>
      <c r="T52" s="6">
        <v>7100</v>
      </c>
      <c r="U52" s="2"/>
      <c r="V52" s="7">
        <f t="shared" si="33"/>
        <v>2.4025284073605348E-2</v>
      </c>
      <c r="W52" s="2"/>
      <c r="X52" s="6">
        <f t="shared" si="34"/>
        <v>1864.7399999999998</v>
      </c>
      <c r="Y52" s="2"/>
      <c r="Z52" s="7">
        <f t="shared" si="35"/>
        <v>0.26263943661971828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1.6281992820225317E-2</v>
      </c>
      <c r="G53" s="1"/>
      <c r="H53" s="1">
        <f>SUM(OSRRefH22_5x_0)</f>
        <v>636</v>
      </c>
      <c r="I53" s="1"/>
      <c r="J53" s="5">
        <f t="shared" si="29"/>
        <v>1.365158409890959E-2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5041.68</v>
      </c>
      <c r="Q53" s="1"/>
      <c r="R53" s="5">
        <f t="shared" si="32"/>
        <v>2.1073379388960277E-2</v>
      </c>
      <c r="S53" s="1"/>
      <c r="T53" s="1">
        <f>SUM(OSRRefT22_5x_0)</f>
        <v>5088</v>
      </c>
      <c r="U53" s="1"/>
      <c r="V53" s="5">
        <f t="shared" si="33"/>
        <v>1.7216992305141409E-2</v>
      </c>
      <c r="W53" s="1"/>
      <c r="X53" s="1">
        <f t="shared" si="34"/>
        <v>-46.319999999999709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630.21</v>
      </c>
      <c r="E54" s="2"/>
      <c r="F54" s="7">
        <f t="shared" si="28"/>
        <v>1.6281992820225317E-2</v>
      </c>
      <c r="G54" s="2"/>
      <c r="H54" s="6">
        <v>636</v>
      </c>
      <c r="I54" s="2"/>
      <c r="J54" s="7">
        <f t="shared" si="29"/>
        <v>1.365158409890959E-2</v>
      </c>
      <c r="K54" s="2"/>
      <c r="L54" s="6">
        <f t="shared" si="30"/>
        <v>-5.7899999999999636</v>
      </c>
      <c r="M54" s="2"/>
      <c r="N54" s="7">
        <f t="shared" si="31"/>
        <v>-9.1037735849056039E-3</v>
      </c>
      <c r="O54" s="11"/>
      <c r="P54" s="6">
        <v>5041.68</v>
      </c>
      <c r="Q54" s="2"/>
      <c r="R54" s="7">
        <f t="shared" si="32"/>
        <v>2.1073379388960277E-2</v>
      </c>
      <c r="S54" s="2"/>
      <c r="T54" s="6">
        <v>5088</v>
      </c>
      <c r="U54" s="2"/>
      <c r="V54" s="7">
        <f t="shared" si="33"/>
        <v>1.7216992305141409E-2</v>
      </c>
      <c r="W54" s="2"/>
      <c r="X54" s="6">
        <f t="shared" si="34"/>
        <v>-46.319999999999709</v>
      </c>
      <c r="Y54" s="2"/>
      <c r="Z54" s="7">
        <f t="shared" si="35"/>
        <v>-9.1037735849056039E-3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SUM(OSRRefP22_6x_0)</f>
        <v>0</v>
      </c>
      <c r="Q55" s="1"/>
      <c r="R55" s="5">
        <f t="shared" si="32"/>
        <v>0</v>
      </c>
      <c r="S55" s="1"/>
      <c r="T55" s="1">
        <f>SUM(OSRRefT22_6x_0)</f>
        <v>250</v>
      </c>
      <c r="U55" s="1"/>
      <c r="V55" s="5">
        <f t="shared" si="33"/>
        <v>8.4596070681708976E-4</v>
      </c>
      <c r="W55" s="1"/>
      <c r="X55" s="1">
        <f t="shared" si="34"/>
        <v>-250</v>
      </c>
      <c r="Y55" s="1"/>
      <c r="Z55" s="5">
        <f t="shared" si="35"/>
        <v>-1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/>
      <c r="Q56" s="2"/>
      <c r="R56" s="7">
        <f t="shared" si="32"/>
        <v>0</v>
      </c>
      <c r="S56" s="2"/>
      <c r="T56" s="6">
        <v>250</v>
      </c>
      <c r="U56" s="2"/>
      <c r="V56" s="7">
        <f t="shared" si="33"/>
        <v>8.4596070681708976E-4</v>
      </c>
      <c r="W56" s="2"/>
      <c r="X56" s="6">
        <f t="shared" si="34"/>
        <v>-250</v>
      </c>
      <c r="Y56" s="2"/>
      <c r="Z56" s="7">
        <f t="shared" si="35"/>
        <v>-1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17.399999999999999</v>
      </c>
      <c r="E57" s="1"/>
      <c r="F57" s="5">
        <f t="shared" si="28"/>
        <v>4.4954328727237028E-4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17.399999999999999</v>
      </c>
      <c r="M57" s="1"/>
      <c r="N57" s="5">
        <f t="shared" si="31"/>
        <v>0</v>
      </c>
      <c r="O57" s="13"/>
      <c r="P57" s="1">
        <f>SUM(OSRRefP22_7x_0)</f>
        <v>892.15</v>
      </c>
      <c r="Q57" s="1"/>
      <c r="R57" s="5">
        <f t="shared" si="32"/>
        <v>3.7290378250624612E-3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892.15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>
        <v>17.399999999999999</v>
      </c>
      <c r="E58" s="2"/>
      <c r="F58" s="7">
        <f t="shared" si="28"/>
        <v>4.4954328727237028E-4</v>
      </c>
      <c r="G58" s="2"/>
      <c r="H58" s="6"/>
      <c r="I58" s="2"/>
      <c r="J58" s="7">
        <f t="shared" si="29"/>
        <v>0</v>
      </c>
      <c r="K58" s="2"/>
      <c r="L58" s="6">
        <f t="shared" si="30"/>
        <v>17.399999999999999</v>
      </c>
      <c r="M58" s="2"/>
      <c r="N58" s="7">
        <f t="shared" si="31"/>
        <v>0</v>
      </c>
      <c r="O58" s="11"/>
      <c r="P58" s="6">
        <v>892.15</v>
      </c>
      <c r="Q58" s="2"/>
      <c r="R58" s="7">
        <f t="shared" si="32"/>
        <v>3.7290378250624612E-3</v>
      </c>
      <c r="S58" s="2"/>
      <c r="T58" s="6"/>
      <c r="U58" s="2"/>
      <c r="V58" s="7">
        <f t="shared" si="33"/>
        <v>0</v>
      </c>
      <c r="W58" s="2"/>
      <c r="X58" s="6">
        <f t="shared" si="34"/>
        <v>892.15</v>
      </c>
      <c r="Y58" s="2"/>
      <c r="Z58" s="7">
        <f t="shared" si="35"/>
        <v>0</v>
      </c>
    </row>
    <row r="59" spans="1:26" s="27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262</v>
      </c>
      <c r="E59" s="1"/>
      <c r="F59" s="5">
        <f t="shared" si="28"/>
        <v>6.7689851301931617E-3</v>
      </c>
      <c r="G59" s="1"/>
      <c r="H59" s="1">
        <f>SUM(OSRRefH22_8x_0)</f>
        <v>0</v>
      </c>
      <c r="I59" s="1"/>
      <c r="J59" s="5">
        <f t="shared" si="29"/>
        <v>0</v>
      </c>
      <c r="K59" s="1"/>
      <c r="L59" s="1">
        <f t="shared" si="30"/>
        <v>262</v>
      </c>
      <c r="M59" s="1"/>
      <c r="N59" s="5">
        <f t="shared" si="31"/>
        <v>0</v>
      </c>
      <c r="O59" s="13"/>
      <c r="P59" s="1">
        <f>SUM(OSRRefP22_8x_0)</f>
        <v>8711.36</v>
      </c>
      <c r="Q59" s="1"/>
      <c r="R59" s="5">
        <f t="shared" si="32"/>
        <v>3.6412028187789193E-2</v>
      </c>
      <c r="S59" s="1"/>
      <c r="T59" s="1">
        <f>SUM(OSRRefT22_8x_0)</f>
        <v>0</v>
      </c>
      <c r="U59" s="1"/>
      <c r="V59" s="5">
        <f t="shared" si="33"/>
        <v>0</v>
      </c>
      <c r="W59" s="1"/>
      <c r="X59" s="1">
        <f t="shared" si="34"/>
        <v>8711.36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874.62</v>
      </c>
      <c r="Q60" s="2"/>
      <c r="R60" s="7">
        <f t="shared" si="32"/>
        <v>3.6557653562249957E-3</v>
      </c>
      <c r="S60" s="2"/>
      <c r="T60" s="6"/>
      <c r="U60" s="2"/>
      <c r="V60" s="7">
        <f t="shared" si="33"/>
        <v>0</v>
      </c>
      <c r="W60" s="2"/>
      <c r="X60" s="6">
        <f t="shared" si="34"/>
        <v>874.62</v>
      </c>
      <c r="Y60" s="2"/>
      <c r="Z60" s="7">
        <f t="shared" si="35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866.22</v>
      </c>
      <c r="Q61" s="2"/>
      <c r="R61" s="7">
        <f t="shared" si="32"/>
        <v>3.620654760775212E-3</v>
      </c>
      <c r="S61" s="2"/>
      <c r="T61" s="6"/>
      <c r="U61" s="2"/>
      <c r="V61" s="7">
        <f t="shared" si="33"/>
        <v>0</v>
      </c>
      <c r="W61" s="2"/>
      <c r="X61" s="6">
        <f t="shared" si="34"/>
        <v>866.22</v>
      </c>
      <c r="Y61" s="2"/>
      <c r="Z61" s="7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262</v>
      </c>
      <c r="E62" s="2"/>
      <c r="F62" s="7">
        <f t="shared" si="28"/>
        <v>6.7689851301931617E-3</v>
      </c>
      <c r="G62" s="2"/>
      <c r="H62" s="6"/>
      <c r="I62" s="2"/>
      <c r="J62" s="7">
        <f t="shared" si="29"/>
        <v>0</v>
      </c>
      <c r="K62" s="2"/>
      <c r="L62" s="6">
        <f t="shared" si="30"/>
        <v>262</v>
      </c>
      <c r="M62" s="2"/>
      <c r="N62" s="7">
        <f t="shared" si="31"/>
        <v>0</v>
      </c>
      <c r="O62" s="11"/>
      <c r="P62" s="6">
        <v>6970.52</v>
      </c>
      <c r="Q62" s="2"/>
      <c r="R62" s="7">
        <f t="shared" si="32"/>
        <v>2.9135608070788983E-2</v>
      </c>
      <c r="S62" s="2"/>
      <c r="T62" s="6"/>
      <c r="U62" s="2"/>
      <c r="V62" s="7">
        <f t="shared" si="33"/>
        <v>0</v>
      </c>
      <c r="W62" s="2"/>
      <c r="X62" s="6">
        <f t="shared" si="34"/>
        <v>6970.52</v>
      </c>
      <c r="Y62" s="2"/>
      <c r="Z62" s="7">
        <f t="shared" si="35"/>
        <v>0</v>
      </c>
    </row>
    <row r="63" spans="1:26" s="27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SUM(OSRRefD22_9x_0)</f>
        <v>105.2</v>
      </c>
      <c r="E63" s="1"/>
      <c r="F63" s="5">
        <f t="shared" ref="F63:F65" si="36">IF(D$12=0,0,D63/D$12)</f>
        <v>2.7179283805203081E-3</v>
      </c>
      <c r="G63" s="1"/>
      <c r="H63" s="1">
        <f>SUM(OSRRefH22_9x_0)</f>
        <v>0</v>
      </c>
      <c r="I63" s="1"/>
      <c r="J63" s="5">
        <f t="shared" ref="J63:J65" si="37">IF(H$12=0,0,H63/H$12)</f>
        <v>0</v>
      </c>
      <c r="K63" s="1"/>
      <c r="L63" s="1">
        <f t="shared" ref="L63:L65" si="38">+D63-H63</f>
        <v>105.2</v>
      </c>
      <c r="M63" s="1"/>
      <c r="N63" s="5">
        <f t="shared" ref="N63:N65" si="39">IF(H63=0,0,L63/H63)</f>
        <v>0</v>
      </c>
      <c r="O63" s="13"/>
      <c r="P63" s="1">
        <f>SUM(OSRRefP22_9x_0)</f>
        <v>951.42</v>
      </c>
      <c r="Q63" s="1"/>
      <c r="R63" s="5">
        <f t="shared" ref="R63:R65" si="40">IF(P$12=0,0,P63/P$12)</f>
        <v>3.97677651462302E-3</v>
      </c>
      <c r="S63" s="1"/>
      <c r="T63" s="1">
        <f>SUM(OSRRefT22_9x_0)</f>
        <v>90</v>
      </c>
      <c r="U63" s="1"/>
      <c r="V63" s="5">
        <f t="shared" ref="V63:V65" si="41">IF(T$12=0,0,T63/T$12)</f>
        <v>3.0454585445415232E-4</v>
      </c>
      <c r="W63" s="1"/>
      <c r="X63" s="1">
        <f t="shared" ref="X63:X65" si="42">+P63-T63</f>
        <v>861.42</v>
      </c>
      <c r="Y63" s="1"/>
      <c r="Z63" s="5">
        <f t="shared" ref="Z63:Z65" si="43">IF(T63=0,0,X63/T63)</f>
        <v>9.5713333333333335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348</v>
      </c>
      <c r="Q64" s="2"/>
      <c r="R64" s="7">
        <f t="shared" si="40"/>
        <v>1.4545818114910459E-3</v>
      </c>
      <c r="S64" s="2"/>
      <c r="T64" s="6"/>
      <c r="U64" s="2"/>
      <c r="V64" s="7">
        <f t="shared" si="41"/>
        <v>0</v>
      </c>
      <c r="W64" s="2"/>
      <c r="X64" s="6">
        <f t="shared" si="42"/>
        <v>348</v>
      </c>
      <c r="Y64" s="2"/>
      <c r="Z64" s="7">
        <f t="shared" si="43"/>
        <v>0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6">
        <v>105.2</v>
      </c>
      <c r="E65" s="2"/>
      <c r="F65" s="7">
        <f t="shared" si="36"/>
        <v>2.7179283805203081E-3</v>
      </c>
      <c r="G65" s="2"/>
      <c r="H65" s="6"/>
      <c r="I65" s="2"/>
      <c r="J65" s="7">
        <f t="shared" si="37"/>
        <v>0</v>
      </c>
      <c r="K65" s="2"/>
      <c r="L65" s="6">
        <f t="shared" si="38"/>
        <v>105.2</v>
      </c>
      <c r="M65" s="2"/>
      <c r="N65" s="7">
        <f t="shared" si="39"/>
        <v>0</v>
      </c>
      <c r="O65" s="11"/>
      <c r="P65" s="6">
        <v>603.41999999999996</v>
      </c>
      <c r="Q65" s="2"/>
      <c r="R65" s="7">
        <f t="shared" si="40"/>
        <v>2.5221947031319738E-3</v>
      </c>
      <c r="S65" s="2"/>
      <c r="T65" s="6">
        <v>90</v>
      </c>
      <c r="U65" s="2"/>
      <c r="V65" s="7">
        <f t="shared" si="41"/>
        <v>3.0454585445415232E-4</v>
      </c>
      <c r="W65" s="2"/>
      <c r="X65" s="6">
        <f t="shared" si="42"/>
        <v>513.41999999999996</v>
      </c>
      <c r="Y65" s="2"/>
      <c r="Z65" s="7">
        <f t="shared" si="43"/>
        <v>5.7046666666666663</v>
      </c>
    </row>
    <row r="66" spans="1:26" s="27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613.12</v>
      </c>
      <c r="E66" s="1"/>
      <c r="F66" s="5">
        <f t="shared" ref="F66:F73" si="44">IF(D$12=0,0,D66/D$12)</f>
        <v>1.5840458637496304E-2</v>
      </c>
      <c r="G66" s="1"/>
      <c r="H66" s="1">
        <f>SUM(OSRRefH22_10x_0)</f>
        <v>505</v>
      </c>
      <c r="I66" s="1"/>
      <c r="J66" s="5">
        <f t="shared" ref="J66:J73" si="45">IF(H$12=0,0,H66/H$12)</f>
        <v>1.0839701210612175E-2</v>
      </c>
      <c r="K66" s="1"/>
      <c r="L66" s="1">
        <f t="shared" ref="L66:L73" si="46">+D66-H66</f>
        <v>108.12</v>
      </c>
      <c r="M66" s="1"/>
      <c r="N66" s="5">
        <f t="shared" ref="N66:N73" si="47">IF(H66=0,0,L66/H66)</f>
        <v>0.21409900990099009</v>
      </c>
      <c r="O66" s="13"/>
      <c r="P66" s="1">
        <f>SUM(OSRRefP22_10x_0)</f>
        <v>4413.5</v>
      </c>
      <c r="Q66" s="1"/>
      <c r="R66" s="5">
        <f t="shared" ref="R66:R73" si="48">IF(P$12=0,0,P66/P$12)</f>
        <v>1.8447692025907274E-2</v>
      </c>
      <c r="S66" s="1"/>
      <c r="T66" s="1">
        <f>SUM(OSRRefT22_10x_0)</f>
        <v>4725</v>
      </c>
      <c r="U66" s="1"/>
      <c r="V66" s="5">
        <f t="shared" ref="V66:V73" si="49">IF(T$12=0,0,T66/T$12)</f>
        <v>1.5988657358842997E-2</v>
      </c>
      <c r="W66" s="1"/>
      <c r="X66" s="1">
        <f t="shared" ref="X66:X73" si="50">+P66-T66</f>
        <v>-311.5</v>
      </c>
      <c r="Y66" s="1"/>
      <c r="Z66" s="5">
        <f t="shared" ref="Z66:Z73" si="51">IF(T66=0,0,X66/T66)</f>
        <v>-6.5925925925925929E-2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240</v>
      </c>
      <c r="U67" s="2"/>
      <c r="V67" s="7">
        <f t="shared" si="49"/>
        <v>8.1212227854440616E-4</v>
      </c>
      <c r="W67" s="2"/>
      <c r="X67" s="6">
        <f t="shared" si="50"/>
        <v>-240</v>
      </c>
      <c r="Y67" s="2"/>
      <c r="Z67" s="7">
        <f t="shared" si="51"/>
        <v>-1</v>
      </c>
    </row>
    <row r="68" spans="1:26" s="24" customFormat="1" hidden="1" outlineLevel="2" x14ac:dyDescent="0.25">
      <c r="A68" s="25"/>
      <c r="B68" s="11" t="str">
        <f>CONCATENATE("          ", "6239", " - ", "KITCHEN SUPPLIES")</f>
        <v xml:space="preserve">          6239 - KITCHEN SUPPLIES</v>
      </c>
      <c r="C68" s="11"/>
      <c r="D68" s="6">
        <v>419.42</v>
      </c>
      <c r="E68" s="2"/>
      <c r="F68" s="7">
        <f t="shared" si="44"/>
        <v>1.0836060088952734E-2</v>
      </c>
      <c r="G68" s="2"/>
      <c r="H68" s="6">
        <v>30</v>
      </c>
      <c r="I68" s="2"/>
      <c r="J68" s="7">
        <f t="shared" si="45"/>
        <v>6.4394264617498071E-4</v>
      </c>
      <c r="K68" s="2"/>
      <c r="L68" s="6">
        <f t="shared" si="46"/>
        <v>389.42</v>
      </c>
      <c r="M68" s="2"/>
      <c r="N68" s="7">
        <f t="shared" si="47"/>
        <v>12.980666666666668</v>
      </c>
      <c r="O68" s="11"/>
      <c r="P68" s="6">
        <v>960.31</v>
      </c>
      <c r="Q68" s="2"/>
      <c r="R68" s="7">
        <f t="shared" si="48"/>
        <v>4.0139352281407074E-3</v>
      </c>
      <c r="S68" s="2"/>
      <c r="T68" s="6">
        <v>690</v>
      </c>
      <c r="U68" s="2"/>
      <c r="V68" s="7">
        <f t="shared" si="49"/>
        <v>2.3348515508151675E-3</v>
      </c>
      <c r="W68" s="2"/>
      <c r="X68" s="6">
        <f t="shared" si="50"/>
        <v>270.30999999999995</v>
      </c>
      <c r="Y68" s="2"/>
      <c r="Z68" s="7">
        <f t="shared" si="51"/>
        <v>0.39175362318840573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4.07</v>
      </c>
      <c r="E69" s="2"/>
      <c r="F69" s="7">
        <f t="shared" si="44"/>
        <v>1.0515179190796249E-4</v>
      </c>
      <c r="G69" s="2"/>
      <c r="H69" s="6"/>
      <c r="I69" s="2"/>
      <c r="J69" s="7">
        <f t="shared" si="45"/>
        <v>0</v>
      </c>
      <c r="K69" s="2"/>
      <c r="L69" s="6">
        <f t="shared" si="46"/>
        <v>4.07</v>
      </c>
      <c r="M69" s="2"/>
      <c r="N69" s="7">
        <f t="shared" si="47"/>
        <v>0</v>
      </c>
      <c r="O69" s="11"/>
      <c r="P69" s="6">
        <v>1153.24</v>
      </c>
      <c r="Q69" s="2"/>
      <c r="R69" s="7">
        <f t="shared" si="48"/>
        <v>4.820350368631994E-3</v>
      </c>
      <c r="S69" s="2"/>
      <c r="T69" s="6">
        <v>390</v>
      </c>
      <c r="U69" s="2"/>
      <c r="V69" s="7">
        <f t="shared" si="49"/>
        <v>1.3196987026346601E-3</v>
      </c>
      <c r="W69" s="2"/>
      <c r="X69" s="6">
        <f t="shared" si="50"/>
        <v>763.24</v>
      </c>
      <c r="Y69" s="2"/>
      <c r="Z69" s="7">
        <f t="shared" si="51"/>
        <v>1.957025641025641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>
        <v>189.63</v>
      </c>
      <c r="E70" s="2"/>
      <c r="F70" s="7">
        <f t="shared" si="44"/>
        <v>4.8992467566356078E-3</v>
      </c>
      <c r="G70" s="2"/>
      <c r="H70" s="6">
        <v>330</v>
      </c>
      <c r="I70" s="2"/>
      <c r="J70" s="7">
        <f t="shared" si="45"/>
        <v>7.0833691079247871E-3</v>
      </c>
      <c r="K70" s="2"/>
      <c r="L70" s="6">
        <f t="shared" si="46"/>
        <v>-140.37</v>
      </c>
      <c r="M70" s="2"/>
      <c r="N70" s="7">
        <f t="shared" si="47"/>
        <v>-0.42536363636363639</v>
      </c>
      <c r="O70" s="11"/>
      <c r="P70" s="6">
        <v>1317.34</v>
      </c>
      <c r="Q70" s="2"/>
      <c r="R70" s="7">
        <f t="shared" si="48"/>
        <v>5.5062609297402707E-3</v>
      </c>
      <c r="S70" s="2"/>
      <c r="T70" s="6">
        <v>1845</v>
      </c>
      <c r="U70" s="2"/>
      <c r="V70" s="7">
        <f t="shared" si="49"/>
        <v>6.2431900163101225E-3</v>
      </c>
      <c r="W70" s="2"/>
      <c r="X70" s="6">
        <f t="shared" si="50"/>
        <v>-527.66000000000008</v>
      </c>
      <c r="Y70" s="2"/>
      <c r="Z70" s="7">
        <f t="shared" si="51"/>
        <v>-0.28599457994579952</v>
      </c>
    </row>
    <row r="71" spans="1:26" s="24" customFormat="1" hidden="1" outlineLevel="2" x14ac:dyDescent="0.25">
      <c r="A71" s="25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244.39</v>
      </c>
      <c r="Q71" s="2"/>
      <c r="R71" s="7">
        <f t="shared" si="48"/>
        <v>1.0215093359491284E-3</v>
      </c>
      <c r="S71" s="2"/>
      <c r="T71" s="6"/>
      <c r="U71" s="2"/>
      <c r="V71" s="7">
        <f t="shared" si="49"/>
        <v>0</v>
      </c>
      <c r="W71" s="2"/>
      <c r="X71" s="6">
        <f t="shared" si="50"/>
        <v>244.39</v>
      </c>
      <c r="Y71" s="2"/>
      <c r="Z71" s="7">
        <f t="shared" si="51"/>
        <v>0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4"/>
        <v>0</v>
      </c>
      <c r="G72" s="2"/>
      <c r="H72" s="6">
        <v>145</v>
      </c>
      <c r="I72" s="2"/>
      <c r="J72" s="7">
        <f t="shared" si="45"/>
        <v>3.1123894565124066E-3</v>
      </c>
      <c r="K72" s="2"/>
      <c r="L72" s="6">
        <f t="shared" si="46"/>
        <v>-145</v>
      </c>
      <c r="M72" s="2"/>
      <c r="N72" s="7">
        <f t="shared" si="47"/>
        <v>-1</v>
      </c>
      <c r="O72" s="11"/>
      <c r="P72" s="6">
        <v>42.98</v>
      </c>
      <c r="Q72" s="2"/>
      <c r="R72" s="7">
        <f t="shared" si="48"/>
        <v>1.7964921338472744E-4</v>
      </c>
      <c r="S72" s="2"/>
      <c r="T72" s="6">
        <v>1060</v>
      </c>
      <c r="U72" s="2"/>
      <c r="V72" s="7">
        <f t="shared" si="49"/>
        <v>3.5868733969044607E-3</v>
      </c>
      <c r="W72" s="2"/>
      <c r="X72" s="6">
        <f t="shared" si="50"/>
        <v>-1017.02</v>
      </c>
      <c r="Y72" s="2"/>
      <c r="Z72" s="7">
        <f t="shared" si="51"/>
        <v>-0.95945283018867922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695.24</v>
      </c>
      <c r="Q73" s="2"/>
      <c r="R73" s="7">
        <f t="shared" si="48"/>
        <v>2.9059869500604445E-3</v>
      </c>
      <c r="S73" s="2"/>
      <c r="T73" s="6">
        <v>500</v>
      </c>
      <c r="U73" s="2"/>
      <c r="V73" s="7">
        <f t="shared" si="49"/>
        <v>1.6919214136341795E-3</v>
      </c>
      <c r="W73" s="2"/>
      <c r="X73" s="6">
        <f t="shared" si="50"/>
        <v>195.24</v>
      </c>
      <c r="Y73" s="2"/>
      <c r="Z73" s="7">
        <f t="shared" si="51"/>
        <v>0.39047999999999999</v>
      </c>
    </row>
    <row r="74" spans="1:26" s="27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SUM(OSRRefD22_11x_0)</f>
        <v>71</v>
      </c>
      <c r="E74" s="1"/>
      <c r="F74" s="5">
        <f t="shared" ref="F74:F76" si="52">IF(D$12=0,0,D74/D$12)</f>
        <v>1.8343432986401317E-3</v>
      </c>
      <c r="G74" s="1"/>
      <c r="H74" s="1">
        <f>SUM(OSRRefH22_11x_0)</f>
        <v>95</v>
      </c>
      <c r="I74" s="1"/>
      <c r="J74" s="5">
        <f t="shared" ref="J74:J76" si="53">IF(H$12=0,0,H74/H$12)</f>
        <v>2.0391517128874386E-3</v>
      </c>
      <c r="K74" s="1"/>
      <c r="L74" s="1">
        <f t="shared" ref="L74:L76" si="54">+D74-H74</f>
        <v>-24</v>
      </c>
      <c r="M74" s="1"/>
      <c r="N74" s="5">
        <f t="shared" ref="N74:N76" si="55">IF(H74=0,0,L74/H74)</f>
        <v>-0.25263157894736843</v>
      </c>
      <c r="O74" s="13"/>
      <c r="P74" s="1">
        <f>SUM(OSRRefP22_11x_0)</f>
        <v>568</v>
      </c>
      <c r="Q74" s="1"/>
      <c r="R74" s="5">
        <f t="shared" ref="R74:R76" si="56">IF(P$12=0,0,P74/P$12)</f>
        <v>2.3741450256520519E-3</v>
      </c>
      <c r="S74" s="1"/>
      <c r="T74" s="1">
        <f>SUM(OSRRefT22_11x_0)</f>
        <v>760</v>
      </c>
      <c r="U74" s="1"/>
      <c r="V74" s="5">
        <f t="shared" ref="V74:V76" si="57">IF(T$12=0,0,T74/T$12)</f>
        <v>2.571720548723953E-3</v>
      </c>
      <c r="W74" s="1"/>
      <c r="X74" s="1">
        <f t="shared" ref="X74:X76" si="58">+P74-T74</f>
        <v>-192</v>
      </c>
      <c r="Y74" s="1"/>
      <c r="Z74" s="5">
        <f t="shared" ref="Z74:Z76" si="59">IF(T74=0,0,X74/T74)</f>
        <v>-0.25263157894736843</v>
      </c>
    </row>
    <row r="75" spans="1:26" s="24" customFormat="1" hidden="1" outlineLevel="2" x14ac:dyDescent="0.25">
      <c r="A75" s="25"/>
      <c r="B75" s="11" t="str">
        <f>CONCATENATE("          ", "6303", " - ", "DATA PHONE LINES")</f>
        <v xml:space="preserve">          6303 - DATA PHONE LINES</v>
      </c>
      <c r="C75" s="11"/>
      <c r="D75" s="6"/>
      <c r="E75" s="2"/>
      <c r="F75" s="7">
        <f t="shared" si="52"/>
        <v>0</v>
      </c>
      <c r="G75" s="2"/>
      <c r="H75" s="6">
        <v>50</v>
      </c>
      <c r="I75" s="2"/>
      <c r="J75" s="7">
        <f t="shared" si="53"/>
        <v>1.0732377436249677E-3</v>
      </c>
      <c r="K75" s="2"/>
      <c r="L75" s="6">
        <f t="shared" si="54"/>
        <v>-50</v>
      </c>
      <c r="M75" s="2"/>
      <c r="N75" s="7">
        <f t="shared" si="55"/>
        <v>-1</v>
      </c>
      <c r="O75" s="11"/>
      <c r="P75" s="6"/>
      <c r="Q75" s="2"/>
      <c r="R75" s="7">
        <f t="shared" si="56"/>
        <v>0</v>
      </c>
      <c r="S75" s="2"/>
      <c r="T75" s="6">
        <v>400</v>
      </c>
      <c r="U75" s="2"/>
      <c r="V75" s="7">
        <f t="shared" si="57"/>
        <v>1.3535371309073437E-3</v>
      </c>
      <c r="W75" s="2"/>
      <c r="X75" s="6">
        <f t="shared" si="58"/>
        <v>-400</v>
      </c>
      <c r="Y75" s="2"/>
      <c r="Z75" s="7">
        <f t="shared" si="59"/>
        <v>-1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6">
        <v>71</v>
      </c>
      <c r="E76" s="2"/>
      <c r="F76" s="7">
        <f t="shared" si="52"/>
        <v>1.8343432986401317E-3</v>
      </c>
      <c r="G76" s="2"/>
      <c r="H76" s="6">
        <v>45</v>
      </c>
      <c r="I76" s="2"/>
      <c r="J76" s="7">
        <f t="shared" si="53"/>
        <v>9.6591396926247106E-4</v>
      </c>
      <c r="K76" s="2"/>
      <c r="L76" s="6">
        <f t="shared" si="54"/>
        <v>26</v>
      </c>
      <c r="M76" s="2"/>
      <c r="N76" s="7">
        <f t="shared" si="55"/>
        <v>0.57777777777777772</v>
      </c>
      <c r="O76" s="11"/>
      <c r="P76" s="6">
        <v>568</v>
      </c>
      <c r="Q76" s="2"/>
      <c r="R76" s="7">
        <f t="shared" si="56"/>
        <v>2.3741450256520519E-3</v>
      </c>
      <c r="S76" s="2"/>
      <c r="T76" s="6">
        <v>360</v>
      </c>
      <c r="U76" s="2"/>
      <c r="V76" s="7">
        <f t="shared" si="57"/>
        <v>1.2181834178166093E-3</v>
      </c>
      <c r="W76" s="2"/>
      <c r="X76" s="6">
        <f t="shared" si="58"/>
        <v>208</v>
      </c>
      <c r="Y76" s="2"/>
      <c r="Z76" s="7">
        <f t="shared" si="59"/>
        <v>0.57777777777777772</v>
      </c>
    </row>
    <row r="77" spans="1:26" s="27" customFormat="1" outlineLevel="1" collapsed="1" x14ac:dyDescent="0.25">
      <c r="A77" s="26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SUM(OSRRefD22_12x_0)</f>
        <v>52.5</v>
      </c>
      <c r="E77" s="1"/>
      <c r="F77" s="5">
        <f t="shared" ref="F77:F78" si="60">IF(D$12=0,0,D77/D$12)</f>
        <v>1.3563806081493932E-3</v>
      </c>
      <c r="G77" s="1"/>
      <c r="H77" s="1">
        <f>SUM(OSRRefH22_12x_0)</f>
        <v>0</v>
      </c>
      <c r="I77" s="1"/>
      <c r="J77" s="5">
        <f t="shared" ref="J77:J78" si="61">IF(H$12=0,0,H77/H$12)</f>
        <v>0</v>
      </c>
      <c r="K77" s="1"/>
      <c r="L77" s="1">
        <f t="shared" ref="L77:L78" si="62">+D77-H77</f>
        <v>52.5</v>
      </c>
      <c r="M77" s="1"/>
      <c r="N77" s="5">
        <f t="shared" ref="N77:N78" si="63">IF(H77=0,0,L77/H77)</f>
        <v>0</v>
      </c>
      <c r="O77" s="13"/>
      <c r="P77" s="1">
        <f>SUM(OSRRefP22_12x_0)</f>
        <v>52.5</v>
      </c>
      <c r="Q77" s="1"/>
      <c r="R77" s="5">
        <f t="shared" ref="R77:R78" si="64">IF(P$12=0,0,P77/P$12)</f>
        <v>2.1944122156114916E-4</v>
      </c>
      <c r="S77" s="1"/>
      <c r="T77" s="1">
        <f>SUM(OSRRefT22_12x_0)</f>
        <v>600</v>
      </c>
      <c r="U77" s="1"/>
      <c r="V77" s="5">
        <f t="shared" ref="V77:V78" si="65">IF(T$12=0,0,T77/T$12)</f>
        <v>2.0303056963610153E-3</v>
      </c>
      <c r="W77" s="1"/>
      <c r="X77" s="1">
        <f t="shared" ref="X77:X78" si="66">+P77-T77</f>
        <v>-547.5</v>
      </c>
      <c r="Y77" s="1"/>
      <c r="Z77" s="5">
        <f t="shared" ref="Z77:Z78" si="67">IF(T77=0,0,X77/T77)</f>
        <v>-0.91249999999999998</v>
      </c>
    </row>
    <row r="78" spans="1:26" s="24" customFormat="1" hidden="1" outlineLevel="2" x14ac:dyDescent="0.25">
      <c r="A78" s="25"/>
      <c r="B78" s="11" t="str">
        <f>CONCATENATE("          ", "6376", " - ", "TRAINING")</f>
        <v xml:space="preserve">          6376 - TRAINING</v>
      </c>
      <c r="C78" s="11"/>
      <c r="D78" s="6">
        <v>52.5</v>
      </c>
      <c r="E78" s="2"/>
      <c r="F78" s="7">
        <f t="shared" si="60"/>
        <v>1.3563806081493932E-3</v>
      </c>
      <c r="G78" s="2"/>
      <c r="H78" s="6"/>
      <c r="I78" s="2"/>
      <c r="J78" s="7">
        <f t="shared" si="61"/>
        <v>0</v>
      </c>
      <c r="K78" s="2"/>
      <c r="L78" s="6">
        <f t="shared" si="62"/>
        <v>52.5</v>
      </c>
      <c r="M78" s="2"/>
      <c r="N78" s="7">
        <f t="shared" si="63"/>
        <v>0</v>
      </c>
      <c r="O78" s="11"/>
      <c r="P78" s="6">
        <v>52.5</v>
      </c>
      <c r="Q78" s="2"/>
      <c r="R78" s="7">
        <f t="shared" si="64"/>
        <v>2.1944122156114916E-4</v>
      </c>
      <c r="S78" s="2"/>
      <c r="T78" s="6">
        <v>600</v>
      </c>
      <c r="U78" s="2"/>
      <c r="V78" s="7">
        <f t="shared" si="65"/>
        <v>2.0303056963610153E-3</v>
      </c>
      <c r="W78" s="2"/>
      <c r="X78" s="6">
        <f t="shared" si="66"/>
        <v>-547.5</v>
      </c>
      <c r="Y78" s="2"/>
      <c r="Z78" s="7">
        <f t="shared" si="67"/>
        <v>-0.91249999999999998</v>
      </c>
    </row>
    <row r="79" spans="1:26" s="53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9" t="s">
        <v>0</v>
      </c>
      <c r="C80" s="10"/>
      <c r="D80" s="4">
        <f>SUM(OSRRefD25x_0)</f>
        <v>56</v>
      </c>
      <c r="E80" s="4"/>
      <c r="F80" s="12">
        <f t="shared" ref="F80:F81" si="68">IF(D$12=0,0,D80/D$12)</f>
        <v>1.4468059820260193E-3</v>
      </c>
      <c r="G80" s="4"/>
      <c r="H80" s="4">
        <f>SUM(OSRRefH25x_0)</f>
        <v>0</v>
      </c>
      <c r="I80" s="4"/>
      <c r="J80" s="12">
        <f t="shared" ref="J80:J81" si="69">IF(H$12=0,0,H80/H$12)</f>
        <v>0</v>
      </c>
      <c r="K80" s="4"/>
      <c r="L80" s="4">
        <f t="shared" ref="L80:L81" si="70">+D80-H80</f>
        <v>56</v>
      </c>
      <c r="M80" s="4"/>
      <c r="N80" s="12">
        <f t="shared" ref="N80:N81" si="71">IF(H80=0,0,L80/H80)</f>
        <v>0</v>
      </c>
      <c r="O80" s="10"/>
      <c r="P80" s="4">
        <f>SUM(OSRRefP25x_0)</f>
        <v>507</v>
      </c>
      <c r="Q80" s="4"/>
      <c r="R80" s="12">
        <f t="shared" ref="R80:R81" si="72">IF(P$12=0,0,P80/P$12)</f>
        <v>2.1191752253619548E-3</v>
      </c>
      <c r="S80" s="4"/>
      <c r="T80" s="4">
        <f>SUM(OSRRefT25x_0)</f>
        <v>0</v>
      </c>
      <c r="U80" s="4"/>
      <c r="V80" s="12">
        <f t="shared" ref="V80:V81" si="73">IF(T$12=0,0,T80/T$12)</f>
        <v>0</v>
      </c>
      <c r="W80" s="4"/>
      <c r="X80" s="4">
        <f t="shared" ref="X80:X81" si="74">+P80-T80</f>
        <v>507</v>
      </c>
      <c r="Y80" s="4"/>
      <c r="Z80" s="12">
        <f t="shared" ref="Z80:Z81" si="75">IF(T80=0,0,X80/T80)</f>
        <v>0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--56</f>
        <v>56</v>
      </c>
      <c r="E81" s="2"/>
      <c r="F81" s="19">
        <f t="shared" si="68"/>
        <v>1.4468059820260193E-3</v>
      </c>
      <c r="G81" s="2"/>
      <c r="H81" s="2"/>
      <c r="I81" s="2"/>
      <c r="J81" s="19">
        <f t="shared" si="69"/>
        <v>0</v>
      </c>
      <c r="K81" s="2"/>
      <c r="L81" s="2">
        <f t="shared" si="70"/>
        <v>56</v>
      </c>
      <c r="M81" s="2"/>
      <c r="N81" s="19">
        <f t="shared" si="71"/>
        <v>0</v>
      </c>
      <c r="O81" s="11"/>
      <c r="P81" s="2">
        <f>--507</f>
        <v>507</v>
      </c>
      <c r="Q81" s="2"/>
      <c r="R81" s="19">
        <f t="shared" si="72"/>
        <v>2.1191752253619548E-3</v>
      </c>
      <c r="S81" s="2"/>
      <c r="T81" s="2"/>
      <c r="U81" s="2"/>
      <c r="V81" s="19">
        <f t="shared" si="73"/>
        <v>0</v>
      </c>
      <c r="W81" s="2"/>
      <c r="X81" s="2">
        <f t="shared" si="74"/>
        <v>507</v>
      </c>
      <c r="Y81" s="2"/>
      <c r="Z81" s="19">
        <f t="shared" si="75"/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1">
        <f>+D23-D25+D80</f>
        <v>1597.8600000000006</v>
      </c>
      <c r="E83" s="14"/>
      <c r="F83" s="22">
        <f>IF(D$12=0,0,D83/D$12)</f>
        <v>4.1282025115001716E-2</v>
      </c>
      <c r="G83" s="14"/>
      <c r="H83" s="21">
        <f>+H23-H25+H80</f>
        <v>13372.722010699999</v>
      </c>
      <c r="I83" s="14"/>
      <c r="J83" s="22">
        <f>IF(H$12=0,0,H83/H$12)</f>
        <v>0.28704219993775221</v>
      </c>
      <c r="K83" s="15"/>
      <c r="L83" s="21">
        <f>+D83-H83</f>
        <v>-11774.862010699999</v>
      </c>
      <c r="M83" s="15"/>
      <c r="N83" s="22">
        <f>IF(H83=0,0,L83/H83)</f>
        <v>-0.88051348119541439</v>
      </c>
      <c r="O83" s="29"/>
      <c r="P83" s="21">
        <f>+P23-P25+P80</f>
        <v>318.82000000003609</v>
      </c>
      <c r="Q83" s="14"/>
      <c r="R83" s="22">
        <f>IF(P$12=0,0,P83/P$12)</f>
        <v>1.3326142906311142E-3</v>
      </c>
      <c r="S83" s="14"/>
      <c r="T83" s="21">
        <f>+T23-T25+T80</f>
        <v>56911.71270972502</v>
      </c>
      <c r="U83" s="14"/>
      <c r="V83" s="22">
        <f>IF(T$12=0,0,T83/T$12)</f>
        <v>0.19258029084036052</v>
      </c>
      <c r="W83" s="15"/>
      <c r="X83" s="21">
        <f>+P83-T83</f>
        <v>-56592.892709724983</v>
      </c>
      <c r="Y83" s="15"/>
      <c r="Z83" s="22">
        <f>IF(T83=0,0,X83/T83)</f>
        <v>-0.99439798971388971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3470.42</v>
      </c>
      <c r="E85" s="4"/>
      <c r="F85" s="12">
        <f>IF(D$12=0,0,D85/D$12)</f>
        <v>8.9661150288263186E-2</v>
      </c>
      <c r="G85" s="4"/>
      <c r="H85" s="4">
        <v>4887</v>
      </c>
      <c r="I85" s="4"/>
      <c r="J85" s="12">
        <f>IF(H$12=0,0,H85/H$12)</f>
        <v>0.10489825706190435</v>
      </c>
      <c r="K85" s="4"/>
      <c r="L85" s="4">
        <f>+D85-H85</f>
        <v>-1416.58</v>
      </c>
      <c r="M85" s="4"/>
      <c r="N85" s="12">
        <f>IF(H85=0,0,L85/H85)</f>
        <v>-0.28986699406588906</v>
      </c>
      <c r="O85" s="10"/>
      <c r="P85" s="4">
        <v>24383.7</v>
      </c>
      <c r="Q85" s="4"/>
      <c r="R85" s="12">
        <f>IF(P$12=0,0,P85/P$12)</f>
        <v>0.1019197888415351</v>
      </c>
      <c r="S85" s="4"/>
      <c r="T85" s="4">
        <v>35537</v>
      </c>
      <c r="U85" s="4"/>
      <c r="V85" s="12">
        <f>IF(T$12=0,0,T85/T$12)</f>
        <v>0.12025162255263568</v>
      </c>
      <c r="W85" s="4"/>
      <c r="X85" s="4">
        <f>+P85-T85</f>
        <v>-11153.3</v>
      </c>
      <c r="Y85" s="4"/>
      <c r="Z85" s="12">
        <f>IF(T85=0,0,X85/T85)</f>
        <v>-0.31385035315305171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1">
        <f>+D83-D85</f>
        <v>-1872.5599999999995</v>
      </c>
      <c r="E87" s="14"/>
      <c r="F87" s="32">
        <f>IF(D$12=0,0,D87/D$12)</f>
        <v>-4.8379125173261463E-2</v>
      </c>
      <c r="G87" s="14"/>
      <c r="H87" s="31">
        <f>+H83-H85</f>
        <v>8485.7220106999994</v>
      </c>
      <c r="I87" s="14"/>
      <c r="J87" s="32">
        <f>IF(H$12=0,0,H87/H$12)</f>
        <v>0.18214394287584784</v>
      </c>
      <c r="K87" s="15"/>
      <c r="L87" s="31">
        <f>D87-H87</f>
        <v>-10358.282010699999</v>
      </c>
      <c r="M87" s="15"/>
      <c r="N87" s="32">
        <f>IF(H87=0,0,L87/H87)</f>
        <v>-1.2206718529830238</v>
      </c>
      <c r="O87" s="29"/>
      <c r="P87" s="31">
        <f>+P83-P85</f>
        <v>-24064.879999999965</v>
      </c>
      <c r="Q87" s="14"/>
      <c r="R87" s="32">
        <f>IF(P$12=0,0,P87/P$12)</f>
        <v>-0.10058717455090399</v>
      </c>
      <c r="S87" s="14"/>
      <c r="T87" s="31">
        <f>+T83-T85</f>
        <v>21374.71270972502</v>
      </c>
      <c r="U87" s="14"/>
      <c r="V87" s="32">
        <f>IF(T$12=0,0,T87/T$12)</f>
        <v>7.2328668287724843E-2</v>
      </c>
      <c r="W87" s="15"/>
      <c r="X87" s="31">
        <f>P87-T87</f>
        <v>-45439.592709724981</v>
      </c>
      <c r="Y87" s="15"/>
      <c r="Z87" s="32">
        <f>IF(T87=0,0,X87/T87)</f>
        <v>-2.1258574712468987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3">
        <f>SUM(D87:D89)</f>
        <v>-1872.5599999999995</v>
      </c>
      <c r="E90" s="14"/>
      <c r="F90" s="30">
        <f>IF(D$12=0,0,D90/D$12)</f>
        <v>-4.8379125173261463E-2</v>
      </c>
      <c r="G90" s="14"/>
      <c r="H90" s="33">
        <f>SUM(H87:H89)</f>
        <v>8485.7220106999994</v>
      </c>
      <c r="I90" s="14"/>
      <c r="J90" s="30">
        <f>IF(H$12=0,0,H90/H$12)</f>
        <v>0.18214394287584784</v>
      </c>
      <c r="K90" s="15"/>
      <c r="L90" s="33">
        <f>+D90-H90</f>
        <v>-10358.282010699999</v>
      </c>
      <c r="M90" s="15"/>
      <c r="N90" s="30">
        <f>IF(H90=0,0,L90/H90)</f>
        <v>-1.2206718529830238</v>
      </c>
      <c r="O90" s="29"/>
      <c r="P90" s="33">
        <f>SUM(P87:P89)</f>
        <v>-24064.879999999965</v>
      </c>
      <c r="Q90" s="14"/>
      <c r="R90" s="30">
        <f>IF(P$12=0,0,P90/P$12)</f>
        <v>-0.10058717455090399</v>
      </c>
      <c r="S90" s="14"/>
      <c r="T90" s="33">
        <f>SUM(T87:T89)</f>
        <v>21374.71270972502</v>
      </c>
      <c r="U90" s="14"/>
      <c r="V90" s="30">
        <f>IF(T$12=0,0,T90/T$12)</f>
        <v>7.2328668287724843E-2</v>
      </c>
      <c r="W90" s="15"/>
      <c r="X90" s="33">
        <f>+P90-T90</f>
        <v>-45439.592709724981</v>
      </c>
      <c r="Y90" s="15"/>
      <c r="Z90" s="30">
        <f>IF(T90=0,0,X90/T90)</f>
        <v>-2.1258574712468987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9">
        <v>43908.495143020831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3" t="s">
        <v>314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7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93592.27</v>
      </c>
      <c r="E12" s="4"/>
      <c r="F12" s="12"/>
      <c r="G12" s="4"/>
      <c r="H12" s="4">
        <f>SUM(OSRRefH13x_0)</f>
        <v>90800</v>
      </c>
      <c r="I12" s="4"/>
      <c r="J12" s="12"/>
      <c r="K12" s="4"/>
      <c r="L12" s="4">
        <f t="shared" ref="L12:L16" si="0">+D12-H12</f>
        <v>2792.2700000000041</v>
      </c>
      <c r="M12" s="4"/>
      <c r="N12" s="12">
        <f t="shared" ref="N12:N16" si="1">IF(H12=0,0,L12/H12)</f>
        <v>3.075187224669608E-2</v>
      </c>
      <c r="O12" s="10"/>
      <c r="P12" s="4">
        <f>SUM(OSRRefP13x_0)</f>
        <v>552365.02</v>
      </c>
      <c r="Q12" s="4"/>
      <c r="R12" s="12"/>
      <c r="S12" s="4"/>
      <c r="T12" s="4">
        <f>SUM(OSRRefT13x_0)</f>
        <v>614600</v>
      </c>
      <c r="U12" s="4"/>
      <c r="V12" s="12"/>
      <c r="W12" s="4"/>
      <c r="X12" s="4">
        <f t="shared" ref="X12:X16" si="2">+P12-T12</f>
        <v>-62234.979999999981</v>
      </c>
      <c r="Y12" s="4"/>
      <c r="Z12" s="12">
        <f t="shared" ref="Z12:Z16" si="3">IF(T12=0,0,X12/T12)</f>
        <v>-0.10126095021151965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36800</v>
      </c>
      <c r="I13" s="2"/>
      <c r="J13" s="19"/>
      <c r="K13" s="2"/>
      <c r="L13" s="2">
        <f t="shared" si="0"/>
        <v>-36800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242200</v>
      </c>
      <c r="U13" s="2"/>
      <c r="V13" s="19"/>
      <c r="W13" s="2"/>
      <c r="X13" s="2">
        <f t="shared" si="2"/>
        <v>-242200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--15335.14</f>
        <v>15335.14</v>
      </c>
      <c r="E14" s="2"/>
      <c r="F14" s="19"/>
      <c r="G14" s="2"/>
      <c r="H14" s="2"/>
      <c r="I14" s="2"/>
      <c r="J14" s="19"/>
      <c r="K14" s="2"/>
      <c r="L14" s="2">
        <f t="shared" si="0"/>
        <v>15335.14</v>
      </c>
      <c r="M14" s="2"/>
      <c r="N14" s="19">
        <f t="shared" si="1"/>
        <v>0</v>
      </c>
      <c r="O14" s="11"/>
      <c r="P14" s="2">
        <f>--110971.24</f>
        <v>110971.24</v>
      </c>
      <c r="Q14" s="2"/>
      <c r="R14" s="19"/>
      <c r="S14" s="2"/>
      <c r="T14" s="2"/>
      <c r="U14" s="2"/>
      <c r="V14" s="19"/>
      <c r="W14" s="2"/>
      <c r="X14" s="2">
        <f t="shared" si="2"/>
        <v>110971.24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54000</v>
      </c>
      <c r="I15" s="2"/>
      <c r="J15" s="19"/>
      <c r="K15" s="2"/>
      <c r="L15" s="2">
        <f t="shared" si="0"/>
        <v>-54000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372400</v>
      </c>
      <c r="U15" s="2"/>
      <c r="V15" s="19"/>
      <c r="W15" s="2"/>
      <c r="X15" s="2">
        <f t="shared" si="2"/>
        <v>-372400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>--78257.13</f>
        <v>78257.13</v>
      </c>
      <c r="E16" s="2"/>
      <c r="F16" s="19"/>
      <c r="G16" s="2"/>
      <c r="H16" s="2"/>
      <c r="I16" s="2"/>
      <c r="J16" s="19"/>
      <c r="K16" s="2"/>
      <c r="L16" s="2">
        <f t="shared" si="0"/>
        <v>78257.13</v>
      </c>
      <c r="M16" s="2"/>
      <c r="N16" s="19">
        <f t="shared" si="1"/>
        <v>0</v>
      </c>
      <c r="O16" s="11"/>
      <c r="P16" s="2">
        <f>--441393.78</f>
        <v>441393.78</v>
      </c>
      <c r="Q16" s="2"/>
      <c r="R16" s="19"/>
      <c r="S16" s="2"/>
      <c r="T16" s="2"/>
      <c r="U16" s="2"/>
      <c r="V16" s="19"/>
      <c r="W16" s="2"/>
      <c r="X16" s="2">
        <f t="shared" si="2"/>
        <v>441393.78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34285.360000000001</v>
      </c>
      <c r="E18" s="4"/>
      <c r="F18" s="12">
        <f t="shared" ref="F18:F21" si="4">IF(D$12=0,0,D18/D$12)</f>
        <v>0.36632683447041087</v>
      </c>
      <c r="G18" s="4"/>
      <c r="H18" s="4">
        <f>SUM(OSRRefH16x_0)</f>
        <v>32000</v>
      </c>
      <c r="I18" s="4"/>
      <c r="J18" s="12">
        <f t="shared" ref="J18:J21" si="5">IF(H$12=0,0,H18/H$12)</f>
        <v>0.3524229074889868</v>
      </c>
      <c r="K18" s="4"/>
      <c r="L18" s="4">
        <f t="shared" ref="L18:L21" si="6">+D18-H18</f>
        <v>2285.3600000000006</v>
      </c>
      <c r="M18" s="4"/>
      <c r="N18" s="12">
        <f t="shared" ref="N18:N21" si="7">IF(H18=0,0,L18/H18)</f>
        <v>7.1417500000000023E-2</v>
      </c>
      <c r="O18" s="10"/>
      <c r="P18" s="4">
        <f>SUM(OSRRefP16x_0)</f>
        <v>185538.62</v>
      </c>
      <c r="Q18" s="4"/>
      <c r="R18" s="12">
        <f t="shared" ref="R18:R21" si="8">IF(P$12=0,0,P18/P$12)</f>
        <v>0.33589856939166784</v>
      </c>
      <c r="S18" s="4"/>
      <c r="T18" s="4">
        <f>SUM(OSRRefT16x_0)</f>
        <v>192300</v>
      </c>
      <c r="U18" s="4"/>
      <c r="V18" s="12">
        <f t="shared" ref="V18:V21" si="9">IF(T$12=0,0,T18/T$12)</f>
        <v>0.3128864301985031</v>
      </c>
      <c r="W18" s="4"/>
      <c r="X18" s="4">
        <f t="shared" ref="X18:X21" si="10">+P18-T18</f>
        <v>-6761.3800000000047</v>
      </c>
      <c r="Y18" s="4"/>
      <c r="Z18" s="12">
        <f t="shared" ref="Z18:Z21" si="11">IF(T18=0,0,X18/T18)</f>
        <v>-3.5160582423296956E-2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32000</v>
      </c>
      <c r="I19" s="2"/>
      <c r="J19" s="19">
        <f t="shared" si="5"/>
        <v>0.3524229074889868</v>
      </c>
      <c r="K19" s="2"/>
      <c r="L19" s="2">
        <f t="shared" si="6"/>
        <v>-32000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192300</v>
      </c>
      <c r="U19" s="2"/>
      <c r="V19" s="19">
        <f t="shared" si="9"/>
        <v>0.3128864301985031</v>
      </c>
      <c r="W19" s="2"/>
      <c r="X19" s="2">
        <f t="shared" si="10"/>
        <v>-192300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36324.36</v>
      </c>
      <c r="E20" s="2"/>
      <c r="F20" s="19">
        <f t="shared" si="4"/>
        <v>0.38811282171059641</v>
      </c>
      <c r="G20" s="2"/>
      <c r="H20" s="2"/>
      <c r="I20" s="2"/>
      <c r="J20" s="19">
        <f t="shared" si="5"/>
        <v>0</v>
      </c>
      <c r="K20" s="2"/>
      <c r="L20" s="2">
        <f t="shared" si="6"/>
        <v>36324.36</v>
      </c>
      <c r="M20" s="2"/>
      <c r="N20" s="19">
        <f t="shared" si="7"/>
        <v>0</v>
      </c>
      <c r="O20" s="11"/>
      <c r="P20" s="2">
        <v>181756.62</v>
      </c>
      <c r="Q20" s="2"/>
      <c r="R20" s="19">
        <f t="shared" si="8"/>
        <v>0.32905164776726809</v>
      </c>
      <c r="S20" s="2"/>
      <c r="T20" s="2"/>
      <c r="U20" s="2"/>
      <c r="V20" s="19">
        <f t="shared" si="9"/>
        <v>0</v>
      </c>
      <c r="W20" s="2"/>
      <c r="X20" s="2">
        <f t="shared" si="10"/>
        <v>181756.62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-2039</v>
      </c>
      <c r="E21" s="2"/>
      <c r="F21" s="19">
        <f t="shared" si="4"/>
        <v>-2.1785987240185541E-2</v>
      </c>
      <c r="G21" s="2"/>
      <c r="H21" s="2"/>
      <c r="I21" s="2"/>
      <c r="J21" s="19">
        <f t="shared" si="5"/>
        <v>0</v>
      </c>
      <c r="K21" s="2"/>
      <c r="L21" s="2">
        <f t="shared" si="6"/>
        <v>-2039</v>
      </c>
      <c r="M21" s="2"/>
      <c r="N21" s="19">
        <f t="shared" si="7"/>
        <v>0</v>
      </c>
      <c r="O21" s="11"/>
      <c r="P21" s="2">
        <v>3782</v>
      </c>
      <c r="Q21" s="2"/>
      <c r="R21" s="19">
        <f t="shared" si="8"/>
        <v>6.8469216243997487E-3</v>
      </c>
      <c r="S21" s="2"/>
      <c r="T21" s="2"/>
      <c r="U21" s="2"/>
      <c r="V21" s="19">
        <f t="shared" si="9"/>
        <v>0</v>
      </c>
      <c r="W21" s="2"/>
      <c r="X21" s="2">
        <f t="shared" si="10"/>
        <v>3782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59306.91</v>
      </c>
      <c r="E23" s="14"/>
      <c r="F23" s="22">
        <f>IF(D$12=0,0,D23/D$12)</f>
        <v>0.63367316552958919</v>
      </c>
      <c r="G23" s="14"/>
      <c r="H23" s="21">
        <f>H12-H18</f>
        <v>58800</v>
      </c>
      <c r="I23" s="14"/>
      <c r="J23" s="22">
        <f>IF(H$12=0,0,H23/H$12)</f>
        <v>0.64757709251101325</v>
      </c>
      <c r="K23" s="15"/>
      <c r="L23" s="21">
        <f>+D23-H23</f>
        <v>506.91000000000349</v>
      </c>
      <c r="M23" s="15"/>
      <c r="N23" s="22">
        <f>IF(H23=0,0,L23/H23)</f>
        <v>8.6209183673469983E-3</v>
      </c>
      <c r="O23" s="29"/>
      <c r="P23" s="21">
        <f>P12-P18</f>
        <v>366826.4</v>
      </c>
      <c r="Q23" s="14"/>
      <c r="R23" s="22">
        <f>IF(P$12=0,0,P23/P$12)</f>
        <v>0.66410143060833216</v>
      </c>
      <c r="S23" s="14"/>
      <c r="T23" s="21">
        <f>T12-T18</f>
        <v>422300</v>
      </c>
      <c r="U23" s="14"/>
      <c r="V23" s="22">
        <f>IF(T$12=0,0,T23/T$12)</f>
        <v>0.68711356980149696</v>
      </c>
      <c r="W23" s="15"/>
      <c r="X23" s="21">
        <f>+P23-T23</f>
        <v>-55473.599999999977</v>
      </c>
      <c r="Y23" s="15"/>
      <c r="Z23" s="22">
        <f>IF(T23=0,0,X23/T23)</f>
        <v>-0.13136064409187775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44755.33</v>
      </c>
      <c r="E25" s="20"/>
      <c r="F25" s="34">
        <f t="shared" ref="F25:F35" si="12">IF(D$12=0,0,D25/D$12)</f>
        <v>0.47819472697905502</v>
      </c>
      <c r="G25" s="20"/>
      <c r="H25" s="20">
        <f>SUM(OSRRefH22x_0)</f>
        <v>39255.155219200002</v>
      </c>
      <c r="I25" s="20"/>
      <c r="J25" s="34">
        <f t="shared" ref="J25:J35" si="13">IF(H$12=0,0,H25/H$12)</f>
        <v>0.43232549800881059</v>
      </c>
      <c r="K25" s="4"/>
      <c r="L25" s="20">
        <f t="shared" ref="L25:L35" si="14">+D25-H25</f>
        <v>5500.1747808</v>
      </c>
      <c r="M25" s="4"/>
      <c r="N25" s="34">
        <f t="shared" ref="N25:N35" si="15">IF(H25=0,0,L25/H25)</f>
        <v>0.14011343860665265</v>
      </c>
      <c r="O25" s="10"/>
      <c r="P25" s="20">
        <f>SUM(OSRRefP22x_0)</f>
        <v>283751.32999999984</v>
      </c>
      <c r="Q25" s="20"/>
      <c r="R25" s="34">
        <f t="shared" ref="R25:R35" si="16">IF(P$12=0,0,P25/P$12)</f>
        <v>0.51370256936255632</v>
      </c>
      <c r="S25" s="20"/>
      <c r="T25" s="20">
        <f>SUM(OSRRefT22x_0)</f>
        <v>284683.53010500001</v>
      </c>
      <c r="U25" s="20"/>
      <c r="V25" s="34">
        <f t="shared" ref="V25:V35" si="17">IF(T$12=0,0,T25/T$12)</f>
        <v>0.46320131810120407</v>
      </c>
      <c r="W25" s="4"/>
      <c r="X25" s="20">
        <f t="shared" ref="X25:X35" si="18">+P25-T25</f>
        <v>-932.20010500017088</v>
      </c>
      <c r="Y25" s="4"/>
      <c r="Z25" s="34">
        <f t="shared" ref="Z25:Z35" si="19">IF(T25=0,0,X25/T25)</f>
        <v>-3.2745136490907882E-3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3541.3700000000003</v>
      </c>
      <c r="E26" s="1"/>
      <c r="F26" s="5">
        <f t="shared" si="12"/>
        <v>3.7838274464333438E-2</v>
      </c>
      <c r="G26" s="1"/>
      <c r="H26" s="1">
        <f>SUM(OSRRefH22_0x_0)</f>
        <v>4475.1392192000003</v>
      </c>
      <c r="I26" s="1"/>
      <c r="J26" s="5">
        <f t="shared" si="13"/>
        <v>4.9285674220264322E-2</v>
      </c>
      <c r="K26" s="1"/>
      <c r="L26" s="1">
        <f t="shared" si="14"/>
        <v>-933.76921919999995</v>
      </c>
      <c r="M26" s="1"/>
      <c r="N26" s="5">
        <f t="shared" si="15"/>
        <v>-0.20865702125953647</v>
      </c>
      <c r="O26" s="13"/>
      <c r="P26" s="1">
        <f>SUM(OSRRefP22_0x_0)</f>
        <v>21903.18</v>
      </c>
      <c r="Q26" s="1"/>
      <c r="R26" s="5">
        <f t="shared" si="16"/>
        <v>3.9653452349317844E-2</v>
      </c>
      <c r="S26" s="1"/>
      <c r="T26" s="1">
        <f>SUM(OSRRefT22_0x_0)</f>
        <v>35665.410105000003</v>
      </c>
      <c r="U26" s="1"/>
      <c r="V26" s="5">
        <f t="shared" si="17"/>
        <v>5.8030280027660273E-2</v>
      </c>
      <c r="W26" s="1"/>
      <c r="X26" s="1">
        <f t="shared" si="18"/>
        <v>-13762.230105000002</v>
      </c>
      <c r="Y26" s="1"/>
      <c r="Z26" s="5">
        <f t="shared" si="19"/>
        <v>-0.38587051332042999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672.33</v>
      </c>
      <c r="E27" s="2"/>
      <c r="F27" s="7">
        <f t="shared" si="12"/>
        <v>7.1836060819980112E-3</v>
      </c>
      <c r="G27" s="2"/>
      <c r="H27" s="6">
        <v>668.79873120000002</v>
      </c>
      <c r="I27" s="2"/>
      <c r="J27" s="7">
        <f t="shared" si="13"/>
        <v>7.3656247929515424E-3</v>
      </c>
      <c r="K27" s="2"/>
      <c r="L27" s="6">
        <f t="shared" si="14"/>
        <v>3.5312688000000207</v>
      </c>
      <c r="M27" s="2"/>
      <c r="N27" s="7">
        <f t="shared" si="15"/>
        <v>5.2800171939082477E-3</v>
      </c>
      <c r="O27" s="11"/>
      <c r="P27" s="6">
        <v>5005.41</v>
      </c>
      <c r="Q27" s="2"/>
      <c r="R27" s="7">
        <f t="shared" si="16"/>
        <v>9.0617794732910494E-3</v>
      </c>
      <c r="S27" s="2"/>
      <c r="T27" s="6">
        <v>6415.1731680000003</v>
      </c>
      <c r="U27" s="2"/>
      <c r="V27" s="7">
        <f t="shared" si="17"/>
        <v>1.0437964803123983E-2</v>
      </c>
      <c r="W27" s="2"/>
      <c r="X27" s="6">
        <f t="shared" si="18"/>
        <v>-1409.7631680000004</v>
      </c>
      <c r="Y27" s="2"/>
      <c r="Z27" s="7">
        <f t="shared" si="19"/>
        <v>-0.21975449938470007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970.4</v>
      </c>
      <c r="E28" s="2"/>
      <c r="F28" s="7">
        <f t="shared" si="12"/>
        <v>1.0368377644863192E-2</v>
      </c>
      <c r="G28" s="2"/>
      <c r="H28" s="6">
        <v>833.23465599999997</v>
      </c>
      <c r="I28" s="2"/>
      <c r="J28" s="7">
        <f t="shared" si="13"/>
        <v>9.176593127753303E-3</v>
      </c>
      <c r="K28" s="2"/>
      <c r="L28" s="6">
        <f t="shared" si="14"/>
        <v>137.165344</v>
      </c>
      <c r="M28" s="2"/>
      <c r="N28" s="7">
        <f t="shared" si="15"/>
        <v>0.16461790566714019</v>
      </c>
      <c r="O28" s="11"/>
      <c r="P28" s="6">
        <v>4834.47</v>
      </c>
      <c r="Q28" s="2"/>
      <c r="R28" s="7">
        <f t="shared" si="16"/>
        <v>8.7523102024092692E-3</v>
      </c>
      <c r="S28" s="2"/>
      <c r="T28" s="6">
        <v>5795.1400640000002</v>
      </c>
      <c r="U28" s="2"/>
      <c r="V28" s="7">
        <f t="shared" si="17"/>
        <v>9.4291247380410021E-3</v>
      </c>
      <c r="W28" s="2"/>
      <c r="X28" s="6">
        <f t="shared" si="18"/>
        <v>-960.67006399999991</v>
      </c>
      <c r="Y28" s="2"/>
      <c r="Z28" s="7">
        <f t="shared" si="19"/>
        <v>-0.16577167305545903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1033.82</v>
      </c>
      <c r="E29" s="2"/>
      <c r="F29" s="7">
        <f t="shared" si="12"/>
        <v>1.104599770899883E-2</v>
      </c>
      <c r="G29" s="2"/>
      <c r="H29" s="6">
        <v>1381</v>
      </c>
      <c r="I29" s="2"/>
      <c r="J29" s="7">
        <f t="shared" si="13"/>
        <v>1.5209251101321587E-2</v>
      </c>
      <c r="K29" s="2"/>
      <c r="L29" s="6">
        <f t="shared" si="14"/>
        <v>-347.18000000000006</v>
      </c>
      <c r="M29" s="2"/>
      <c r="N29" s="7">
        <f t="shared" si="15"/>
        <v>-0.25139753801593051</v>
      </c>
      <c r="O29" s="11"/>
      <c r="P29" s="6">
        <v>5969.98</v>
      </c>
      <c r="Q29" s="2"/>
      <c r="R29" s="7">
        <f t="shared" si="16"/>
        <v>1.0808034151040194E-2</v>
      </c>
      <c r="S29" s="2"/>
      <c r="T29" s="6">
        <v>11048</v>
      </c>
      <c r="U29" s="2"/>
      <c r="V29" s="7">
        <f t="shared" si="17"/>
        <v>1.7975919297103807E-2</v>
      </c>
      <c r="W29" s="2"/>
      <c r="X29" s="6">
        <f t="shared" si="18"/>
        <v>-5078.0200000000004</v>
      </c>
      <c r="Y29" s="2"/>
      <c r="Z29" s="7">
        <f t="shared" si="19"/>
        <v>-0.45963251267197686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65.03</v>
      </c>
      <c r="E30" s="2"/>
      <c r="F30" s="7">
        <f t="shared" si="12"/>
        <v>6.9482233949449024E-4</v>
      </c>
      <c r="G30" s="2"/>
      <c r="H30" s="6">
        <v>65.875991999999997</v>
      </c>
      <c r="I30" s="2"/>
      <c r="J30" s="7">
        <f t="shared" si="13"/>
        <v>7.2550651982378851E-4</v>
      </c>
      <c r="K30" s="2"/>
      <c r="L30" s="6">
        <f t="shared" si="14"/>
        <v>-0.84599199999999541</v>
      </c>
      <c r="M30" s="2"/>
      <c r="N30" s="7">
        <f t="shared" si="15"/>
        <v>-1.2842189913436074E-2</v>
      </c>
      <c r="O30" s="11"/>
      <c r="P30" s="6">
        <v>408.1</v>
      </c>
      <c r="Q30" s="2"/>
      <c r="R30" s="7">
        <f t="shared" si="16"/>
        <v>7.3882303408713318E-4</v>
      </c>
      <c r="S30" s="2"/>
      <c r="T30" s="6">
        <v>464.931623</v>
      </c>
      <c r="U30" s="2"/>
      <c r="V30" s="7">
        <f t="shared" si="17"/>
        <v>7.5647839733159784E-4</v>
      </c>
      <c r="W30" s="2"/>
      <c r="X30" s="6">
        <f t="shared" si="18"/>
        <v>-56.831622999999979</v>
      </c>
      <c r="Y30" s="2"/>
      <c r="Z30" s="7">
        <f t="shared" si="19"/>
        <v>-0.12223651863749431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203.4</v>
      </c>
      <c r="E31" s="2"/>
      <c r="F31" s="7">
        <f t="shared" si="12"/>
        <v>2.1732564024785381E-3</v>
      </c>
      <c r="G31" s="2"/>
      <c r="H31" s="6">
        <v>422.34944000000002</v>
      </c>
      <c r="I31" s="2"/>
      <c r="J31" s="7">
        <f t="shared" si="13"/>
        <v>4.6514255506607928E-3</v>
      </c>
      <c r="K31" s="2"/>
      <c r="L31" s="6">
        <f t="shared" si="14"/>
        <v>-218.94944000000001</v>
      </c>
      <c r="M31" s="2"/>
      <c r="N31" s="7">
        <f t="shared" si="15"/>
        <v>-0.51840826401948115</v>
      </c>
      <c r="O31" s="11"/>
      <c r="P31" s="6">
        <v>508.5</v>
      </c>
      <c r="Q31" s="2"/>
      <c r="R31" s="7">
        <f t="shared" si="16"/>
        <v>9.2058689741070134E-4</v>
      </c>
      <c r="S31" s="2"/>
      <c r="T31" s="6">
        <v>3695.5576000000001</v>
      </c>
      <c r="U31" s="2"/>
      <c r="V31" s="7">
        <f t="shared" si="17"/>
        <v>6.0129476082004555E-3</v>
      </c>
      <c r="W31" s="2"/>
      <c r="X31" s="6">
        <f t="shared" si="18"/>
        <v>-3187.0576000000001</v>
      </c>
      <c r="Y31" s="2"/>
      <c r="Z31" s="7">
        <f t="shared" si="19"/>
        <v>-0.86240236114842317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192.5</v>
      </c>
      <c r="E33" s="2"/>
      <c r="F33" s="7">
        <f t="shared" si="12"/>
        <v>2.0567937929061877E-3</v>
      </c>
      <c r="G33" s="2"/>
      <c r="H33" s="6">
        <v>245.55199999999999</v>
      </c>
      <c r="I33" s="2"/>
      <c r="J33" s="7">
        <f t="shared" si="13"/>
        <v>2.7043171806167398E-3</v>
      </c>
      <c r="K33" s="2"/>
      <c r="L33" s="6">
        <f t="shared" si="14"/>
        <v>-53.051999999999992</v>
      </c>
      <c r="M33" s="2"/>
      <c r="N33" s="7">
        <f t="shared" si="15"/>
        <v>-0.21605199713299014</v>
      </c>
      <c r="O33" s="11"/>
      <c r="P33" s="6">
        <v>1748.36</v>
      </c>
      <c r="Q33" s="2"/>
      <c r="R33" s="7">
        <f t="shared" si="16"/>
        <v>3.1652257776931636E-3</v>
      </c>
      <c r="S33" s="2"/>
      <c r="T33" s="6">
        <v>2148.58</v>
      </c>
      <c r="U33" s="2"/>
      <c r="V33" s="7">
        <f t="shared" si="17"/>
        <v>3.4958997722095669E-3</v>
      </c>
      <c r="W33" s="2"/>
      <c r="X33" s="6">
        <f t="shared" si="18"/>
        <v>-400.22</v>
      </c>
      <c r="Y33" s="2"/>
      <c r="Z33" s="7">
        <f t="shared" si="19"/>
        <v>-0.18627186327714121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230.62</v>
      </c>
      <c r="E34" s="2"/>
      <c r="F34" s="7">
        <f t="shared" si="12"/>
        <v>2.4640923871170131E-3</v>
      </c>
      <c r="G34" s="2"/>
      <c r="H34" s="6">
        <v>858.32839999999999</v>
      </c>
      <c r="I34" s="2"/>
      <c r="J34" s="7">
        <f t="shared" si="13"/>
        <v>9.4529559471365644E-3</v>
      </c>
      <c r="K34" s="2"/>
      <c r="L34" s="6">
        <f t="shared" si="14"/>
        <v>-627.70839999999998</v>
      </c>
      <c r="M34" s="2"/>
      <c r="N34" s="7">
        <f t="shared" si="15"/>
        <v>-0.73131496056754031</v>
      </c>
      <c r="O34" s="11"/>
      <c r="P34" s="6">
        <v>2094.58</v>
      </c>
      <c r="Q34" s="2"/>
      <c r="R34" s="7">
        <f t="shared" si="16"/>
        <v>3.7920214426322651E-3</v>
      </c>
      <c r="S34" s="2"/>
      <c r="T34" s="6">
        <v>6098.02765</v>
      </c>
      <c r="U34" s="2"/>
      <c r="V34" s="7">
        <f t="shared" si="17"/>
        <v>9.9219454116498528E-3</v>
      </c>
      <c r="W34" s="2"/>
      <c r="X34" s="6">
        <f t="shared" si="18"/>
        <v>-4003.4476500000001</v>
      </c>
      <c r="Y34" s="2"/>
      <c r="Z34" s="7">
        <f t="shared" si="19"/>
        <v>-0.65651516847418689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173.27</v>
      </c>
      <c r="E35" s="2"/>
      <c r="F35" s="7">
        <f t="shared" si="12"/>
        <v>1.8513281064771695E-3</v>
      </c>
      <c r="G35" s="2"/>
      <c r="H35" s="6"/>
      <c r="I35" s="2"/>
      <c r="J35" s="7">
        <f t="shared" si="13"/>
        <v>0</v>
      </c>
      <c r="K35" s="2"/>
      <c r="L35" s="6">
        <f t="shared" si="14"/>
        <v>173.27</v>
      </c>
      <c r="M35" s="2"/>
      <c r="N35" s="7">
        <f t="shared" si="15"/>
        <v>0</v>
      </c>
      <c r="O35" s="11"/>
      <c r="P35" s="6">
        <v>1333.78</v>
      </c>
      <c r="Q35" s="2"/>
      <c r="R35" s="7">
        <f t="shared" si="16"/>
        <v>2.4146713707540713E-3</v>
      </c>
      <c r="S35" s="2"/>
      <c r="T35" s="6"/>
      <c r="U35" s="2"/>
      <c r="V35" s="7">
        <f t="shared" si="17"/>
        <v>0</v>
      </c>
      <c r="W35" s="2"/>
      <c r="X35" s="6">
        <f t="shared" si="18"/>
        <v>1333.78</v>
      </c>
      <c r="Y35" s="2"/>
      <c r="Z35" s="7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23640.19</v>
      </c>
      <c r="E36" s="1"/>
      <c r="F36" s="5">
        <f t="shared" ref="F36:F46" si="20">IF(D$12=0,0,D36/D$12)</f>
        <v>0.25258699249414507</v>
      </c>
      <c r="G36" s="1"/>
      <c r="H36" s="1">
        <f>SUM(OSRRefH22_1x_0)</f>
        <v>20984.016</v>
      </c>
      <c r="I36" s="1"/>
      <c r="J36" s="5">
        <f t="shared" ref="J36:J46" si="21">IF(H$12=0,0,H36/H$12)</f>
        <v>0.23110149779735684</v>
      </c>
      <c r="K36" s="1"/>
      <c r="L36" s="1">
        <f t="shared" ref="L36:L46" si="22">+D36-H36</f>
        <v>2656.1739999999991</v>
      </c>
      <c r="M36" s="1"/>
      <c r="N36" s="5">
        <f t="shared" ref="N36:N46" si="23">IF(H36=0,0,L36/H36)</f>
        <v>0.12658082227920522</v>
      </c>
      <c r="O36" s="13"/>
      <c r="P36" s="1">
        <f>SUM(OSRRefP22_1x_0)</f>
        <v>160173.90999999997</v>
      </c>
      <c r="Q36" s="1"/>
      <c r="R36" s="5">
        <f t="shared" ref="R36:R46" si="24">IF(P$12=0,0,P36/P$12)</f>
        <v>0.28997837335897914</v>
      </c>
      <c r="S36" s="1"/>
      <c r="T36" s="1">
        <f>SUM(OSRRefT22_1x_0)</f>
        <v>145062.12</v>
      </c>
      <c r="U36" s="1"/>
      <c r="V36" s="5">
        <f t="shared" ref="V36:V46" si="25">IF(T$12=0,0,T36/T$12)</f>
        <v>0.23602687927107061</v>
      </c>
      <c r="W36" s="1"/>
      <c r="X36" s="1">
        <f t="shared" ref="X36:X46" si="26">+P36-T36</f>
        <v>15111.789999999979</v>
      </c>
      <c r="Y36" s="1"/>
      <c r="Z36" s="5">
        <f t="shared" ref="Z36:Z46" si="27">IF(T36=0,0,X36/T36)</f>
        <v>0.10417461153883577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2183.92</v>
      </c>
      <c r="E38" s="2"/>
      <c r="F38" s="7">
        <f t="shared" si="20"/>
        <v>2.3334405715343801E-2</v>
      </c>
      <c r="G38" s="2"/>
      <c r="H38" s="6">
        <v>4419.9359999999997</v>
      </c>
      <c r="I38" s="2"/>
      <c r="J38" s="7">
        <f t="shared" si="21"/>
        <v>4.867770925110132E-2</v>
      </c>
      <c r="K38" s="2"/>
      <c r="L38" s="6">
        <f t="shared" si="22"/>
        <v>-2236.0159999999996</v>
      </c>
      <c r="M38" s="2"/>
      <c r="N38" s="7">
        <f t="shared" si="23"/>
        <v>-0.50589329800250493</v>
      </c>
      <c r="O38" s="11"/>
      <c r="P38" s="6">
        <v>5823.84</v>
      </c>
      <c r="Q38" s="2"/>
      <c r="R38" s="7">
        <f t="shared" si="24"/>
        <v>1.0543462726875789E-2</v>
      </c>
      <c r="S38" s="2"/>
      <c r="T38" s="6">
        <v>38674.44</v>
      </c>
      <c r="U38" s="2"/>
      <c r="V38" s="7">
        <f t="shared" si="25"/>
        <v>6.2926195899772219E-2</v>
      </c>
      <c r="W38" s="2"/>
      <c r="X38" s="6">
        <f t="shared" si="26"/>
        <v>-32850.600000000006</v>
      </c>
      <c r="Y38" s="2"/>
      <c r="Z38" s="7">
        <f t="shared" si="27"/>
        <v>-0.84941372131050907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5898.6</v>
      </c>
      <c r="E40" s="2"/>
      <c r="F40" s="7">
        <f t="shared" si="20"/>
        <v>6.3024435671877599E-2</v>
      </c>
      <c r="G40" s="2"/>
      <c r="H40" s="6">
        <v>3828</v>
      </c>
      <c r="I40" s="2"/>
      <c r="J40" s="7">
        <f t="shared" si="21"/>
        <v>4.2158590308370048E-2</v>
      </c>
      <c r="K40" s="2"/>
      <c r="L40" s="6">
        <f t="shared" si="22"/>
        <v>2070.6000000000004</v>
      </c>
      <c r="M40" s="2"/>
      <c r="N40" s="7">
        <f t="shared" si="23"/>
        <v>0.54090909090909101</v>
      </c>
      <c r="O40" s="11"/>
      <c r="P40" s="6">
        <v>46113.440000000002</v>
      </c>
      <c r="Q40" s="2"/>
      <c r="R40" s="7">
        <f t="shared" si="24"/>
        <v>8.3483635513342244E-2</v>
      </c>
      <c r="S40" s="2"/>
      <c r="T40" s="6">
        <v>32934</v>
      </c>
      <c r="U40" s="2"/>
      <c r="V40" s="7">
        <f t="shared" si="25"/>
        <v>5.3586072242108686E-2</v>
      </c>
      <c r="W40" s="2"/>
      <c r="X40" s="6">
        <f t="shared" si="26"/>
        <v>13179.440000000002</v>
      </c>
      <c r="Y40" s="2"/>
      <c r="Z40" s="7">
        <f t="shared" si="27"/>
        <v>0.40017732434566111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1997.5</v>
      </c>
      <c r="Q41" s="2"/>
      <c r="R41" s="7">
        <f t="shared" si="24"/>
        <v>3.6162680974982809E-3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1997.5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29.25</v>
      </c>
      <c r="Q42" s="2"/>
      <c r="R42" s="7">
        <f t="shared" si="24"/>
        <v>5.2954113567872196E-5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29.25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14886.87</v>
      </c>
      <c r="E43" s="2"/>
      <c r="F43" s="7">
        <f t="shared" si="20"/>
        <v>0.15906089252883812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14886.87</v>
      </c>
      <c r="M43" s="2"/>
      <c r="N43" s="7">
        <f t="shared" si="23"/>
        <v>0</v>
      </c>
      <c r="O43" s="11"/>
      <c r="P43" s="6">
        <v>105539.07999999999</v>
      </c>
      <c r="Q43" s="2"/>
      <c r="R43" s="7">
        <f t="shared" si="24"/>
        <v>0.19106763856987174</v>
      </c>
      <c r="S43" s="2"/>
      <c r="T43" s="6">
        <v>3720</v>
      </c>
      <c r="U43" s="2"/>
      <c r="V43" s="7">
        <f t="shared" si="25"/>
        <v>6.0527172144484217E-3</v>
      </c>
      <c r="W43" s="2"/>
      <c r="X43" s="6">
        <f t="shared" si="26"/>
        <v>101819.07999999999</v>
      </c>
      <c r="Y43" s="2"/>
      <c r="Z43" s="7">
        <f t="shared" si="27"/>
        <v>27.370720430107525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670.8</v>
      </c>
      <c r="E44" s="2"/>
      <c r="F44" s="7">
        <f t="shared" si="20"/>
        <v>7.1672585780855613E-3</v>
      </c>
      <c r="G44" s="2"/>
      <c r="H44" s="6">
        <v>12736.08</v>
      </c>
      <c r="I44" s="2"/>
      <c r="J44" s="7">
        <f t="shared" si="21"/>
        <v>0.14026519823788547</v>
      </c>
      <c r="K44" s="2"/>
      <c r="L44" s="6">
        <f t="shared" si="22"/>
        <v>-12065.28</v>
      </c>
      <c r="M44" s="2"/>
      <c r="N44" s="7">
        <f t="shared" si="23"/>
        <v>-0.94733073284715552</v>
      </c>
      <c r="O44" s="11"/>
      <c r="P44" s="6">
        <v>670.8</v>
      </c>
      <c r="Q44" s="2"/>
      <c r="R44" s="7">
        <f t="shared" si="24"/>
        <v>1.2144143378232024E-3</v>
      </c>
      <c r="S44" s="2"/>
      <c r="T44" s="6">
        <v>69733.679999999993</v>
      </c>
      <c r="U44" s="2"/>
      <c r="V44" s="7">
        <f t="shared" si="25"/>
        <v>0.11346189391474128</v>
      </c>
      <c r="W44" s="2"/>
      <c r="X44" s="6">
        <f t="shared" si="26"/>
        <v>-69062.87999999999</v>
      </c>
      <c r="Y44" s="2"/>
      <c r="Z44" s="7">
        <f t="shared" si="27"/>
        <v>-0.99038054495331374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37.159999999999997</v>
      </c>
      <c r="E47" s="1"/>
      <c r="F47" s="5">
        <f t="shared" ref="F47:F55" si="28">IF(D$12=0,0,D47/D$12)</f>
        <v>3.970413368539944E-4</v>
      </c>
      <c r="G47" s="1"/>
      <c r="H47" s="1">
        <f>SUM(OSRRefH22_2x_0)</f>
        <v>240</v>
      </c>
      <c r="I47" s="1"/>
      <c r="J47" s="5">
        <f t="shared" ref="J47:J55" si="29">IF(H$12=0,0,H47/H$12)</f>
        <v>2.6431718061674008E-3</v>
      </c>
      <c r="K47" s="1"/>
      <c r="L47" s="1">
        <f t="shared" ref="L47:L55" si="30">+D47-H47</f>
        <v>-202.84</v>
      </c>
      <c r="M47" s="1"/>
      <c r="N47" s="5">
        <f t="shared" ref="N47:N55" si="31">IF(H47=0,0,L47/H47)</f>
        <v>-0.84516666666666673</v>
      </c>
      <c r="O47" s="13"/>
      <c r="P47" s="1">
        <f>SUM(OSRRefP22_2x_0)</f>
        <v>725.37</v>
      </c>
      <c r="Q47" s="1"/>
      <c r="R47" s="5">
        <f t="shared" ref="R47:R55" si="32">IF(P$12=0,0,P47/P$12)</f>
        <v>1.313207704571879E-3</v>
      </c>
      <c r="S47" s="1"/>
      <c r="T47" s="1">
        <f>SUM(OSRRefT22_2x_0)</f>
        <v>1615</v>
      </c>
      <c r="U47" s="1"/>
      <c r="V47" s="5">
        <f t="shared" ref="V47:V55" si="33">IF(T$12=0,0,T47/T$12)</f>
        <v>2.627725349821022E-3</v>
      </c>
      <c r="W47" s="1"/>
      <c r="X47" s="1">
        <f t="shared" ref="X47:X55" si="34">+P47-T47</f>
        <v>-889.63</v>
      </c>
      <c r="Y47" s="1"/>
      <c r="Z47" s="5">
        <f t="shared" ref="Z47:Z55" si="35">IF(T47=0,0,X47/T47)</f>
        <v>-0.55085448916408664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37.159999999999997</v>
      </c>
      <c r="E48" s="2"/>
      <c r="F48" s="7">
        <f t="shared" si="28"/>
        <v>3.970413368539944E-4</v>
      </c>
      <c r="G48" s="2"/>
      <c r="H48" s="6">
        <v>240</v>
      </c>
      <c r="I48" s="2"/>
      <c r="J48" s="7">
        <f t="shared" si="29"/>
        <v>2.6431718061674008E-3</v>
      </c>
      <c r="K48" s="2"/>
      <c r="L48" s="6">
        <f t="shared" si="30"/>
        <v>-202.84</v>
      </c>
      <c r="M48" s="2"/>
      <c r="N48" s="7">
        <f t="shared" si="31"/>
        <v>-0.84516666666666673</v>
      </c>
      <c r="O48" s="11"/>
      <c r="P48" s="6">
        <v>725.37</v>
      </c>
      <c r="Q48" s="2"/>
      <c r="R48" s="7">
        <f t="shared" si="32"/>
        <v>1.313207704571879E-3</v>
      </c>
      <c r="S48" s="2"/>
      <c r="T48" s="6">
        <v>1615</v>
      </c>
      <c r="U48" s="2"/>
      <c r="V48" s="7">
        <f t="shared" si="33"/>
        <v>2.627725349821022E-3</v>
      </c>
      <c r="W48" s="2"/>
      <c r="X48" s="6">
        <f t="shared" si="34"/>
        <v>-889.63</v>
      </c>
      <c r="Y48" s="2"/>
      <c r="Z48" s="7">
        <f t="shared" si="35"/>
        <v>-0.55085448916408664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89.48</v>
      </c>
      <c r="E49" s="1"/>
      <c r="F49" s="5">
        <f t="shared" si="28"/>
        <v>9.5606186280127619E-4</v>
      </c>
      <c r="G49" s="1"/>
      <c r="H49" s="1">
        <f>SUM(OSRRefH22_3x_0)</f>
        <v>10</v>
      </c>
      <c r="I49" s="1"/>
      <c r="J49" s="5">
        <f t="shared" si="29"/>
        <v>1.1013215859030837E-4</v>
      </c>
      <c r="K49" s="1"/>
      <c r="L49" s="1">
        <f t="shared" si="30"/>
        <v>79.48</v>
      </c>
      <c r="M49" s="1"/>
      <c r="N49" s="5">
        <f t="shared" si="31"/>
        <v>7.9480000000000004</v>
      </c>
      <c r="O49" s="13"/>
      <c r="P49" s="1">
        <f>SUM(OSRRefP22_3x_0)</f>
        <v>128.37</v>
      </c>
      <c r="Q49" s="1"/>
      <c r="R49" s="5">
        <f t="shared" si="32"/>
        <v>2.3240066867376939E-4</v>
      </c>
      <c r="S49" s="1"/>
      <c r="T49" s="1">
        <f>SUM(OSRRefT22_3x_0)</f>
        <v>60</v>
      </c>
      <c r="U49" s="1"/>
      <c r="V49" s="5">
        <f t="shared" si="33"/>
        <v>9.7624471200781002E-5</v>
      </c>
      <c r="W49" s="1"/>
      <c r="X49" s="1">
        <f t="shared" si="34"/>
        <v>68.37</v>
      </c>
      <c r="Y49" s="1"/>
      <c r="Z49" s="5">
        <f t="shared" si="35"/>
        <v>1.1395000000000002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89.48</v>
      </c>
      <c r="E50" s="2"/>
      <c r="F50" s="7">
        <f t="shared" si="28"/>
        <v>9.5606186280127619E-4</v>
      </c>
      <c r="G50" s="2"/>
      <c r="H50" s="6">
        <v>10</v>
      </c>
      <c r="I50" s="2"/>
      <c r="J50" s="7">
        <f t="shared" si="29"/>
        <v>1.1013215859030837E-4</v>
      </c>
      <c r="K50" s="2"/>
      <c r="L50" s="6">
        <f t="shared" si="30"/>
        <v>79.48</v>
      </c>
      <c r="M50" s="2"/>
      <c r="N50" s="7">
        <f t="shared" si="31"/>
        <v>7.9480000000000004</v>
      </c>
      <c r="O50" s="11"/>
      <c r="P50" s="6">
        <v>128.37</v>
      </c>
      <c r="Q50" s="2"/>
      <c r="R50" s="7">
        <f t="shared" si="32"/>
        <v>2.3240066867376939E-4</v>
      </c>
      <c r="S50" s="2"/>
      <c r="T50" s="6">
        <v>60</v>
      </c>
      <c r="U50" s="2"/>
      <c r="V50" s="7">
        <f t="shared" si="33"/>
        <v>9.7624471200781002E-5</v>
      </c>
      <c r="W50" s="2"/>
      <c r="X50" s="6">
        <f t="shared" si="34"/>
        <v>68.37</v>
      </c>
      <c r="Y50" s="2"/>
      <c r="Z50" s="7">
        <f t="shared" si="35"/>
        <v>1.1395000000000002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2075.81</v>
      </c>
      <c r="E51" s="1"/>
      <c r="F51" s="5">
        <f t="shared" si="28"/>
        <v>2.2179288951961522E-2</v>
      </c>
      <c r="G51" s="1"/>
      <c r="H51" s="1">
        <f>SUM(OSRRefH22_4x_0)</f>
        <v>1800</v>
      </c>
      <c r="I51" s="1"/>
      <c r="J51" s="5">
        <f t="shared" si="29"/>
        <v>1.9823788546255508E-2</v>
      </c>
      <c r="K51" s="1"/>
      <c r="L51" s="1">
        <f t="shared" si="30"/>
        <v>275.80999999999995</v>
      </c>
      <c r="M51" s="1"/>
      <c r="N51" s="5">
        <f t="shared" si="31"/>
        <v>0.15322777777777774</v>
      </c>
      <c r="O51" s="13"/>
      <c r="P51" s="1">
        <f>SUM(OSRRefP22_4x_0)</f>
        <v>16570.169999999998</v>
      </c>
      <c r="Q51" s="1"/>
      <c r="R51" s="5">
        <f t="shared" si="32"/>
        <v>2.9998586804066626E-2</v>
      </c>
      <c r="S51" s="1"/>
      <c r="T51" s="1">
        <f>SUM(OSRRefT22_4x_0)</f>
        <v>13186</v>
      </c>
      <c r="U51" s="1"/>
      <c r="V51" s="5">
        <f t="shared" si="33"/>
        <v>2.1454604620891635E-2</v>
      </c>
      <c r="W51" s="1"/>
      <c r="X51" s="1">
        <f t="shared" si="34"/>
        <v>3384.1699999999983</v>
      </c>
      <c r="Y51" s="1"/>
      <c r="Z51" s="5">
        <f t="shared" si="35"/>
        <v>0.2566487183376307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2075.81</v>
      </c>
      <c r="E52" s="2"/>
      <c r="F52" s="7">
        <f t="shared" si="28"/>
        <v>2.2179288951961522E-2</v>
      </c>
      <c r="G52" s="2"/>
      <c r="H52" s="6">
        <v>1800</v>
      </c>
      <c r="I52" s="2"/>
      <c r="J52" s="7">
        <f t="shared" si="29"/>
        <v>1.9823788546255508E-2</v>
      </c>
      <c r="K52" s="2"/>
      <c r="L52" s="6">
        <f t="shared" si="30"/>
        <v>275.80999999999995</v>
      </c>
      <c r="M52" s="2"/>
      <c r="N52" s="7">
        <f t="shared" si="31"/>
        <v>0.15322777777777774</v>
      </c>
      <c r="O52" s="11"/>
      <c r="P52" s="6">
        <v>16570.169999999998</v>
      </c>
      <c r="Q52" s="2"/>
      <c r="R52" s="7">
        <f t="shared" si="32"/>
        <v>2.9998586804066626E-2</v>
      </c>
      <c r="S52" s="2"/>
      <c r="T52" s="6">
        <v>13186</v>
      </c>
      <c r="U52" s="2"/>
      <c r="V52" s="7">
        <f t="shared" si="33"/>
        <v>2.1454604620891635E-2</v>
      </c>
      <c r="W52" s="2"/>
      <c r="X52" s="6">
        <f t="shared" si="34"/>
        <v>3384.1699999999983</v>
      </c>
      <c r="Y52" s="2"/>
      <c r="Z52" s="7">
        <f t="shared" si="35"/>
        <v>0.2566487183376307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2067.34</v>
      </c>
      <c r="E53" s="1"/>
      <c r="F53" s="5">
        <f t="shared" si="28"/>
        <v>2.2088790025073652E-2</v>
      </c>
      <c r="G53" s="1"/>
      <c r="H53" s="1">
        <f>SUM(OSRRefH22_5x_0)</f>
        <v>2401</v>
      </c>
      <c r="I53" s="1"/>
      <c r="J53" s="5">
        <f t="shared" si="29"/>
        <v>2.6442731277533039E-2</v>
      </c>
      <c r="K53" s="1"/>
      <c r="L53" s="1">
        <f t="shared" si="30"/>
        <v>-333.65999999999985</v>
      </c>
      <c r="M53" s="1"/>
      <c r="N53" s="5">
        <f t="shared" si="31"/>
        <v>-0.13896709704289872</v>
      </c>
      <c r="O53" s="13"/>
      <c r="P53" s="1">
        <f>SUM(OSRRefP22_5x_0)</f>
        <v>14439.97</v>
      </c>
      <c r="Q53" s="1"/>
      <c r="R53" s="5">
        <f t="shared" si="32"/>
        <v>2.6142079018689486E-2</v>
      </c>
      <c r="S53" s="1"/>
      <c r="T53" s="1">
        <f>SUM(OSRRefT22_5x_0)</f>
        <v>17874</v>
      </c>
      <c r="U53" s="1"/>
      <c r="V53" s="5">
        <f t="shared" si="33"/>
        <v>2.908232997071266E-2</v>
      </c>
      <c r="W53" s="1"/>
      <c r="X53" s="1">
        <f t="shared" si="34"/>
        <v>-3434.0300000000007</v>
      </c>
      <c r="Y53" s="1"/>
      <c r="Z53" s="5">
        <f t="shared" si="35"/>
        <v>-0.1921243146469733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2067.34</v>
      </c>
      <c r="E54" s="2"/>
      <c r="F54" s="7">
        <f t="shared" si="28"/>
        <v>2.2088790025073652E-2</v>
      </c>
      <c r="G54" s="2"/>
      <c r="H54" s="6">
        <v>1674</v>
      </c>
      <c r="I54" s="2"/>
      <c r="J54" s="7">
        <f t="shared" si="29"/>
        <v>1.843612334801762E-2</v>
      </c>
      <c r="K54" s="2"/>
      <c r="L54" s="6">
        <f t="shared" si="30"/>
        <v>393.34000000000015</v>
      </c>
      <c r="M54" s="2"/>
      <c r="N54" s="7">
        <f t="shared" si="31"/>
        <v>0.23497013142174442</v>
      </c>
      <c r="O54" s="11"/>
      <c r="P54" s="6">
        <v>14439.97</v>
      </c>
      <c r="Q54" s="2"/>
      <c r="R54" s="7">
        <f t="shared" si="32"/>
        <v>2.6142079018689486E-2</v>
      </c>
      <c r="S54" s="2"/>
      <c r="T54" s="6">
        <v>13392</v>
      </c>
      <c r="U54" s="2"/>
      <c r="V54" s="7">
        <f t="shared" si="33"/>
        <v>2.1789781972014317E-2</v>
      </c>
      <c r="W54" s="2"/>
      <c r="X54" s="6">
        <f t="shared" si="34"/>
        <v>1047.9699999999993</v>
      </c>
      <c r="Y54" s="2"/>
      <c r="Z54" s="7">
        <f t="shared" si="35"/>
        <v>7.8253434886499357E-2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727</v>
      </c>
      <c r="I55" s="2"/>
      <c r="J55" s="7">
        <f t="shared" si="29"/>
        <v>8.0066079295154184E-3</v>
      </c>
      <c r="K55" s="2"/>
      <c r="L55" s="6">
        <f t="shared" si="30"/>
        <v>-727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4482</v>
      </c>
      <c r="U55" s="2"/>
      <c r="V55" s="7">
        <f t="shared" si="33"/>
        <v>7.2925479986983401E-3</v>
      </c>
      <c r="W55" s="2"/>
      <c r="X55" s="6">
        <f t="shared" si="34"/>
        <v>-4482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0</v>
      </c>
      <c r="M56" s="1"/>
      <c r="N56" s="5">
        <f t="shared" ref="N56:N64" si="39">IF(H56=0,0,L56/H56)</f>
        <v>0</v>
      </c>
      <c r="O56" s="13"/>
      <c r="P56" s="1">
        <f>SUM(OSRRefP22_6x_0)</f>
        <v>236.02</v>
      </c>
      <c r="Q56" s="1"/>
      <c r="R56" s="5">
        <f t="shared" ref="R56:R64" si="40">IF(P$12=0,0,P56/P$12)</f>
        <v>4.2728991057398966E-4</v>
      </c>
      <c r="S56" s="1"/>
      <c r="T56" s="1">
        <f>SUM(OSRRefT22_6x_0)</f>
        <v>240</v>
      </c>
      <c r="U56" s="1"/>
      <c r="V56" s="5">
        <f t="shared" ref="V56:V64" si="41">IF(T$12=0,0,T56/T$12)</f>
        <v>3.9049788480312401E-4</v>
      </c>
      <c r="W56" s="1"/>
      <c r="X56" s="1">
        <f t="shared" ref="X56:X64" si="42">+P56-T56</f>
        <v>-3.9799999999999898</v>
      </c>
      <c r="Y56" s="1"/>
      <c r="Z56" s="5">
        <f t="shared" ref="Z56:Z64" si="43">IF(T56=0,0,X56/T56)</f>
        <v>-1.658333333333329E-2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236.02</v>
      </c>
      <c r="Q57" s="2"/>
      <c r="R57" s="7">
        <f t="shared" si="40"/>
        <v>4.2728991057398966E-4</v>
      </c>
      <c r="S57" s="2"/>
      <c r="T57" s="6">
        <v>240</v>
      </c>
      <c r="U57" s="2"/>
      <c r="V57" s="7">
        <f t="shared" si="41"/>
        <v>3.9049788480312401E-4</v>
      </c>
      <c r="W57" s="2"/>
      <c r="X57" s="6">
        <f t="shared" si="42"/>
        <v>-3.9799999999999898</v>
      </c>
      <c r="Y57" s="2"/>
      <c r="Z57" s="7">
        <f t="shared" si="43"/>
        <v>-1.658333333333329E-2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118.91</v>
      </c>
      <c r="E58" s="1"/>
      <c r="F58" s="5">
        <f t="shared" si="36"/>
        <v>1.270510908646622E-3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3"/>
      <c r="P58" s="1">
        <f>SUM(OSRRefP22_7x_0)</f>
        <v>951.28</v>
      </c>
      <c r="Q58" s="1"/>
      <c r="R58" s="5">
        <f t="shared" si="40"/>
        <v>1.7221945010203578E-3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951.28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118.91</v>
      </c>
      <c r="E59" s="2"/>
      <c r="F59" s="7">
        <f t="shared" si="36"/>
        <v>1.270510908646622E-3</v>
      </c>
      <c r="G59" s="2"/>
      <c r="H59" s="6"/>
      <c r="I59" s="2"/>
      <c r="J59" s="7">
        <f t="shared" si="37"/>
        <v>0</v>
      </c>
      <c r="K59" s="2"/>
      <c r="L59" s="6">
        <f t="shared" si="38"/>
        <v>118.91</v>
      </c>
      <c r="M59" s="2"/>
      <c r="N59" s="7">
        <f t="shared" si="39"/>
        <v>0</v>
      </c>
      <c r="O59" s="11"/>
      <c r="P59" s="6">
        <v>951.28</v>
      </c>
      <c r="Q59" s="2"/>
      <c r="R59" s="7">
        <f t="shared" si="40"/>
        <v>1.7221945010203578E-3</v>
      </c>
      <c r="S59" s="2"/>
      <c r="T59" s="6"/>
      <c r="U59" s="2"/>
      <c r="V59" s="7">
        <f t="shared" si="41"/>
        <v>0</v>
      </c>
      <c r="W59" s="2"/>
      <c r="X59" s="6">
        <f t="shared" si="42"/>
        <v>951.28</v>
      </c>
      <c r="Y59" s="2"/>
      <c r="Z59" s="7">
        <f t="shared" si="43"/>
        <v>0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1492.87</v>
      </c>
      <c r="E60" s="1"/>
      <c r="F60" s="5">
        <f t="shared" si="36"/>
        <v>1.5950783114887585E-2</v>
      </c>
      <c r="G60" s="1"/>
      <c r="H60" s="1">
        <f>SUM(OSRRefH22_8x_0)</f>
        <v>1200</v>
      </c>
      <c r="I60" s="1"/>
      <c r="J60" s="5">
        <f t="shared" si="37"/>
        <v>1.3215859030837005E-2</v>
      </c>
      <c r="K60" s="1"/>
      <c r="L60" s="1">
        <f t="shared" si="38"/>
        <v>292.86999999999989</v>
      </c>
      <c r="M60" s="1"/>
      <c r="N60" s="5">
        <f t="shared" si="39"/>
        <v>0.24405833333333324</v>
      </c>
      <c r="O60" s="13"/>
      <c r="P60" s="1">
        <f>SUM(OSRRefP22_8x_0)</f>
        <v>8730.1</v>
      </c>
      <c r="Q60" s="1"/>
      <c r="R60" s="5">
        <f t="shared" si="40"/>
        <v>1.5804947243038669E-2</v>
      </c>
      <c r="S60" s="1"/>
      <c r="T60" s="1">
        <f>SUM(OSRRefT22_8x_0)</f>
        <v>8600</v>
      </c>
      <c r="U60" s="1"/>
      <c r="V60" s="5">
        <f t="shared" si="41"/>
        <v>1.3992840872111943E-2</v>
      </c>
      <c r="W60" s="1"/>
      <c r="X60" s="1">
        <f t="shared" si="42"/>
        <v>130.10000000000036</v>
      </c>
      <c r="Y60" s="1"/>
      <c r="Z60" s="5">
        <f t="shared" si="43"/>
        <v>1.5127906976744229E-2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1492.87</v>
      </c>
      <c r="E61" s="2"/>
      <c r="F61" s="7">
        <f t="shared" si="36"/>
        <v>1.5950783114887585E-2</v>
      </c>
      <c r="G61" s="2"/>
      <c r="H61" s="6">
        <v>1200</v>
      </c>
      <c r="I61" s="2"/>
      <c r="J61" s="7">
        <f t="shared" si="37"/>
        <v>1.3215859030837005E-2</v>
      </c>
      <c r="K61" s="2"/>
      <c r="L61" s="6">
        <f t="shared" si="38"/>
        <v>292.86999999999989</v>
      </c>
      <c r="M61" s="2"/>
      <c r="N61" s="7">
        <f t="shared" si="39"/>
        <v>0.24405833333333324</v>
      </c>
      <c r="O61" s="11"/>
      <c r="P61" s="6">
        <v>8730.1</v>
      </c>
      <c r="Q61" s="2"/>
      <c r="R61" s="7">
        <f t="shared" si="40"/>
        <v>1.5804947243038669E-2</v>
      </c>
      <c r="S61" s="2"/>
      <c r="T61" s="6">
        <v>8600</v>
      </c>
      <c r="U61" s="2"/>
      <c r="V61" s="7">
        <f t="shared" si="41"/>
        <v>1.3992840872111943E-2</v>
      </c>
      <c r="W61" s="2"/>
      <c r="X61" s="6">
        <f t="shared" si="42"/>
        <v>130.10000000000036</v>
      </c>
      <c r="Y61" s="2"/>
      <c r="Z61" s="7">
        <f t="shared" si="43"/>
        <v>1.5127906976744229E-2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1667.28</v>
      </c>
      <c r="E62" s="1"/>
      <c r="F62" s="5">
        <f t="shared" si="36"/>
        <v>1.7814291714475992E-2</v>
      </c>
      <c r="G62" s="1"/>
      <c r="H62" s="1">
        <f>SUM(OSRRefH22_9x_0)</f>
        <v>300</v>
      </c>
      <c r="I62" s="1"/>
      <c r="J62" s="5">
        <f t="shared" si="37"/>
        <v>3.3039647577092512E-3</v>
      </c>
      <c r="K62" s="1"/>
      <c r="L62" s="1">
        <f t="shared" si="38"/>
        <v>1367.28</v>
      </c>
      <c r="M62" s="1"/>
      <c r="N62" s="5">
        <f t="shared" si="39"/>
        <v>4.5575999999999999</v>
      </c>
      <c r="O62" s="13"/>
      <c r="P62" s="1">
        <f>SUM(OSRRefP22_9x_0)</f>
        <v>7089.62</v>
      </c>
      <c r="Q62" s="1"/>
      <c r="R62" s="5">
        <f t="shared" si="40"/>
        <v>1.2835027098566088E-2</v>
      </c>
      <c r="S62" s="1"/>
      <c r="T62" s="1">
        <f>SUM(OSRRefT22_9x_0)</f>
        <v>3300</v>
      </c>
      <c r="U62" s="1"/>
      <c r="V62" s="5">
        <f t="shared" si="41"/>
        <v>5.3693459160429544E-3</v>
      </c>
      <c r="W62" s="1"/>
      <c r="X62" s="1">
        <f t="shared" si="42"/>
        <v>3789.62</v>
      </c>
      <c r="Y62" s="1"/>
      <c r="Z62" s="5">
        <f t="shared" si="43"/>
        <v>1.148369696969697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240.39</v>
      </c>
      <c r="Q63" s="2"/>
      <c r="R63" s="7">
        <f t="shared" si="40"/>
        <v>4.3520134566088194E-4</v>
      </c>
      <c r="S63" s="2"/>
      <c r="T63" s="6"/>
      <c r="U63" s="2"/>
      <c r="V63" s="7">
        <f t="shared" si="41"/>
        <v>0</v>
      </c>
      <c r="W63" s="2"/>
      <c r="X63" s="6">
        <f t="shared" si="42"/>
        <v>240.39</v>
      </c>
      <c r="Y63" s="2"/>
      <c r="Z63" s="7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1667.28</v>
      </c>
      <c r="E64" s="2"/>
      <c r="F64" s="7">
        <f t="shared" si="36"/>
        <v>1.7814291714475992E-2</v>
      </c>
      <c r="G64" s="2"/>
      <c r="H64" s="6">
        <v>300</v>
      </c>
      <c r="I64" s="2"/>
      <c r="J64" s="7">
        <f t="shared" si="37"/>
        <v>3.3039647577092512E-3</v>
      </c>
      <c r="K64" s="2"/>
      <c r="L64" s="6">
        <f t="shared" si="38"/>
        <v>1367.28</v>
      </c>
      <c r="M64" s="2"/>
      <c r="N64" s="7">
        <f t="shared" si="39"/>
        <v>4.5575999999999999</v>
      </c>
      <c r="O64" s="11"/>
      <c r="P64" s="6">
        <v>6849.23</v>
      </c>
      <c r="Q64" s="2"/>
      <c r="R64" s="7">
        <f t="shared" si="40"/>
        <v>1.2399825752905207E-2</v>
      </c>
      <c r="S64" s="2"/>
      <c r="T64" s="6">
        <v>3300</v>
      </c>
      <c r="U64" s="2"/>
      <c r="V64" s="7">
        <f t="shared" si="41"/>
        <v>5.3693459160429544E-3</v>
      </c>
      <c r="W64" s="2"/>
      <c r="X64" s="6">
        <f t="shared" si="42"/>
        <v>3549.2299999999996</v>
      </c>
      <c r="Y64" s="2"/>
      <c r="Z64" s="7">
        <f t="shared" si="43"/>
        <v>1.0755242424242424</v>
      </c>
    </row>
    <row r="65" spans="1:26" s="27" customFormat="1" outlineLevel="1" collapsed="1" x14ac:dyDescent="0.25">
      <c r="A65" s="26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7487.36</v>
      </c>
      <c r="E65" s="1"/>
      <c r="F65" s="5">
        <f t="shared" ref="F65:F78" si="44">IF(D$12=0,0,D65/D$12)</f>
        <v>7.9999769211709468E-2</v>
      </c>
      <c r="G65" s="1"/>
      <c r="H65" s="1">
        <f>SUM(OSRRefH22_10x_0)</f>
        <v>7200</v>
      </c>
      <c r="I65" s="1"/>
      <c r="J65" s="5">
        <f t="shared" ref="J65:J78" si="45">IF(H$12=0,0,H65/H$12)</f>
        <v>7.9295154185022032E-2</v>
      </c>
      <c r="K65" s="1"/>
      <c r="L65" s="1">
        <f t="shared" ref="L65:L78" si="46">+D65-H65</f>
        <v>287.35999999999967</v>
      </c>
      <c r="M65" s="1"/>
      <c r="N65" s="5">
        <f t="shared" ref="N65:N78" si="47">IF(H65=0,0,L65/H65)</f>
        <v>3.9911111111111064E-2</v>
      </c>
      <c r="O65" s="13"/>
      <c r="P65" s="1">
        <f>SUM(OSRRefP22_10x_0)</f>
        <v>40969.360000000001</v>
      </c>
      <c r="Q65" s="1"/>
      <c r="R65" s="5">
        <f t="shared" ref="R65:R78" si="48">IF(P$12=0,0,P65/P$12)</f>
        <v>7.4170808281813355E-2</v>
      </c>
      <c r="S65" s="1"/>
      <c r="T65" s="1">
        <f>SUM(OSRRefT22_10x_0)</f>
        <v>47120</v>
      </c>
      <c r="U65" s="1"/>
      <c r="V65" s="5">
        <f t="shared" ref="V65:V78" si="49">IF(T$12=0,0,T65/T$12)</f>
        <v>7.6667751383013336E-2</v>
      </c>
      <c r="W65" s="1"/>
      <c r="X65" s="1">
        <f t="shared" ref="X65:X78" si="50">+P65-T65</f>
        <v>-6150.6399999999994</v>
      </c>
      <c r="Y65" s="1"/>
      <c r="Z65" s="5">
        <f t="shared" ref="Z65:Z78" si="51">IF(T65=0,0,X65/T65)</f>
        <v>-0.13053140916808148</v>
      </c>
    </row>
    <row r="66" spans="1:26" s="24" customFormat="1" hidden="1" outlineLevel="2" x14ac:dyDescent="0.25">
      <c r="A66" s="25"/>
      <c r="B66" s="11" t="str">
        <f>CONCATENATE("          ", "6259", " - ", "ROYALTY &amp; COMMISSIONS")</f>
        <v xml:space="preserve">          6259 - ROYALTY &amp; COMMISSIONS</v>
      </c>
      <c r="C66" s="11"/>
      <c r="D66" s="6">
        <v>7487.36</v>
      </c>
      <c r="E66" s="2"/>
      <c r="F66" s="7">
        <f t="shared" si="44"/>
        <v>7.9999769211709468E-2</v>
      </c>
      <c r="G66" s="2"/>
      <c r="H66" s="6">
        <v>7200</v>
      </c>
      <c r="I66" s="2"/>
      <c r="J66" s="7">
        <f t="shared" si="45"/>
        <v>7.9295154185022032E-2</v>
      </c>
      <c r="K66" s="2"/>
      <c r="L66" s="6">
        <f t="shared" si="46"/>
        <v>287.35999999999967</v>
      </c>
      <c r="M66" s="2"/>
      <c r="N66" s="7">
        <f t="shared" si="47"/>
        <v>3.9911111111111064E-2</v>
      </c>
      <c r="O66" s="11"/>
      <c r="P66" s="6">
        <v>40969.360000000001</v>
      </c>
      <c r="Q66" s="2"/>
      <c r="R66" s="7">
        <f t="shared" si="48"/>
        <v>7.4170808281813355E-2</v>
      </c>
      <c r="S66" s="2"/>
      <c r="T66" s="6">
        <v>47120</v>
      </c>
      <c r="U66" s="2"/>
      <c r="V66" s="7">
        <f t="shared" si="49"/>
        <v>7.6667751383013336E-2</v>
      </c>
      <c r="W66" s="2"/>
      <c r="X66" s="6">
        <f t="shared" si="50"/>
        <v>-6150.6399999999994</v>
      </c>
      <c r="Y66" s="2"/>
      <c r="Z66" s="7">
        <f t="shared" si="51"/>
        <v>-0.13053140916808148</v>
      </c>
    </row>
    <row r="67" spans="1:26" s="27" customFormat="1" outlineLevel="1" collapsed="1" x14ac:dyDescent="0.25">
      <c r="A67" s="26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65</v>
      </c>
      <c r="E67" s="1"/>
      <c r="F67" s="5">
        <f t="shared" si="44"/>
        <v>6.9450180020208931E-4</v>
      </c>
      <c r="G67" s="1"/>
      <c r="H67" s="1">
        <f>SUM(OSRRefH22_11x_0)</f>
        <v>120</v>
      </c>
      <c r="I67" s="1"/>
      <c r="J67" s="5">
        <f t="shared" si="45"/>
        <v>1.3215859030837004E-3</v>
      </c>
      <c r="K67" s="1"/>
      <c r="L67" s="1">
        <f t="shared" si="46"/>
        <v>-55</v>
      </c>
      <c r="M67" s="1"/>
      <c r="N67" s="5">
        <f t="shared" si="47"/>
        <v>-0.45833333333333331</v>
      </c>
      <c r="O67" s="13"/>
      <c r="P67" s="1">
        <f>SUM(OSRRefP22_11x_0)</f>
        <v>476.1</v>
      </c>
      <c r="Q67" s="1"/>
      <c r="R67" s="5">
        <f t="shared" si="48"/>
        <v>8.6193003315090445E-4</v>
      </c>
      <c r="S67" s="1"/>
      <c r="T67" s="1">
        <f>SUM(OSRRefT22_11x_0)</f>
        <v>960</v>
      </c>
      <c r="U67" s="1"/>
      <c r="V67" s="5">
        <f t="shared" si="49"/>
        <v>1.561991539212496E-3</v>
      </c>
      <c r="W67" s="1"/>
      <c r="X67" s="1">
        <f t="shared" si="50"/>
        <v>-483.9</v>
      </c>
      <c r="Y67" s="1"/>
      <c r="Z67" s="5">
        <f t="shared" si="51"/>
        <v>-0.50406249999999997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65</v>
      </c>
      <c r="E68" s="2"/>
      <c r="F68" s="7">
        <f t="shared" si="44"/>
        <v>6.9450180020208931E-4</v>
      </c>
      <c r="G68" s="2"/>
      <c r="H68" s="6">
        <v>120</v>
      </c>
      <c r="I68" s="2"/>
      <c r="J68" s="7">
        <f t="shared" si="45"/>
        <v>1.3215859030837004E-3</v>
      </c>
      <c r="K68" s="2"/>
      <c r="L68" s="6">
        <f t="shared" si="46"/>
        <v>-55</v>
      </c>
      <c r="M68" s="2"/>
      <c r="N68" s="7">
        <f t="shared" si="47"/>
        <v>-0.45833333333333331</v>
      </c>
      <c r="O68" s="11"/>
      <c r="P68" s="6">
        <v>476.1</v>
      </c>
      <c r="Q68" s="2"/>
      <c r="R68" s="7">
        <f t="shared" si="48"/>
        <v>8.6193003315090445E-4</v>
      </c>
      <c r="S68" s="2"/>
      <c r="T68" s="6">
        <v>960</v>
      </c>
      <c r="U68" s="2"/>
      <c r="V68" s="7">
        <f t="shared" si="49"/>
        <v>1.561991539212496E-3</v>
      </c>
      <c r="W68" s="2"/>
      <c r="X68" s="6">
        <f t="shared" si="50"/>
        <v>-483.9</v>
      </c>
      <c r="Y68" s="2"/>
      <c r="Z68" s="7">
        <f t="shared" si="51"/>
        <v>-0.50406249999999997</v>
      </c>
    </row>
    <row r="69" spans="1:26" s="27" customFormat="1" outlineLevel="1" collapsed="1" x14ac:dyDescent="0.25">
      <c r="A69" s="26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SUM(OSRRefD22_12x_0)</f>
        <v>0</v>
      </c>
      <c r="E69" s="1"/>
      <c r="F69" s="5">
        <f t="shared" si="44"/>
        <v>0</v>
      </c>
      <c r="G69" s="1"/>
      <c r="H69" s="1">
        <f>SUM(OSRRefH22_12x_0)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3"/>
      <c r="P69" s="1">
        <f>SUM(OSRRefP22_12x_0)</f>
        <v>122.72</v>
      </c>
      <c r="Q69" s="1"/>
      <c r="R69" s="5">
        <f t="shared" si="48"/>
        <v>2.2217192536920602E-4</v>
      </c>
      <c r="S69" s="1"/>
      <c r="T69" s="1">
        <f>SUM(OSRRefT22_12x_0)</f>
        <v>0</v>
      </c>
      <c r="U69" s="1"/>
      <c r="V69" s="5">
        <f t="shared" si="49"/>
        <v>0</v>
      </c>
      <c r="W69" s="1"/>
      <c r="X69" s="1">
        <f t="shared" si="50"/>
        <v>122.72</v>
      </c>
      <c r="Y69" s="1"/>
      <c r="Z69" s="5">
        <f t="shared" si="51"/>
        <v>0</v>
      </c>
    </row>
    <row r="70" spans="1:26" s="24" customFormat="1" hidden="1" outlineLevel="2" x14ac:dyDescent="0.25">
      <c r="A70" s="25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122.72</v>
      </c>
      <c r="Q70" s="2"/>
      <c r="R70" s="7">
        <f t="shared" si="48"/>
        <v>2.2217192536920602E-4</v>
      </c>
      <c r="S70" s="2"/>
      <c r="T70" s="6"/>
      <c r="U70" s="2"/>
      <c r="V70" s="7">
        <f t="shared" si="49"/>
        <v>0</v>
      </c>
      <c r="W70" s="2"/>
      <c r="X70" s="6">
        <f t="shared" si="50"/>
        <v>122.72</v>
      </c>
      <c r="Y70" s="2"/>
      <c r="Z70" s="7">
        <f t="shared" si="51"/>
        <v>0</v>
      </c>
    </row>
    <row r="71" spans="1:26" s="27" customFormat="1" outlineLevel="1" collapsed="1" x14ac:dyDescent="0.25">
      <c r="A71" s="26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SUM(OSRRefD22_13x_0)</f>
        <v>2472.56</v>
      </c>
      <c r="E71" s="1"/>
      <c r="F71" s="5">
        <f t="shared" si="44"/>
        <v>2.6418421093964275E-2</v>
      </c>
      <c r="G71" s="1"/>
      <c r="H71" s="1">
        <f>SUM(OSRRefH22_13x_0)</f>
        <v>475</v>
      </c>
      <c r="I71" s="1"/>
      <c r="J71" s="5">
        <f t="shared" si="45"/>
        <v>5.2312775330396475E-3</v>
      </c>
      <c r="K71" s="1"/>
      <c r="L71" s="1">
        <f t="shared" si="46"/>
        <v>1997.56</v>
      </c>
      <c r="M71" s="1"/>
      <c r="N71" s="5">
        <f t="shared" si="47"/>
        <v>4.2053894736842103</v>
      </c>
      <c r="O71" s="13"/>
      <c r="P71" s="1">
        <f>SUM(OSRRefP22_13x_0)</f>
        <v>11184.159999999998</v>
      </c>
      <c r="Q71" s="1"/>
      <c r="R71" s="5">
        <f t="shared" si="48"/>
        <v>2.0247770215427469E-2</v>
      </c>
      <c r="S71" s="1"/>
      <c r="T71" s="1">
        <f>SUM(OSRRefT22_13x_0)</f>
        <v>10441</v>
      </c>
      <c r="U71" s="1"/>
      <c r="V71" s="5">
        <f t="shared" si="49"/>
        <v>1.6988285063455906E-2</v>
      </c>
      <c r="W71" s="1"/>
      <c r="X71" s="1">
        <f t="shared" si="50"/>
        <v>743.15999999999804</v>
      </c>
      <c r="Y71" s="1"/>
      <c r="Z71" s="5">
        <f t="shared" si="51"/>
        <v>7.1177090317019256E-2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>
        <v>31.65</v>
      </c>
      <c r="E72" s="2"/>
      <c r="F72" s="7">
        <f t="shared" si="44"/>
        <v>3.3816895348301733E-4</v>
      </c>
      <c r="G72" s="2"/>
      <c r="H72" s="6"/>
      <c r="I72" s="2"/>
      <c r="J72" s="7">
        <f t="shared" si="45"/>
        <v>0</v>
      </c>
      <c r="K72" s="2"/>
      <c r="L72" s="6">
        <f t="shared" si="46"/>
        <v>31.65</v>
      </c>
      <c r="M72" s="2"/>
      <c r="N72" s="7">
        <f t="shared" si="47"/>
        <v>0</v>
      </c>
      <c r="O72" s="11"/>
      <c r="P72" s="6">
        <v>268.49</v>
      </c>
      <c r="Q72" s="2"/>
      <c r="R72" s="7">
        <f t="shared" si="48"/>
        <v>4.860735026269404E-4</v>
      </c>
      <c r="S72" s="2"/>
      <c r="T72" s="6"/>
      <c r="U72" s="2"/>
      <c r="V72" s="7">
        <f t="shared" si="49"/>
        <v>0</v>
      </c>
      <c r="W72" s="2"/>
      <c r="X72" s="6">
        <f t="shared" si="50"/>
        <v>268.49</v>
      </c>
      <c r="Y72" s="2"/>
      <c r="Z72" s="7">
        <f t="shared" si="51"/>
        <v>0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>
        <v>92.77</v>
      </c>
      <c r="E73" s="2"/>
      <c r="F73" s="7">
        <f t="shared" si="44"/>
        <v>9.9121433853458191E-4</v>
      </c>
      <c r="G73" s="2"/>
      <c r="H73" s="6">
        <v>280</v>
      </c>
      <c r="I73" s="2"/>
      <c r="J73" s="7">
        <f t="shared" si="45"/>
        <v>3.0837004405286344E-3</v>
      </c>
      <c r="K73" s="2"/>
      <c r="L73" s="6">
        <f t="shared" si="46"/>
        <v>-187.23000000000002</v>
      </c>
      <c r="M73" s="2"/>
      <c r="N73" s="7">
        <f t="shared" si="47"/>
        <v>-0.66867857142857146</v>
      </c>
      <c r="O73" s="11"/>
      <c r="P73" s="6">
        <v>1992.08</v>
      </c>
      <c r="Q73" s="2"/>
      <c r="R73" s="7">
        <f t="shared" si="48"/>
        <v>3.6064557455140803E-3</v>
      </c>
      <c r="S73" s="2"/>
      <c r="T73" s="6">
        <v>7136</v>
      </c>
      <c r="U73" s="2"/>
      <c r="V73" s="7">
        <f t="shared" si="49"/>
        <v>1.1610803774812887E-2</v>
      </c>
      <c r="W73" s="2"/>
      <c r="X73" s="6">
        <f t="shared" si="50"/>
        <v>-5143.92</v>
      </c>
      <c r="Y73" s="2"/>
      <c r="Z73" s="7">
        <f t="shared" si="51"/>
        <v>-0.72084080717488785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44"/>
        <v>0</v>
      </c>
      <c r="G74" s="2"/>
      <c r="H74" s="6">
        <v>20</v>
      </c>
      <c r="I74" s="2"/>
      <c r="J74" s="7">
        <f t="shared" si="45"/>
        <v>2.2026431718061675E-4</v>
      </c>
      <c r="K74" s="2"/>
      <c r="L74" s="6">
        <f t="shared" si="46"/>
        <v>-20</v>
      </c>
      <c r="M74" s="2"/>
      <c r="N74" s="7">
        <f t="shared" si="47"/>
        <v>-1</v>
      </c>
      <c r="O74" s="11"/>
      <c r="P74" s="6">
        <v>1499.6</v>
      </c>
      <c r="Q74" s="2"/>
      <c r="R74" s="7">
        <f t="shared" si="48"/>
        <v>2.7148714087651673E-3</v>
      </c>
      <c r="S74" s="2"/>
      <c r="T74" s="6">
        <v>160</v>
      </c>
      <c r="U74" s="2"/>
      <c r="V74" s="7">
        <f t="shared" si="49"/>
        <v>2.6033192320208264E-4</v>
      </c>
      <c r="W74" s="2"/>
      <c r="X74" s="6">
        <f t="shared" si="50"/>
        <v>1339.6</v>
      </c>
      <c r="Y74" s="2"/>
      <c r="Z74" s="7">
        <f t="shared" si="51"/>
        <v>8.3724999999999987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6">
        <v>156.46</v>
      </c>
      <c r="E75" s="2"/>
      <c r="F75" s="7">
        <f t="shared" si="44"/>
        <v>1.6717192563018293E-3</v>
      </c>
      <c r="G75" s="2"/>
      <c r="H75" s="6">
        <v>175</v>
      </c>
      <c r="I75" s="2"/>
      <c r="J75" s="7">
        <f t="shared" si="45"/>
        <v>1.9273127753303965E-3</v>
      </c>
      <c r="K75" s="2"/>
      <c r="L75" s="6">
        <f t="shared" si="46"/>
        <v>-18.539999999999992</v>
      </c>
      <c r="M75" s="2"/>
      <c r="N75" s="7">
        <f t="shared" si="47"/>
        <v>-0.1059428571428571</v>
      </c>
      <c r="O75" s="11"/>
      <c r="P75" s="6">
        <v>3640.61</v>
      </c>
      <c r="Q75" s="2"/>
      <c r="R75" s="7">
        <f t="shared" si="48"/>
        <v>6.5909495861993577E-3</v>
      </c>
      <c r="S75" s="2"/>
      <c r="T75" s="6">
        <v>3145</v>
      </c>
      <c r="U75" s="2"/>
      <c r="V75" s="7">
        <f t="shared" si="49"/>
        <v>5.1171493654409376E-3</v>
      </c>
      <c r="W75" s="2"/>
      <c r="X75" s="6">
        <f t="shared" si="50"/>
        <v>495.61000000000013</v>
      </c>
      <c r="Y75" s="2"/>
      <c r="Z75" s="7">
        <f t="shared" si="51"/>
        <v>0.15758664546899845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181.92</v>
      </c>
      <c r="Q76" s="2"/>
      <c r="R76" s="7">
        <f t="shared" si="48"/>
        <v>3.293474304364892E-4</v>
      </c>
      <c r="S76" s="2"/>
      <c r="T76" s="6"/>
      <c r="U76" s="2"/>
      <c r="V76" s="7">
        <f t="shared" si="49"/>
        <v>0</v>
      </c>
      <c r="W76" s="2"/>
      <c r="X76" s="6">
        <f t="shared" si="50"/>
        <v>181.92</v>
      </c>
      <c r="Y76" s="2"/>
      <c r="Z76" s="7">
        <f t="shared" si="51"/>
        <v>0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6">
        <v>2191.6799999999998</v>
      </c>
      <c r="E77" s="2"/>
      <c r="F77" s="7">
        <f t="shared" si="44"/>
        <v>2.3417318545644845E-2</v>
      </c>
      <c r="G77" s="2"/>
      <c r="H77" s="6"/>
      <c r="I77" s="2"/>
      <c r="J77" s="7">
        <f t="shared" si="45"/>
        <v>0</v>
      </c>
      <c r="K77" s="2"/>
      <c r="L77" s="6">
        <f t="shared" si="46"/>
        <v>2191.6799999999998</v>
      </c>
      <c r="M77" s="2"/>
      <c r="N77" s="7">
        <f t="shared" si="47"/>
        <v>0</v>
      </c>
      <c r="O77" s="11"/>
      <c r="P77" s="6">
        <v>3454.49</v>
      </c>
      <c r="Q77" s="2"/>
      <c r="R77" s="7">
        <f t="shared" si="48"/>
        <v>6.2539984881736354E-3</v>
      </c>
      <c r="S77" s="2"/>
      <c r="T77" s="6"/>
      <c r="U77" s="2"/>
      <c r="V77" s="7">
        <f t="shared" si="49"/>
        <v>0</v>
      </c>
      <c r="W77" s="2"/>
      <c r="X77" s="6">
        <f t="shared" si="50"/>
        <v>3454.49</v>
      </c>
      <c r="Y77" s="2"/>
      <c r="Z77" s="7">
        <f t="shared" si="51"/>
        <v>0</v>
      </c>
    </row>
    <row r="78" spans="1:26" s="24" customFormat="1" hidden="1" outlineLevel="2" x14ac:dyDescent="0.25">
      <c r="A78" s="25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146.97</v>
      </c>
      <c r="Q78" s="2"/>
      <c r="R78" s="7">
        <f t="shared" si="48"/>
        <v>2.6607405371180094E-4</v>
      </c>
      <c r="S78" s="2"/>
      <c r="T78" s="6"/>
      <c r="U78" s="2"/>
      <c r="V78" s="7">
        <f t="shared" si="49"/>
        <v>0</v>
      </c>
      <c r="W78" s="2"/>
      <c r="X78" s="6">
        <f t="shared" si="50"/>
        <v>146.97</v>
      </c>
      <c r="Y78" s="2"/>
      <c r="Z78" s="7">
        <f t="shared" si="51"/>
        <v>0</v>
      </c>
    </row>
    <row r="79" spans="1:26" s="27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0</v>
      </c>
      <c r="E79" s="1"/>
      <c r="F79" s="5">
        <f t="shared" ref="F79:F82" si="52">IF(D$12=0,0,D79/D$12)</f>
        <v>0</v>
      </c>
      <c r="G79" s="1"/>
      <c r="H79" s="1">
        <f>SUM(OSRRefH22_14x_0)</f>
        <v>50</v>
      </c>
      <c r="I79" s="1"/>
      <c r="J79" s="5">
        <f t="shared" ref="J79:J82" si="53">IF(H$12=0,0,H79/H$12)</f>
        <v>5.506607929515419E-4</v>
      </c>
      <c r="K79" s="1"/>
      <c r="L79" s="1">
        <f t="shared" ref="L79:L82" si="54">+D79-H79</f>
        <v>-50</v>
      </c>
      <c r="M79" s="1"/>
      <c r="N79" s="5">
        <f t="shared" ref="N79:N82" si="55">IF(H79=0,0,L79/H79)</f>
        <v>-1</v>
      </c>
      <c r="O79" s="13"/>
      <c r="P79" s="1">
        <f>SUM(OSRRefP22_14x_0)</f>
        <v>-45</v>
      </c>
      <c r="Q79" s="1"/>
      <c r="R79" s="5">
        <f t="shared" ref="R79:R82" si="56">IF(P$12=0,0,P79/P$12)</f>
        <v>-8.1467867027495695E-5</v>
      </c>
      <c r="S79" s="1"/>
      <c r="T79" s="1">
        <f>SUM(OSRRefT22_14x_0)</f>
        <v>400</v>
      </c>
      <c r="U79" s="1"/>
      <c r="V79" s="5">
        <f t="shared" ref="V79:V82" si="57">IF(T$12=0,0,T79/T$12)</f>
        <v>6.5082980800520659E-4</v>
      </c>
      <c r="W79" s="1"/>
      <c r="X79" s="1">
        <f t="shared" ref="X79:X82" si="58">+P79-T79</f>
        <v>-445</v>
      </c>
      <c r="Y79" s="1"/>
      <c r="Z79" s="5">
        <f t="shared" ref="Z79:Z82" si="59">IF(T79=0,0,X79/T79)</f>
        <v>-1.1125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6"/>
      <c r="E80" s="2"/>
      <c r="F80" s="7">
        <f t="shared" si="52"/>
        <v>0</v>
      </c>
      <c r="G80" s="2"/>
      <c r="H80" s="6">
        <v>50</v>
      </c>
      <c r="I80" s="2"/>
      <c r="J80" s="7">
        <f t="shared" si="53"/>
        <v>5.506607929515419E-4</v>
      </c>
      <c r="K80" s="2"/>
      <c r="L80" s="6">
        <f t="shared" si="54"/>
        <v>-50</v>
      </c>
      <c r="M80" s="2"/>
      <c r="N80" s="7">
        <f t="shared" si="55"/>
        <v>-1</v>
      </c>
      <c r="O80" s="11"/>
      <c r="P80" s="6">
        <v>-45</v>
      </c>
      <c r="Q80" s="2"/>
      <c r="R80" s="7">
        <f t="shared" si="56"/>
        <v>-8.1467867027495695E-5</v>
      </c>
      <c r="S80" s="2"/>
      <c r="T80" s="6">
        <v>400</v>
      </c>
      <c r="U80" s="2"/>
      <c r="V80" s="7">
        <f t="shared" si="57"/>
        <v>6.5082980800520659E-4</v>
      </c>
      <c r="W80" s="2"/>
      <c r="X80" s="6">
        <f t="shared" si="58"/>
        <v>-445</v>
      </c>
      <c r="Y80" s="2"/>
      <c r="Z80" s="7">
        <f t="shared" si="59"/>
        <v>-1.1125</v>
      </c>
    </row>
    <row r="81" spans="1:26" s="27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0</v>
      </c>
      <c r="E81" s="1"/>
      <c r="F81" s="5">
        <f t="shared" si="52"/>
        <v>0</v>
      </c>
      <c r="G81" s="1"/>
      <c r="H81" s="1">
        <f>SUM(OSRRefH22_15x_0)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3"/>
      <c r="P81" s="1">
        <f>SUM(OSRRefP22_15x_0)</f>
        <v>96</v>
      </c>
      <c r="Q81" s="1"/>
      <c r="R81" s="5">
        <f t="shared" si="56"/>
        <v>1.7379811632532415E-4</v>
      </c>
      <c r="S81" s="1"/>
      <c r="T81" s="1">
        <f>SUM(OSRRefT22_15x_0)</f>
        <v>160</v>
      </c>
      <c r="U81" s="1"/>
      <c r="V81" s="5">
        <f t="shared" si="57"/>
        <v>2.6033192320208264E-4</v>
      </c>
      <c r="W81" s="1"/>
      <c r="X81" s="1">
        <f t="shared" si="58"/>
        <v>-64</v>
      </c>
      <c r="Y81" s="1"/>
      <c r="Z81" s="5">
        <f t="shared" si="59"/>
        <v>-0.4</v>
      </c>
    </row>
    <row r="82" spans="1:26" s="24" customFormat="1" hidden="1" outlineLevel="2" x14ac:dyDescent="0.25">
      <c r="A82" s="25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>
        <v>96</v>
      </c>
      <c r="Q82" s="2"/>
      <c r="R82" s="7">
        <f t="shared" si="56"/>
        <v>1.7379811632532415E-4</v>
      </c>
      <c r="S82" s="2"/>
      <c r="T82" s="6">
        <v>160</v>
      </c>
      <c r="U82" s="2"/>
      <c r="V82" s="7">
        <f t="shared" si="57"/>
        <v>2.6033192320208264E-4</v>
      </c>
      <c r="W82" s="2"/>
      <c r="X82" s="6">
        <f t="shared" si="58"/>
        <v>-64</v>
      </c>
      <c r="Y82" s="2"/>
      <c r="Z82" s="7">
        <f t="shared" si="59"/>
        <v>-0.4</v>
      </c>
    </row>
    <row r="83" spans="1:26" s="53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1">
        <f>+D23-D25+D84</f>
        <v>14551.580000000002</v>
      </c>
      <c r="E86" s="14"/>
      <c r="F86" s="22">
        <f>IF(D$12=0,0,D86/D$12)</f>
        <v>0.15547843855053414</v>
      </c>
      <c r="G86" s="14"/>
      <c r="H86" s="21">
        <f>+H23-H25+H84</f>
        <v>19544.844780799998</v>
      </c>
      <c r="I86" s="14"/>
      <c r="J86" s="22">
        <f>IF(H$12=0,0,H86/H$12)</f>
        <v>0.21525159450220263</v>
      </c>
      <c r="K86" s="15"/>
      <c r="L86" s="21">
        <f>+D86-H86</f>
        <v>-4993.2647807999965</v>
      </c>
      <c r="M86" s="15"/>
      <c r="N86" s="22">
        <f>IF(H86=0,0,L86/H86)</f>
        <v>-0.2554773310712174</v>
      </c>
      <c r="O86" s="29"/>
      <c r="P86" s="21">
        <f>+P23-P25+P84</f>
        <v>83075.070000000182</v>
      </c>
      <c r="Q86" s="14"/>
      <c r="R86" s="22">
        <f>IF(P$12=0,0,P86/P$12)</f>
        <v>0.15039886124577581</v>
      </c>
      <c r="S86" s="14"/>
      <c r="T86" s="21">
        <f>+T23-T25+T84</f>
        <v>137616.46989499999</v>
      </c>
      <c r="U86" s="14"/>
      <c r="V86" s="22">
        <f>IF(T$12=0,0,T86/T$12)</f>
        <v>0.22391225170029286</v>
      </c>
      <c r="W86" s="15"/>
      <c r="X86" s="21">
        <f>+P86-T86</f>
        <v>-54541.399894999806</v>
      </c>
      <c r="Y86" s="15"/>
      <c r="Z86" s="22">
        <f>IF(T86=0,0,X86/T86)</f>
        <v>-0.39632901451849739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8453.42</v>
      </c>
      <c r="E88" s="4"/>
      <c r="F88" s="12">
        <f>IF(D$12=0,0,D88/D$12)</f>
        <v>9.0321775505605315E-2</v>
      </c>
      <c r="G88" s="4"/>
      <c r="H88" s="4">
        <v>9414</v>
      </c>
      <c r="I88" s="4"/>
      <c r="J88" s="12">
        <f>IF(H$12=0,0,H88/H$12)</f>
        <v>0.1036784140969163</v>
      </c>
      <c r="K88" s="4"/>
      <c r="L88" s="4">
        <f>+D88-H88</f>
        <v>-960.57999999999993</v>
      </c>
      <c r="M88" s="4"/>
      <c r="N88" s="12">
        <f>IF(H88=0,0,L88/H88)</f>
        <v>-0.10203739111960909</v>
      </c>
      <c r="O88" s="10"/>
      <c r="P88" s="4">
        <v>56296.92</v>
      </c>
      <c r="Q88" s="4"/>
      <c r="R88" s="12">
        <f>IF(P$12=0,0,P88/P$12)</f>
        <v>0.10191977761372362</v>
      </c>
      <c r="S88" s="4"/>
      <c r="T88" s="4">
        <v>73906</v>
      </c>
      <c r="U88" s="4"/>
      <c r="V88" s="12">
        <f>IF(T$12=0,0,T88/T$12)</f>
        <v>0.12025056947608201</v>
      </c>
      <c r="W88" s="4"/>
      <c r="X88" s="4">
        <f>+P88-T88</f>
        <v>-17609.080000000002</v>
      </c>
      <c r="Y88" s="4"/>
      <c r="Z88" s="12">
        <f>IF(T88=0,0,X88/T88)</f>
        <v>-0.23826319919898251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1">
        <f>+D86-D88</f>
        <v>6098.1600000000017</v>
      </c>
      <c r="E90" s="14"/>
      <c r="F90" s="32">
        <f>IF(D$12=0,0,D90/D$12)</f>
        <v>6.5156663044928828E-2</v>
      </c>
      <c r="G90" s="14"/>
      <c r="H90" s="31">
        <f>+H86-H88</f>
        <v>10130.844780799998</v>
      </c>
      <c r="I90" s="14"/>
      <c r="J90" s="32">
        <f>IF(H$12=0,0,H90/H$12)</f>
        <v>0.11157318040528633</v>
      </c>
      <c r="K90" s="15"/>
      <c r="L90" s="31">
        <f>D90-H90</f>
        <v>-4032.6847807999966</v>
      </c>
      <c r="M90" s="15"/>
      <c r="N90" s="32">
        <f>IF(H90=0,0,L90/H90)</f>
        <v>-0.3980600698218919</v>
      </c>
      <c r="O90" s="29"/>
      <c r="P90" s="31">
        <f>+P86-P88</f>
        <v>26778.150000000183</v>
      </c>
      <c r="Q90" s="14"/>
      <c r="R90" s="32">
        <f>IF(P$12=0,0,P90/P$12)</f>
        <v>4.8479083632052195E-2</v>
      </c>
      <c r="S90" s="14"/>
      <c r="T90" s="31">
        <f>+T86-T88</f>
        <v>63710.469894999987</v>
      </c>
      <c r="U90" s="14"/>
      <c r="V90" s="32">
        <f>IF(T$12=0,0,T90/T$12)</f>
        <v>0.10366168222421085</v>
      </c>
      <c r="W90" s="15"/>
      <c r="X90" s="31">
        <f>P90-T90</f>
        <v>-36932.319894999804</v>
      </c>
      <c r="Y90" s="15"/>
      <c r="Z90" s="32">
        <f>IF(T90=0,0,X90/T90)</f>
        <v>-0.57968996235418224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3">
        <f>SUM(D90:D92)</f>
        <v>6098.1600000000017</v>
      </c>
      <c r="E93" s="14"/>
      <c r="F93" s="30">
        <f>IF(D$12=0,0,D93/D$12)</f>
        <v>6.5156663044928828E-2</v>
      </c>
      <c r="G93" s="14"/>
      <c r="H93" s="33">
        <f>SUM(H90:H92)</f>
        <v>10130.844780799998</v>
      </c>
      <c r="I93" s="14"/>
      <c r="J93" s="30">
        <f>IF(H$12=0,0,H93/H$12)</f>
        <v>0.11157318040528633</v>
      </c>
      <c r="K93" s="15"/>
      <c r="L93" s="33">
        <f>+D93-H93</f>
        <v>-4032.6847807999966</v>
      </c>
      <c r="M93" s="15"/>
      <c r="N93" s="30">
        <f>IF(H93=0,0,L93/H93)</f>
        <v>-0.3980600698218919</v>
      </c>
      <c r="O93" s="29"/>
      <c r="P93" s="33">
        <f>SUM(P90:P92)</f>
        <v>26778.150000000183</v>
      </c>
      <c r="Q93" s="14"/>
      <c r="R93" s="30">
        <f>IF(P$12=0,0,P93/P$12)</f>
        <v>4.8479083632052195E-2</v>
      </c>
      <c r="S93" s="14"/>
      <c r="T93" s="33">
        <f>SUM(T90:T92)</f>
        <v>63710.469894999987</v>
      </c>
      <c r="U93" s="14"/>
      <c r="V93" s="30">
        <f>IF(T$12=0,0,T93/T$12)</f>
        <v>0.10366168222421085</v>
      </c>
      <c r="W93" s="15"/>
      <c r="X93" s="33">
        <f>+P93-T93</f>
        <v>-36932.319894999804</v>
      </c>
      <c r="Y93" s="15"/>
      <c r="Z93" s="30">
        <f>IF(T93=0,0,X93/T93)</f>
        <v>-0.57968996235418224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9">
        <v>43908.49516273148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3" t="s">
        <v>314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7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106538.20000000001</v>
      </c>
      <c r="E12" s="4"/>
      <c r="F12" s="12"/>
      <c r="G12" s="4"/>
      <c r="H12" s="4">
        <f>SUM(OSRRefH13x_0)</f>
        <v>113000</v>
      </c>
      <c r="I12" s="4"/>
      <c r="J12" s="12"/>
      <c r="K12" s="4"/>
      <c r="L12" s="4">
        <f t="shared" ref="L12:L15" si="0">+D12-H12</f>
        <v>-6461.7999999999884</v>
      </c>
      <c r="M12" s="4"/>
      <c r="N12" s="12">
        <f t="shared" ref="N12:N15" si="1">IF(H12=0,0,L12/H12)</f>
        <v>-5.7184070796460075E-2</v>
      </c>
      <c r="O12" s="10"/>
      <c r="P12" s="4">
        <f>SUM(OSRRefP13x_0)</f>
        <v>607864.57999999996</v>
      </c>
      <c r="Q12" s="4"/>
      <c r="R12" s="12"/>
      <c r="S12" s="4"/>
      <c r="T12" s="4">
        <f>SUM(OSRRefT13x_0)</f>
        <v>646450</v>
      </c>
      <c r="U12" s="4"/>
      <c r="V12" s="12"/>
      <c r="W12" s="4"/>
      <c r="X12" s="4">
        <f t="shared" ref="X12:X15" si="2">+P12-T12</f>
        <v>-38585.420000000042</v>
      </c>
      <c r="Y12" s="4"/>
      <c r="Z12" s="12">
        <f t="shared" ref="Z12:Z15" si="3">IF(T12=0,0,X12/T12)</f>
        <v>-5.9688173872689369E-2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--34328.98</f>
        <v>34328.980000000003</v>
      </c>
      <c r="E13" s="2"/>
      <c r="F13" s="19"/>
      <c r="G13" s="2"/>
      <c r="H13" s="2"/>
      <c r="I13" s="2"/>
      <c r="J13" s="19"/>
      <c r="K13" s="2"/>
      <c r="L13" s="2">
        <f t="shared" si="0"/>
        <v>34328.980000000003</v>
      </c>
      <c r="M13" s="2"/>
      <c r="N13" s="19">
        <f t="shared" si="1"/>
        <v>0</v>
      </c>
      <c r="O13" s="11"/>
      <c r="P13" s="2">
        <f>--189061.54</f>
        <v>189061.54</v>
      </c>
      <c r="Q13" s="2"/>
      <c r="R13" s="19"/>
      <c r="S13" s="2"/>
      <c r="T13" s="2"/>
      <c r="U13" s="2"/>
      <c r="V13" s="19"/>
      <c r="W13" s="2"/>
      <c r="X13" s="2">
        <f t="shared" si="2"/>
        <v>189061.54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113000</v>
      </c>
      <c r="I14" s="2"/>
      <c r="J14" s="19"/>
      <c r="K14" s="2"/>
      <c r="L14" s="2">
        <f t="shared" si="0"/>
        <v>-113000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646450</v>
      </c>
      <c r="U14" s="2"/>
      <c r="V14" s="19"/>
      <c r="W14" s="2"/>
      <c r="X14" s="2">
        <f t="shared" si="2"/>
        <v>-646450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--72209.22</f>
        <v>72209.22</v>
      </c>
      <c r="E15" s="2"/>
      <c r="F15" s="19"/>
      <c r="G15" s="2"/>
      <c r="H15" s="2"/>
      <c r="I15" s="2"/>
      <c r="J15" s="19"/>
      <c r="K15" s="2"/>
      <c r="L15" s="2">
        <f t="shared" si="0"/>
        <v>72209.22</v>
      </c>
      <c r="M15" s="2"/>
      <c r="N15" s="19">
        <f t="shared" si="1"/>
        <v>0</v>
      </c>
      <c r="O15" s="11"/>
      <c r="P15" s="2">
        <f>--418803.04</f>
        <v>418803.04</v>
      </c>
      <c r="Q15" s="2"/>
      <c r="R15" s="19"/>
      <c r="S15" s="2"/>
      <c r="T15" s="2"/>
      <c r="U15" s="2"/>
      <c r="V15" s="19"/>
      <c r="W15" s="2"/>
      <c r="X15" s="2">
        <f t="shared" si="2"/>
        <v>418803.04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33418.590000000004</v>
      </c>
      <c r="E17" s="4"/>
      <c r="F17" s="12">
        <f t="shared" ref="F17:F20" si="4">IF(D$12=0,0,D17/D$12)</f>
        <v>0.3136770660664438</v>
      </c>
      <c r="G17" s="4"/>
      <c r="H17" s="4">
        <f>SUM(OSRRefH16x_0)</f>
        <v>36160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-2741.4099999999962</v>
      </c>
      <c r="M17" s="4"/>
      <c r="N17" s="12">
        <f t="shared" ref="N17:N20" si="7">IF(H17=0,0,L17/H17)</f>
        <v>-7.5813329646017599E-2</v>
      </c>
      <c r="O17" s="10"/>
      <c r="P17" s="4">
        <f>SUM(OSRRefP16x_0)</f>
        <v>194607.18000000002</v>
      </c>
      <c r="Q17" s="4"/>
      <c r="R17" s="12">
        <f t="shared" ref="R17:R20" si="8">IF(P$12=0,0,P17/P$12)</f>
        <v>0.32014890553418995</v>
      </c>
      <c r="S17" s="4"/>
      <c r="T17" s="4">
        <f>SUM(OSRRefT16x_0)</f>
        <v>219250</v>
      </c>
      <c r="U17" s="4"/>
      <c r="V17" s="12">
        <f t="shared" ref="V17:V20" si="9">IF(T$12=0,0,T17/T$12)</f>
        <v>0.33916002784438087</v>
      </c>
      <c r="W17" s="4"/>
      <c r="X17" s="4">
        <f t="shared" ref="X17:X20" si="10">+P17-T17</f>
        <v>-24642.819999999978</v>
      </c>
      <c r="Y17" s="4"/>
      <c r="Z17" s="12">
        <f t="shared" ref="Z17:Z20" si="11">IF(T17=0,0,X17/T17)</f>
        <v>-0.11239598631698963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36160</v>
      </c>
      <c r="I18" s="2"/>
      <c r="J18" s="19">
        <f t="shared" si="5"/>
        <v>0.32</v>
      </c>
      <c r="K18" s="2"/>
      <c r="L18" s="2">
        <f t="shared" si="6"/>
        <v>-36160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219250</v>
      </c>
      <c r="U18" s="2"/>
      <c r="V18" s="19">
        <f t="shared" si="9"/>
        <v>0.33916002784438087</v>
      </c>
      <c r="W18" s="2"/>
      <c r="X18" s="2">
        <f t="shared" si="10"/>
        <v>-219250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34353.590000000004</v>
      </c>
      <c r="E19" s="2"/>
      <c r="F19" s="19">
        <f t="shared" si="4"/>
        <v>0.32245326089609172</v>
      </c>
      <c r="G19" s="2"/>
      <c r="H19" s="2"/>
      <c r="I19" s="2"/>
      <c r="J19" s="19">
        <f t="shared" si="5"/>
        <v>0</v>
      </c>
      <c r="K19" s="2"/>
      <c r="L19" s="2">
        <f t="shared" si="6"/>
        <v>34353.590000000004</v>
      </c>
      <c r="M19" s="2"/>
      <c r="N19" s="19">
        <f t="shared" si="7"/>
        <v>0</v>
      </c>
      <c r="O19" s="11"/>
      <c r="P19" s="2">
        <v>197230.18000000002</v>
      </c>
      <c r="Q19" s="2"/>
      <c r="R19" s="19">
        <f t="shared" si="8"/>
        <v>0.32446401137569164</v>
      </c>
      <c r="S19" s="2"/>
      <c r="T19" s="2"/>
      <c r="U19" s="2"/>
      <c r="V19" s="19">
        <f t="shared" si="9"/>
        <v>0</v>
      </c>
      <c r="W19" s="2"/>
      <c r="X19" s="2">
        <f t="shared" si="10"/>
        <v>197230.18000000002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-935</v>
      </c>
      <c r="E20" s="2"/>
      <c r="F20" s="19">
        <f t="shared" si="4"/>
        <v>-8.7761948296479556E-3</v>
      </c>
      <c r="G20" s="2"/>
      <c r="H20" s="2"/>
      <c r="I20" s="2"/>
      <c r="J20" s="19">
        <f t="shared" si="5"/>
        <v>0</v>
      </c>
      <c r="K20" s="2"/>
      <c r="L20" s="2">
        <f t="shared" si="6"/>
        <v>-935</v>
      </c>
      <c r="M20" s="2"/>
      <c r="N20" s="19">
        <f t="shared" si="7"/>
        <v>0</v>
      </c>
      <c r="O20" s="11"/>
      <c r="P20" s="2">
        <v>-2623</v>
      </c>
      <c r="Q20" s="2"/>
      <c r="R20" s="19">
        <f t="shared" si="8"/>
        <v>-4.3151058415017377E-3</v>
      </c>
      <c r="S20" s="2"/>
      <c r="T20" s="2"/>
      <c r="U20" s="2"/>
      <c r="V20" s="19">
        <f t="shared" si="9"/>
        <v>0</v>
      </c>
      <c r="W20" s="2"/>
      <c r="X20" s="2">
        <f t="shared" si="10"/>
        <v>-2623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D12-D17</f>
        <v>73119.610000000015</v>
      </c>
      <c r="E22" s="14"/>
      <c r="F22" s="22">
        <f>IF(D$12=0,0,D22/D$12)</f>
        <v>0.68632293393355626</v>
      </c>
      <c r="G22" s="14"/>
      <c r="H22" s="21">
        <f>H12-H17</f>
        <v>76840</v>
      </c>
      <c r="I22" s="14"/>
      <c r="J22" s="22">
        <f>IF(H$12=0,0,H22/H$12)</f>
        <v>0.68</v>
      </c>
      <c r="K22" s="15"/>
      <c r="L22" s="21">
        <f>+D22-H22</f>
        <v>-3720.3899999999849</v>
      </c>
      <c r="M22" s="15"/>
      <c r="N22" s="22">
        <f>IF(H22=0,0,L22/H22)</f>
        <v>-4.8417360749609381E-2</v>
      </c>
      <c r="O22" s="29"/>
      <c r="P22" s="21">
        <f>P12-P17</f>
        <v>413257.39999999991</v>
      </c>
      <c r="Q22" s="14"/>
      <c r="R22" s="22">
        <f>IF(P$12=0,0,P22/P$12)</f>
        <v>0.67985109446581005</v>
      </c>
      <c r="S22" s="14"/>
      <c r="T22" s="21">
        <f>T12-T17</f>
        <v>427200</v>
      </c>
      <c r="U22" s="14"/>
      <c r="V22" s="22">
        <f>IF(T$12=0,0,T22/T$12)</f>
        <v>0.66083997215561918</v>
      </c>
      <c r="W22" s="15"/>
      <c r="X22" s="21">
        <f>+P22-T22</f>
        <v>-13942.600000000093</v>
      </c>
      <c r="Y22" s="15"/>
      <c r="Z22" s="22">
        <f>IF(T22=0,0,X22/T22)</f>
        <v>-3.2637172284644411E-2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73390.700000000041</v>
      </c>
      <c r="E24" s="20"/>
      <c r="F24" s="34">
        <f t="shared" ref="F24:F34" si="12">IF(D$12=0,0,D24/D$12)</f>
        <v>0.68886746725587655</v>
      </c>
      <c r="G24" s="20"/>
      <c r="H24" s="20">
        <f>SUM(OSRRefH22x_0)</f>
        <v>70203.597475323084</v>
      </c>
      <c r="I24" s="20"/>
      <c r="J24" s="34">
        <f t="shared" ref="J24:J34" si="13">IF(H$12=0,0,H24/H$12)</f>
        <v>0.62127077411790343</v>
      </c>
      <c r="K24" s="4"/>
      <c r="L24" s="20">
        <f t="shared" ref="L24:L34" si="14">+D24-H24</f>
        <v>3187.1025246769568</v>
      </c>
      <c r="M24" s="4"/>
      <c r="N24" s="34">
        <f t="shared" ref="N24:N34" si="15">IF(H24=0,0,L24/H24)</f>
        <v>4.5397994394763594E-2</v>
      </c>
      <c r="O24" s="10"/>
      <c r="P24" s="20">
        <f>SUM(OSRRefP22x_0)</f>
        <v>565362.16</v>
      </c>
      <c r="Q24" s="20"/>
      <c r="R24" s="34">
        <f t="shared" ref="R24:R34" si="16">IF(P$12=0,0,P24/P$12)</f>
        <v>0.93007913045369428</v>
      </c>
      <c r="S24" s="20"/>
      <c r="T24" s="20">
        <f>SUM(OSRRefT22x_0)</f>
        <v>527149.78377282317</v>
      </c>
      <c r="U24" s="20"/>
      <c r="V24" s="34">
        <f t="shared" ref="V24:V34" si="17">IF(T$12=0,0,T24/T$12)</f>
        <v>0.81545329688734347</v>
      </c>
      <c r="W24" s="4"/>
      <c r="X24" s="20">
        <f t="shared" ref="X24:X34" si="18">+P24-T24</f>
        <v>38212.376227176865</v>
      </c>
      <c r="Y24" s="4"/>
      <c r="Z24" s="34">
        <f t="shared" ref="Z24:Z34" si="19">IF(T24=0,0,X24/T24)</f>
        <v>7.2488650101855318E-2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7868.2</v>
      </c>
      <c r="E25" s="1"/>
      <c r="F25" s="5">
        <f t="shared" si="12"/>
        <v>7.3853322094797919E-2</v>
      </c>
      <c r="G25" s="1"/>
      <c r="H25" s="1">
        <f>SUM(OSRRefH22_0x_0)</f>
        <v>7492.3923984000057</v>
      </c>
      <c r="I25" s="1"/>
      <c r="J25" s="5">
        <f t="shared" si="13"/>
        <v>6.6304357507964651E-2</v>
      </c>
      <c r="K25" s="1"/>
      <c r="L25" s="1">
        <f t="shared" si="14"/>
        <v>375.80760159999409</v>
      </c>
      <c r="M25" s="1"/>
      <c r="N25" s="5">
        <f t="shared" si="15"/>
        <v>5.0158558390541251E-2</v>
      </c>
      <c r="O25" s="13"/>
      <c r="P25" s="1">
        <f>SUM(OSRRefP22_0x_0)</f>
        <v>64547.29</v>
      </c>
      <c r="Q25" s="1"/>
      <c r="R25" s="5">
        <f t="shared" si="16"/>
        <v>0.10618695696992249</v>
      </c>
      <c r="S25" s="1"/>
      <c r="T25" s="1">
        <f>SUM(OSRRefT22_0x_0)</f>
        <v>59320.481349746195</v>
      </c>
      <c r="U25" s="1"/>
      <c r="V25" s="5">
        <f t="shared" si="17"/>
        <v>9.1763448603521064E-2</v>
      </c>
      <c r="W25" s="1"/>
      <c r="X25" s="1">
        <f t="shared" si="18"/>
        <v>5226.8086502538063</v>
      </c>
      <c r="Y25" s="1"/>
      <c r="Z25" s="5">
        <f t="shared" si="19"/>
        <v>8.811136611379114E-2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1417.3</v>
      </c>
      <c r="E26" s="2"/>
      <c r="F26" s="7">
        <f t="shared" si="12"/>
        <v>1.3303209553005398E-2</v>
      </c>
      <c r="G26" s="2"/>
      <c r="H26" s="6">
        <v>672.13025870769206</v>
      </c>
      <c r="I26" s="2"/>
      <c r="J26" s="7">
        <f t="shared" si="13"/>
        <v>5.9480553867937349E-3</v>
      </c>
      <c r="K26" s="2"/>
      <c r="L26" s="6">
        <f t="shared" si="14"/>
        <v>745.16974129230789</v>
      </c>
      <c r="M26" s="2"/>
      <c r="N26" s="7">
        <f t="shared" si="15"/>
        <v>1.1086686421841045</v>
      </c>
      <c r="O26" s="11"/>
      <c r="P26" s="6">
        <v>11059.36</v>
      </c>
      <c r="Q26" s="2"/>
      <c r="R26" s="7">
        <f t="shared" si="16"/>
        <v>1.8193789149550384E-2</v>
      </c>
      <c r="S26" s="2"/>
      <c r="T26" s="6">
        <v>6331.628251592304</v>
      </c>
      <c r="U26" s="2"/>
      <c r="V26" s="7">
        <f t="shared" si="17"/>
        <v>9.7944593574016605E-3</v>
      </c>
      <c r="W26" s="2"/>
      <c r="X26" s="6">
        <f t="shared" si="18"/>
        <v>4727.7317484076966</v>
      </c>
      <c r="Y26" s="2"/>
      <c r="Z26" s="7">
        <f t="shared" si="19"/>
        <v>0.7466849853698766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1137.5999999999999</v>
      </c>
      <c r="E27" s="2"/>
      <c r="F27" s="7">
        <f t="shared" si="12"/>
        <v>1.0677860147815523E-2</v>
      </c>
      <c r="G27" s="2"/>
      <c r="H27" s="6">
        <v>1215.19940553846</v>
      </c>
      <c r="I27" s="2"/>
      <c r="J27" s="7">
        <f t="shared" si="13"/>
        <v>1.0753977040163364E-2</v>
      </c>
      <c r="K27" s="2"/>
      <c r="L27" s="6">
        <f t="shared" si="14"/>
        <v>-77.599405538460132</v>
      </c>
      <c r="M27" s="2"/>
      <c r="N27" s="7">
        <f t="shared" si="15"/>
        <v>-6.385734323501871E-2</v>
      </c>
      <c r="O27" s="11"/>
      <c r="P27" s="6">
        <v>6060.66</v>
      </c>
      <c r="Q27" s="2"/>
      <c r="R27" s="7">
        <f t="shared" si="16"/>
        <v>9.9704115018512847E-3</v>
      </c>
      <c r="S27" s="2"/>
      <c r="T27" s="6">
        <v>8469.5351224615406</v>
      </c>
      <c r="U27" s="2"/>
      <c r="V27" s="7">
        <f t="shared" si="17"/>
        <v>1.3101608975886055E-2</v>
      </c>
      <c r="W27" s="2"/>
      <c r="X27" s="6">
        <f t="shared" si="18"/>
        <v>-2408.8751224615407</v>
      </c>
      <c r="Y27" s="2"/>
      <c r="Z27" s="7">
        <f t="shared" si="19"/>
        <v>-0.28441645115481123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3286.96</v>
      </c>
      <c r="E28" s="2"/>
      <c r="F28" s="7">
        <f t="shared" si="12"/>
        <v>3.0852407868726894E-2</v>
      </c>
      <c r="G28" s="2"/>
      <c r="H28" s="6">
        <v>3205.9230769230799</v>
      </c>
      <c r="I28" s="2"/>
      <c r="J28" s="7">
        <f t="shared" si="13"/>
        <v>2.8371000680735219E-2</v>
      </c>
      <c r="K28" s="2"/>
      <c r="L28" s="6">
        <f t="shared" si="14"/>
        <v>81.036923076920175</v>
      </c>
      <c r="M28" s="2"/>
      <c r="N28" s="7">
        <f t="shared" si="15"/>
        <v>2.5277251241691133E-2</v>
      </c>
      <c r="O28" s="11"/>
      <c r="P28" s="6">
        <v>25114.42</v>
      </c>
      <c r="Q28" s="2"/>
      <c r="R28" s="7">
        <f t="shared" si="16"/>
        <v>4.1315814124257742E-2</v>
      </c>
      <c r="S28" s="2"/>
      <c r="T28" s="6">
        <v>25772.848076923099</v>
      </c>
      <c r="U28" s="2"/>
      <c r="V28" s="7">
        <f t="shared" si="17"/>
        <v>3.9868277634655579E-2</v>
      </c>
      <c r="W28" s="2"/>
      <c r="X28" s="6">
        <f t="shared" si="18"/>
        <v>-658.42807692310089</v>
      </c>
      <c r="Y28" s="2"/>
      <c r="Z28" s="7">
        <f t="shared" si="19"/>
        <v>-2.5547354136334455E-2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76.23</v>
      </c>
      <c r="E29" s="2"/>
      <c r="F29" s="7">
        <f t="shared" si="12"/>
        <v>7.1551800199365107E-4</v>
      </c>
      <c r="G29" s="2"/>
      <c r="H29" s="6">
        <v>81.430887999999996</v>
      </c>
      <c r="I29" s="2"/>
      <c r="J29" s="7">
        <f t="shared" si="13"/>
        <v>7.2062732743362833E-4</v>
      </c>
      <c r="K29" s="2"/>
      <c r="L29" s="6">
        <f t="shared" si="14"/>
        <v>-5.200887999999992</v>
      </c>
      <c r="M29" s="2"/>
      <c r="N29" s="7">
        <f t="shared" si="15"/>
        <v>-6.3868737376411661E-2</v>
      </c>
      <c r="O29" s="11"/>
      <c r="P29" s="6">
        <v>504.72</v>
      </c>
      <c r="Q29" s="2"/>
      <c r="R29" s="7">
        <f t="shared" si="16"/>
        <v>8.303165155633843E-4</v>
      </c>
      <c r="S29" s="2"/>
      <c r="T29" s="6">
        <v>567.54616799999997</v>
      </c>
      <c r="U29" s="2"/>
      <c r="V29" s="7">
        <f t="shared" si="17"/>
        <v>8.7794286951813744E-4</v>
      </c>
      <c r="W29" s="2"/>
      <c r="X29" s="6">
        <f t="shared" si="18"/>
        <v>-62.826167999999939</v>
      </c>
      <c r="Y29" s="2"/>
      <c r="Z29" s="7">
        <f t="shared" si="19"/>
        <v>-0.11069789832498692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523.63</v>
      </c>
      <c r="E30" s="2"/>
      <c r="F30" s="7">
        <f t="shared" si="12"/>
        <v>4.9149506937417745E-3</v>
      </c>
      <c r="G30" s="2"/>
      <c r="H30" s="6">
        <v>463.34153846153902</v>
      </c>
      <c r="I30" s="2"/>
      <c r="J30" s="7">
        <f t="shared" si="13"/>
        <v>4.10036759700477E-3</v>
      </c>
      <c r="K30" s="2"/>
      <c r="L30" s="6">
        <f t="shared" si="14"/>
        <v>60.288461538460979</v>
      </c>
      <c r="M30" s="2"/>
      <c r="N30" s="7">
        <f t="shared" si="15"/>
        <v>0.13011667751318048</v>
      </c>
      <c r="O30" s="11"/>
      <c r="P30" s="6">
        <v>5157.82</v>
      </c>
      <c r="Q30" s="2"/>
      <c r="R30" s="7">
        <f t="shared" si="16"/>
        <v>8.485146477855315E-3</v>
      </c>
      <c r="S30" s="2"/>
      <c r="T30" s="6">
        <v>4054.2384615384635</v>
      </c>
      <c r="U30" s="2"/>
      <c r="V30" s="7">
        <f t="shared" si="17"/>
        <v>6.2715422098205019E-3</v>
      </c>
      <c r="W30" s="2"/>
      <c r="X30" s="6">
        <f t="shared" si="18"/>
        <v>1103.5815384615362</v>
      </c>
      <c r="Y30" s="2"/>
      <c r="Z30" s="7">
        <f t="shared" si="19"/>
        <v>0.27220439767688448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700.02</v>
      </c>
      <c r="E32" s="2"/>
      <c r="F32" s="7">
        <f t="shared" si="12"/>
        <v>6.5706009675402808E-3</v>
      </c>
      <c r="G32" s="2"/>
      <c r="H32" s="6">
        <v>439.12861538461499</v>
      </c>
      <c r="I32" s="2"/>
      <c r="J32" s="7">
        <f t="shared" si="13"/>
        <v>3.8860939414567699E-3</v>
      </c>
      <c r="K32" s="2"/>
      <c r="L32" s="6">
        <f t="shared" si="14"/>
        <v>260.89138461538499</v>
      </c>
      <c r="M32" s="2"/>
      <c r="N32" s="7">
        <f t="shared" si="15"/>
        <v>0.59411155519182179</v>
      </c>
      <c r="O32" s="11"/>
      <c r="P32" s="6">
        <v>7217.61</v>
      </c>
      <c r="Q32" s="2"/>
      <c r="R32" s="7">
        <f t="shared" si="16"/>
        <v>1.1873713714327622E-2</v>
      </c>
      <c r="S32" s="2"/>
      <c r="T32" s="6">
        <v>3697.1968846153818</v>
      </c>
      <c r="U32" s="2"/>
      <c r="V32" s="7">
        <f t="shared" si="17"/>
        <v>5.7192310072169258E-3</v>
      </c>
      <c r="W32" s="2"/>
      <c r="X32" s="6">
        <f t="shared" si="18"/>
        <v>3520.4131153846179</v>
      </c>
      <c r="Y32" s="2"/>
      <c r="Z32" s="7">
        <f t="shared" si="19"/>
        <v>0.9521843778549125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385.52</v>
      </c>
      <c r="E33" s="2"/>
      <c r="F33" s="7">
        <f t="shared" si="12"/>
        <v>3.6186081612041496E-3</v>
      </c>
      <c r="G33" s="2"/>
      <c r="H33" s="6">
        <v>1115.2386153846201</v>
      </c>
      <c r="I33" s="2"/>
      <c r="J33" s="7">
        <f t="shared" si="13"/>
        <v>9.869368277740001E-3</v>
      </c>
      <c r="K33" s="2"/>
      <c r="L33" s="6">
        <f t="shared" si="14"/>
        <v>-729.71861538462008</v>
      </c>
      <c r="M33" s="2"/>
      <c r="N33" s="7">
        <f t="shared" si="15"/>
        <v>-0.65431613048383996</v>
      </c>
      <c r="O33" s="11"/>
      <c r="P33" s="6">
        <v>6767.82</v>
      </c>
      <c r="Q33" s="2"/>
      <c r="R33" s="7">
        <f t="shared" si="16"/>
        <v>1.1133762720637548E-2</v>
      </c>
      <c r="S33" s="2"/>
      <c r="T33" s="6">
        <v>8027.4883846153944</v>
      </c>
      <c r="U33" s="2"/>
      <c r="V33" s="7">
        <f t="shared" si="17"/>
        <v>1.2417802435788374E-2</v>
      </c>
      <c r="W33" s="2"/>
      <c r="X33" s="6">
        <f t="shared" si="18"/>
        <v>-1259.6683846153946</v>
      </c>
      <c r="Y33" s="2"/>
      <c r="Z33" s="7">
        <f t="shared" si="19"/>
        <v>-0.15691936559254788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340.94</v>
      </c>
      <c r="E34" s="2"/>
      <c r="F34" s="7">
        <f t="shared" si="12"/>
        <v>3.20016670077024E-3</v>
      </c>
      <c r="G34" s="2"/>
      <c r="H34" s="6">
        <v>300</v>
      </c>
      <c r="I34" s="2"/>
      <c r="J34" s="7">
        <f t="shared" si="13"/>
        <v>2.6548672566371681E-3</v>
      </c>
      <c r="K34" s="2"/>
      <c r="L34" s="6">
        <f t="shared" si="14"/>
        <v>40.94</v>
      </c>
      <c r="M34" s="2"/>
      <c r="N34" s="7">
        <f t="shared" si="15"/>
        <v>0.13646666666666665</v>
      </c>
      <c r="O34" s="11"/>
      <c r="P34" s="6">
        <v>2664.88</v>
      </c>
      <c r="Q34" s="2"/>
      <c r="R34" s="7">
        <f t="shared" si="16"/>
        <v>4.3840027658792035E-3</v>
      </c>
      <c r="S34" s="2"/>
      <c r="T34" s="6">
        <v>2400</v>
      </c>
      <c r="U34" s="2"/>
      <c r="V34" s="7">
        <f t="shared" si="17"/>
        <v>3.7125841132338157E-3</v>
      </c>
      <c r="W34" s="2"/>
      <c r="X34" s="6">
        <f t="shared" si="18"/>
        <v>264.88000000000011</v>
      </c>
      <c r="Y34" s="2"/>
      <c r="Z34" s="7">
        <f t="shared" si="19"/>
        <v>0.11036666666666671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28699.670000000002</v>
      </c>
      <c r="E35" s="1"/>
      <c r="F35" s="5">
        <f t="shared" ref="F35:F45" si="20">IF(D$12=0,0,D35/D$12)</f>
        <v>0.26938384541882626</v>
      </c>
      <c r="G35" s="1"/>
      <c r="H35" s="1">
        <f>SUM(OSRRefH22_1x_0)</f>
        <v>29765.205076923085</v>
      </c>
      <c r="I35" s="1"/>
      <c r="J35" s="5">
        <f t="shared" ref="J35:J45" si="21">IF(H$12=0,0,H35/H$12)</f>
        <v>0.26340889448604499</v>
      </c>
      <c r="K35" s="1"/>
      <c r="L35" s="1">
        <f t="shared" ref="L35:L45" si="22">+D35-H35</f>
        <v>-1065.5350769230827</v>
      </c>
      <c r="M35" s="1"/>
      <c r="N35" s="5">
        <f t="shared" ref="N35:N45" si="23">IF(H35=0,0,L35/H35)</f>
        <v>-3.5798008922478086E-2</v>
      </c>
      <c r="O35" s="13"/>
      <c r="P35" s="1">
        <f>SUM(OSRRefP22_1x_0)</f>
        <v>192119.55000000002</v>
      </c>
      <c r="Q35" s="1"/>
      <c r="R35" s="5">
        <f t="shared" ref="R35:R45" si="24">IF(P$12=0,0,P35/P$12)</f>
        <v>0.31605649732050523</v>
      </c>
      <c r="S35" s="1"/>
      <c r="T35" s="1">
        <f>SUM(OSRRefT22_1x_0)</f>
        <v>206562.30242307694</v>
      </c>
      <c r="U35" s="1"/>
      <c r="V35" s="5">
        <f t="shared" ref="V35:V45" si="25">IF(T$12=0,0,T35/T$12)</f>
        <v>0.31953330098704763</v>
      </c>
      <c r="W35" s="1"/>
      <c r="X35" s="1">
        <f t="shared" ref="X35:X45" si="26">+P35-T35</f>
        <v>-14442.75242307692</v>
      </c>
      <c r="Y35" s="1"/>
      <c r="Z35" s="5">
        <f t="shared" ref="Z35:Z45" si="27">IF(T35=0,0,X35/T35)</f>
        <v>-6.9919594493556489E-2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4866.8999999999996</v>
      </c>
      <c r="E37" s="2"/>
      <c r="F37" s="7">
        <f t="shared" si="20"/>
        <v>4.5682206006859502E-2</v>
      </c>
      <c r="G37" s="2"/>
      <c r="H37" s="6">
        <v>4848.9230769230799</v>
      </c>
      <c r="I37" s="2"/>
      <c r="J37" s="7">
        <f t="shared" si="21"/>
        <v>4.2910823689584779E-2</v>
      </c>
      <c r="K37" s="2"/>
      <c r="L37" s="6">
        <f t="shared" si="22"/>
        <v>17.976923076919775</v>
      </c>
      <c r="M37" s="2"/>
      <c r="N37" s="7">
        <f t="shared" si="23"/>
        <v>3.7074052922132896E-3</v>
      </c>
      <c r="O37" s="11"/>
      <c r="P37" s="6">
        <v>41164.94</v>
      </c>
      <c r="Q37" s="2"/>
      <c r="R37" s="7">
        <f t="shared" si="24"/>
        <v>6.7720576842954072E-2</v>
      </c>
      <c r="S37" s="2"/>
      <c r="T37" s="6">
        <v>42428.076923076951</v>
      </c>
      <c r="U37" s="2"/>
      <c r="V37" s="7">
        <f t="shared" si="25"/>
        <v>6.5632418474865728E-2</v>
      </c>
      <c r="W37" s="2"/>
      <c r="X37" s="6">
        <f t="shared" si="26"/>
        <v>-1263.1369230769487</v>
      </c>
      <c r="Y37" s="2"/>
      <c r="Z37" s="7">
        <f t="shared" si="27"/>
        <v>-2.9771250895180665E-2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3087.6</v>
      </c>
      <c r="E39" s="2"/>
      <c r="F39" s="7">
        <f t="shared" si="20"/>
        <v>2.8981154177562599E-2</v>
      </c>
      <c r="G39" s="2"/>
      <c r="H39" s="6">
        <v>3055.3919999999998</v>
      </c>
      <c r="I39" s="2"/>
      <c r="J39" s="7">
        <f t="shared" si="21"/>
        <v>2.7038867256637168E-2</v>
      </c>
      <c r="K39" s="2"/>
      <c r="L39" s="6">
        <f t="shared" si="22"/>
        <v>32.208000000000084</v>
      </c>
      <c r="M39" s="2"/>
      <c r="N39" s="7">
        <f t="shared" si="23"/>
        <v>1.054136425047918E-2</v>
      </c>
      <c r="O39" s="11"/>
      <c r="P39" s="6">
        <v>26028.26</v>
      </c>
      <c r="Q39" s="2"/>
      <c r="R39" s="7">
        <f t="shared" si="24"/>
        <v>4.281917528407396E-2</v>
      </c>
      <c r="S39" s="2"/>
      <c r="T39" s="6">
        <v>24121.467000000001</v>
      </c>
      <c r="U39" s="2"/>
      <c r="V39" s="7">
        <f t="shared" si="25"/>
        <v>3.7313739655039063E-2</v>
      </c>
      <c r="W39" s="2"/>
      <c r="X39" s="6">
        <f t="shared" si="26"/>
        <v>1906.7929999999978</v>
      </c>
      <c r="Y39" s="2"/>
      <c r="Z39" s="7">
        <f t="shared" si="27"/>
        <v>7.9049628283387477E-2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10154.34</v>
      </c>
      <c r="E40" s="2"/>
      <c r="F40" s="7">
        <f t="shared" si="20"/>
        <v>9.5311728563088158E-2</v>
      </c>
      <c r="G40" s="2"/>
      <c r="H40" s="6">
        <v>11187.592000000001</v>
      </c>
      <c r="I40" s="2"/>
      <c r="J40" s="7">
        <f t="shared" si="21"/>
        <v>9.9005238938053103E-2</v>
      </c>
      <c r="K40" s="2"/>
      <c r="L40" s="6">
        <f t="shared" si="22"/>
        <v>-1033.2520000000004</v>
      </c>
      <c r="M40" s="2"/>
      <c r="N40" s="7">
        <f t="shared" si="23"/>
        <v>-9.2356961176274607E-2</v>
      </c>
      <c r="O40" s="11"/>
      <c r="P40" s="6">
        <v>60022.780000000006</v>
      </c>
      <c r="Q40" s="2"/>
      <c r="R40" s="7">
        <f t="shared" si="24"/>
        <v>9.8743670835369307E-2</v>
      </c>
      <c r="S40" s="2"/>
      <c r="T40" s="6">
        <v>76077.293999999994</v>
      </c>
      <c r="U40" s="2"/>
      <c r="V40" s="7">
        <f t="shared" si="25"/>
        <v>0.11768473045092427</v>
      </c>
      <c r="W40" s="2"/>
      <c r="X40" s="6">
        <f t="shared" si="26"/>
        <v>-16054.513999999988</v>
      </c>
      <c r="Y40" s="2"/>
      <c r="Z40" s="7">
        <f t="shared" si="27"/>
        <v>-0.21102898323381467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200.5</v>
      </c>
      <c r="Q41" s="2"/>
      <c r="R41" s="7">
        <f t="shared" si="24"/>
        <v>3.2984320290548925E-4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200.5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10027.93</v>
      </c>
      <c r="E42" s="2"/>
      <c r="F42" s="7">
        <f t="shared" si="20"/>
        <v>9.4125205794729022E-2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10027.93</v>
      </c>
      <c r="M42" s="2"/>
      <c r="N42" s="7">
        <f t="shared" si="23"/>
        <v>0</v>
      </c>
      <c r="O42" s="11"/>
      <c r="P42" s="6">
        <v>64140.17</v>
      </c>
      <c r="Q42" s="2"/>
      <c r="R42" s="7">
        <f t="shared" si="24"/>
        <v>0.10551720253218241</v>
      </c>
      <c r="S42" s="2"/>
      <c r="T42" s="6">
        <v>8526.2999999999993</v>
      </c>
      <c r="U42" s="2"/>
      <c r="V42" s="7">
        <f t="shared" si="25"/>
        <v>1.3189419135277283E-2</v>
      </c>
      <c r="W42" s="2"/>
      <c r="X42" s="6">
        <f t="shared" si="26"/>
        <v>55613.869999999995</v>
      </c>
      <c r="Y42" s="2"/>
      <c r="Z42" s="7">
        <f t="shared" si="27"/>
        <v>6.5226264616539416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562.9</v>
      </c>
      <c r="E43" s="2"/>
      <c r="F43" s="7">
        <f t="shared" si="20"/>
        <v>5.2835508765869885E-3</v>
      </c>
      <c r="G43" s="2"/>
      <c r="H43" s="6">
        <v>10673.298000000001</v>
      </c>
      <c r="I43" s="2"/>
      <c r="J43" s="7">
        <f t="shared" si="21"/>
        <v>9.4453964601769913E-2</v>
      </c>
      <c r="K43" s="2"/>
      <c r="L43" s="6">
        <f t="shared" si="22"/>
        <v>-10110.398000000001</v>
      </c>
      <c r="M43" s="2"/>
      <c r="N43" s="7">
        <f t="shared" si="23"/>
        <v>-0.94726091223162701</v>
      </c>
      <c r="O43" s="11"/>
      <c r="P43" s="6">
        <v>562.9</v>
      </c>
      <c r="Q43" s="2"/>
      <c r="R43" s="7">
        <f t="shared" si="24"/>
        <v>9.2602862301994961E-4</v>
      </c>
      <c r="S43" s="2"/>
      <c r="T43" s="6">
        <v>55409.164499999999</v>
      </c>
      <c r="U43" s="2"/>
      <c r="V43" s="7">
        <f t="shared" si="25"/>
        <v>8.5712993270941298E-2</v>
      </c>
      <c r="W43" s="2"/>
      <c r="X43" s="6">
        <f t="shared" si="26"/>
        <v>-54846.264499999997</v>
      </c>
      <c r="Y43" s="2"/>
      <c r="Z43" s="7">
        <f t="shared" si="27"/>
        <v>-0.98984103071974672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1075.51</v>
      </c>
      <c r="E46" s="1"/>
      <c r="F46" s="5">
        <f t="shared" ref="F46:F55" si="28">IF(D$12=0,0,D46/D$12)</f>
        <v>1.0095064493299116E-2</v>
      </c>
      <c r="G46" s="1"/>
      <c r="H46" s="1">
        <f>SUM(OSRRefH22_2x_0)</f>
        <v>200</v>
      </c>
      <c r="I46" s="1"/>
      <c r="J46" s="5">
        <f t="shared" ref="J46:J55" si="29">IF(H$12=0,0,H46/H$12)</f>
        <v>1.7699115044247787E-3</v>
      </c>
      <c r="K46" s="1"/>
      <c r="L46" s="1">
        <f t="shared" ref="L46:L55" si="30">+D46-H46</f>
        <v>875.51</v>
      </c>
      <c r="M46" s="1"/>
      <c r="N46" s="5">
        <f t="shared" ref="N46:N55" si="31">IF(H46=0,0,L46/H46)</f>
        <v>4.3775500000000003</v>
      </c>
      <c r="O46" s="13"/>
      <c r="P46" s="1">
        <f>SUM(OSRRefP22_2x_0)</f>
        <v>5358.49</v>
      </c>
      <c r="Q46" s="1"/>
      <c r="R46" s="5">
        <f t="shared" ref="R46:R55" si="32">IF(P$12=0,0,P46/P$12)</f>
        <v>8.8152693483143901E-3</v>
      </c>
      <c r="S46" s="1"/>
      <c r="T46" s="1">
        <f>SUM(OSRRefT22_2x_0)</f>
        <v>2450</v>
      </c>
      <c r="U46" s="1"/>
      <c r="V46" s="5">
        <f t="shared" ref="V46:V55" si="33">IF(T$12=0,0,T46/T$12)</f>
        <v>3.7899296155928532E-3</v>
      </c>
      <c r="W46" s="1"/>
      <c r="X46" s="1">
        <f t="shared" ref="X46:X55" si="34">+P46-T46</f>
        <v>2908.49</v>
      </c>
      <c r="Y46" s="1"/>
      <c r="Z46" s="5">
        <f t="shared" ref="Z46:Z55" si="35">IF(T46=0,0,X46/T46)</f>
        <v>1.1871387755102041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1075.51</v>
      </c>
      <c r="E47" s="2"/>
      <c r="F47" s="7">
        <f t="shared" si="28"/>
        <v>1.0095064493299116E-2</v>
      </c>
      <c r="G47" s="2"/>
      <c r="H47" s="6">
        <v>200</v>
      </c>
      <c r="I47" s="2"/>
      <c r="J47" s="7">
        <f t="shared" si="29"/>
        <v>1.7699115044247787E-3</v>
      </c>
      <c r="K47" s="2"/>
      <c r="L47" s="6">
        <f t="shared" si="30"/>
        <v>875.51</v>
      </c>
      <c r="M47" s="2"/>
      <c r="N47" s="7">
        <f t="shared" si="31"/>
        <v>4.3775500000000003</v>
      </c>
      <c r="O47" s="11"/>
      <c r="P47" s="6">
        <v>5358.49</v>
      </c>
      <c r="Q47" s="2"/>
      <c r="R47" s="7">
        <f t="shared" si="32"/>
        <v>8.8152693483143901E-3</v>
      </c>
      <c r="S47" s="2"/>
      <c r="T47" s="6">
        <v>2450</v>
      </c>
      <c r="U47" s="2"/>
      <c r="V47" s="7">
        <f t="shared" si="33"/>
        <v>3.7899296155928532E-3</v>
      </c>
      <c r="W47" s="2"/>
      <c r="X47" s="6">
        <f t="shared" si="34"/>
        <v>2908.49</v>
      </c>
      <c r="Y47" s="2"/>
      <c r="Z47" s="7">
        <f t="shared" si="35"/>
        <v>1.1871387755102041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-5.84</v>
      </c>
      <c r="E48" s="1"/>
      <c r="F48" s="5">
        <f t="shared" si="28"/>
        <v>-5.481601904293483E-5</v>
      </c>
      <c r="G48" s="1"/>
      <c r="H48" s="1">
        <f>SUM(OSRRefH22_3x_0)</f>
        <v>10</v>
      </c>
      <c r="I48" s="1"/>
      <c r="J48" s="5">
        <f t="shared" si="29"/>
        <v>8.849557522123894E-5</v>
      </c>
      <c r="K48" s="1"/>
      <c r="L48" s="1">
        <f t="shared" si="30"/>
        <v>-15.84</v>
      </c>
      <c r="M48" s="1"/>
      <c r="N48" s="5">
        <f t="shared" si="31"/>
        <v>-1.5840000000000001</v>
      </c>
      <c r="O48" s="13"/>
      <c r="P48" s="1">
        <f>SUM(OSRRefP22_3x_0)</f>
        <v>-26.77</v>
      </c>
      <c r="Q48" s="1"/>
      <c r="R48" s="5">
        <f t="shared" si="32"/>
        <v>-4.4039414173466075E-5</v>
      </c>
      <c r="S48" s="1"/>
      <c r="T48" s="1">
        <f>SUM(OSRRefT22_3x_0)</f>
        <v>80</v>
      </c>
      <c r="U48" s="1"/>
      <c r="V48" s="5">
        <f t="shared" si="33"/>
        <v>1.2375280377446051E-4</v>
      </c>
      <c r="W48" s="1"/>
      <c r="X48" s="1">
        <f t="shared" si="34"/>
        <v>-106.77</v>
      </c>
      <c r="Y48" s="1"/>
      <c r="Z48" s="5">
        <f t="shared" si="35"/>
        <v>-1.334625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-5.84</v>
      </c>
      <c r="E49" s="2"/>
      <c r="F49" s="7">
        <f t="shared" si="28"/>
        <v>-5.481601904293483E-5</v>
      </c>
      <c r="G49" s="2"/>
      <c r="H49" s="6">
        <v>10</v>
      </c>
      <c r="I49" s="2"/>
      <c r="J49" s="7">
        <f t="shared" si="29"/>
        <v>8.849557522123894E-5</v>
      </c>
      <c r="K49" s="2"/>
      <c r="L49" s="6">
        <f t="shared" si="30"/>
        <v>-15.84</v>
      </c>
      <c r="M49" s="2"/>
      <c r="N49" s="7">
        <f t="shared" si="31"/>
        <v>-1.5840000000000001</v>
      </c>
      <c r="O49" s="11"/>
      <c r="P49" s="6">
        <v>-26.77</v>
      </c>
      <c r="Q49" s="2"/>
      <c r="R49" s="7">
        <f t="shared" si="32"/>
        <v>-4.4039414173466075E-5</v>
      </c>
      <c r="S49" s="2"/>
      <c r="T49" s="6">
        <v>80</v>
      </c>
      <c r="U49" s="2"/>
      <c r="V49" s="7">
        <f t="shared" si="33"/>
        <v>1.2375280377446051E-4</v>
      </c>
      <c r="W49" s="2"/>
      <c r="X49" s="6">
        <f t="shared" si="34"/>
        <v>-106.77</v>
      </c>
      <c r="Y49" s="2"/>
      <c r="Z49" s="7">
        <f t="shared" si="35"/>
        <v>-1.334625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3094.63</v>
      </c>
      <c r="E50" s="1"/>
      <c r="F50" s="5">
        <f t="shared" si="28"/>
        <v>2.9047139899115997E-2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3094.63</v>
      </c>
      <c r="M50" s="1"/>
      <c r="N50" s="5">
        <f t="shared" si="31"/>
        <v>0</v>
      </c>
      <c r="O50" s="13"/>
      <c r="P50" s="1">
        <f>SUM(OSRRefP22_4x_0)</f>
        <v>24164.26</v>
      </c>
      <c r="Q50" s="1"/>
      <c r="R50" s="5">
        <f t="shared" si="32"/>
        <v>3.9752702814169566E-2</v>
      </c>
      <c r="S50" s="1"/>
      <c r="T50" s="1">
        <f>SUM(OSRRefT22_4x_0)</f>
        <v>850</v>
      </c>
      <c r="U50" s="1"/>
      <c r="V50" s="5">
        <f t="shared" si="33"/>
        <v>1.3148735401036431E-3</v>
      </c>
      <c r="W50" s="1"/>
      <c r="X50" s="1">
        <f t="shared" si="34"/>
        <v>23314.26</v>
      </c>
      <c r="Y50" s="1"/>
      <c r="Z50" s="5">
        <f t="shared" si="35"/>
        <v>27.428541176470585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3094.63</v>
      </c>
      <c r="E51" s="2"/>
      <c r="F51" s="7">
        <f t="shared" si="28"/>
        <v>2.9047139899115997E-2</v>
      </c>
      <c r="G51" s="2"/>
      <c r="H51" s="6"/>
      <c r="I51" s="2"/>
      <c r="J51" s="7">
        <f t="shared" si="29"/>
        <v>0</v>
      </c>
      <c r="K51" s="2"/>
      <c r="L51" s="6">
        <f t="shared" si="30"/>
        <v>3094.63</v>
      </c>
      <c r="M51" s="2"/>
      <c r="N51" s="7">
        <f t="shared" si="31"/>
        <v>0</v>
      </c>
      <c r="O51" s="11"/>
      <c r="P51" s="6">
        <v>24164.26</v>
      </c>
      <c r="Q51" s="2"/>
      <c r="R51" s="7">
        <f t="shared" si="32"/>
        <v>3.9752702814169566E-2</v>
      </c>
      <c r="S51" s="2"/>
      <c r="T51" s="6">
        <v>850</v>
      </c>
      <c r="U51" s="2"/>
      <c r="V51" s="7">
        <f t="shared" si="33"/>
        <v>1.3148735401036431E-3</v>
      </c>
      <c r="W51" s="2"/>
      <c r="X51" s="6">
        <f t="shared" si="34"/>
        <v>23314.26</v>
      </c>
      <c r="Y51" s="2"/>
      <c r="Z51" s="7">
        <f t="shared" si="35"/>
        <v>27.428541176470585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13580.689999999999</v>
      </c>
      <c r="E52" s="1"/>
      <c r="F52" s="5">
        <f t="shared" si="28"/>
        <v>0.12747249343427988</v>
      </c>
      <c r="G52" s="1"/>
      <c r="H52" s="1">
        <f>SUM(OSRRefH22_5x_0)</f>
        <v>13683</v>
      </c>
      <c r="I52" s="1"/>
      <c r="J52" s="5">
        <f t="shared" si="29"/>
        <v>0.12108849557522124</v>
      </c>
      <c r="K52" s="1"/>
      <c r="L52" s="1">
        <f t="shared" si="30"/>
        <v>-102.31000000000131</v>
      </c>
      <c r="M52" s="1"/>
      <c r="N52" s="5">
        <f t="shared" si="31"/>
        <v>-7.47716144120451E-3</v>
      </c>
      <c r="O52" s="13"/>
      <c r="P52" s="1">
        <f>SUM(OSRRefP22_5x_0)</f>
        <v>107076.62</v>
      </c>
      <c r="Q52" s="1"/>
      <c r="R52" s="5">
        <f t="shared" si="32"/>
        <v>0.1761520962448577</v>
      </c>
      <c r="S52" s="1"/>
      <c r="T52" s="1">
        <f>SUM(OSRRefT22_5x_0)</f>
        <v>108213</v>
      </c>
      <c r="U52" s="1"/>
      <c r="V52" s="5">
        <f t="shared" si="33"/>
        <v>0.1673957769355712</v>
      </c>
      <c r="W52" s="1"/>
      <c r="X52" s="1">
        <f t="shared" si="34"/>
        <v>-1136.3800000000047</v>
      </c>
      <c r="Y52" s="1"/>
      <c r="Z52" s="5">
        <f t="shared" si="35"/>
        <v>-1.0501326088362808E-2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10612.46</v>
      </c>
      <c r="E53" s="2"/>
      <c r="F53" s="7">
        <f t="shared" si="28"/>
        <v>9.9611782440476734E-2</v>
      </c>
      <c r="G53" s="2"/>
      <c r="H53" s="6">
        <v>10612</v>
      </c>
      <c r="I53" s="2"/>
      <c r="J53" s="7">
        <f t="shared" si="29"/>
        <v>9.3911504424778761E-2</v>
      </c>
      <c r="K53" s="2"/>
      <c r="L53" s="6">
        <f t="shared" si="30"/>
        <v>0.45999999999912689</v>
      </c>
      <c r="M53" s="2"/>
      <c r="N53" s="7">
        <f t="shared" si="31"/>
        <v>4.3347154165013841E-5</v>
      </c>
      <c r="O53" s="11"/>
      <c r="P53" s="6">
        <v>84899.68</v>
      </c>
      <c r="Q53" s="2"/>
      <c r="R53" s="7">
        <f t="shared" si="32"/>
        <v>0.1396687400341701</v>
      </c>
      <c r="S53" s="2"/>
      <c r="T53" s="6">
        <v>84896</v>
      </c>
      <c r="U53" s="2"/>
      <c r="V53" s="7">
        <f t="shared" si="33"/>
        <v>0.1313264753654575</v>
      </c>
      <c r="W53" s="2"/>
      <c r="X53" s="6">
        <f t="shared" si="34"/>
        <v>3.6799999999930151</v>
      </c>
      <c r="Y53" s="2"/>
      <c r="Z53" s="7">
        <f t="shared" si="35"/>
        <v>4.3347154165013841E-5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2968.23</v>
      </c>
      <c r="E54" s="2"/>
      <c r="F54" s="7">
        <f t="shared" si="28"/>
        <v>2.7860710993803158E-2</v>
      </c>
      <c r="G54" s="2"/>
      <c r="H54" s="6">
        <v>2654</v>
      </c>
      <c r="I54" s="2"/>
      <c r="J54" s="7">
        <f t="shared" si="29"/>
        <v>2.3486725663716814E-2</v>
      </c>
      <c r="K54" s="2"/>
      <c r="L54" s="6">
        <f t="shared" si="30"/>
        <v>314.23</v>
      </c>
      <c r="M54" s="2"/>
      <c r="N54" s="7">
        <f t="shared" si="31"/>
        <v>0.11839864355689526</v>
      </c>
      <c r="O54" s="11"/>
      <c r="P54" s="6">
        <v>22176.94</v>
      </c>
      <c r="Q54" s="2"/>
      <c r="R54" s="7">
        <f t="shared" si="32"/>
        <v>3.6483356210687587E-2</v>
      </c>
      <c r="S54" s="2"/>
      <c r="T54" s="6">
        <v>21232</v>
      </c>
      <c r="U54" s="2"/>
      <c r="V54" s="7">
        <f t="shared" si="33"/>
        <v>3.2843994121741819E-2</v>
      </c>
      <c r="W54" s="2"/>
      <c r="X54" s="6">
        <f t="shared" si="34"/>
        <v>944.93999999999869</v>
      </c>
      <c r="Y54" s="2"/>
      <c r="Z54" s="7">
        <f t="shared" si="35"/>
        <v>4.4505463451394063E-2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417</v>
      </c>
      <c r="I55" s="2"/>
      <c r="J55" s="7">
        <f t="shared" si="29"/>
        <v>3.6902654867256635E-3</v>
      </c>
      <c r="K55" s="2"/>
      <c r="L55" s="6">
        <f t="shared" si="30"/>
        <v>-417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2085</v>
      </c>
      <c r="U55" s="2"/>
      <c r="V55" s="7">
        <f t="shared" si="33"/>
        <v>3.2253074483718771E-3</v>
      </c>
      <c r="W55" s="2"/>
      <c r="X55" s="6">
        <f t="shared" si="34"/>
        <v>-2085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70" si="36">IF(D$12=0,0,D56/D$12)</f>
        <v>0</v>
      </c>
      <c r="G56" s="1"/>
      <c r="H56" s="1">
        <f>SUM(OSRRefH22_6x_0)</f>
        <v>25</v>
      </c>
      <c r="I56" s="1"/>
      <c r="J56" s="5">
        <f t="shared" ref="J56:J70" si="37">IF(H$12=0,0,H56/H$12)</f>
        <v>2.2123893805309734E-4</v>
      </c>
      <c r="K56" s="1"/>
      <c r="L56" s="1">
        <f t="shared" ref="L56:L70" si="38">+D56-H56</f>
        <v>-25</v>
      </c>
      <c r="M56" s="1"/>
      <c r="N56" s="5">
        <f t="shared" ref="N56:N70" si="39">IF(H56=0,0,L56/H56)</f>
        <v>-1</v>
      </c>
      <c r="O56" s="13"/>
      <c r="P56" s="1">
        <f>SUM(OSRRefP22_6x_0)</f>
        <v>96.36</v>
      </c>
      <c r="Q56" s="1"/>
      <c r="R56" s="5">
        <f t="shared" ref="R56:R70" si="40">IF(P$12=0,0,P56/P$12)</f>
        <v>1.5852214978540123E-4</v>
      </c>
      <c r="S56" s="1"/>
      <c r="T56" s="1">
        <f>SUM(OSRRefT22_6x_0)</f>
        <v>200</v>
      </c>
      <c r="U56" s="1"/>
      <c r="V56" s="5">
        <f t="shared" ref="V56:V70" si="41">IF(T$12=0,0,T56/T$12)</f>
        <v>3.0938200943615127E-4</v>
      </c>
      <c r="W56" s="1"/>
      <c r="X56" s="1">
        <f t="shared" ref="X56:X70" si="42">+P56-T56</f>
        <v>-103.64</v>
      </c>
      <c r="Y56" s="1"/>
      <c r="Z56" s="5">
        <f t="shared" ref="Z56:Z70" si="43">IF(T56=0,0,X56/T56)</f>
        <v>-0.51819999999999999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25</v>
      </c>
      <c r="I57" s="2"/>
      <c r="J57" s="7">
        <f t="shared" si="37"/>
        <v>2.2123893805309734E-4</v>
      </c>
      <c r="K57" s="2"/>
      <c r="L57" s="6">
        <f t="shared" si="38"/>
        <v>-25</v>
      </c>
      <c r="M57" s="2"/>
      <c r="N57" s="7">
        <f t="shared" si="39"/>
        <v>-1</v>
      </c>
      <c r="O57" s="11"/>
      <c r="P57" s="6">
        <v>96.36</v>
      </c>
      <c r="Q57" s="2"/>
      <c r="R57" s="7">
        <f t="shared" si="40"/>
        <v>1.5852214978540123E-4</v>
      </c>
      <c r="S57" s="2"/>
      <c r="T57" s="6">
        <v>200</v>
      </c>
      <c r="U57" s="2"/>
      <c r="V57" s="7">
        <f t="shared" si="41"/>
        <v>3.0938200943615127E-4</v>
      </c>
      <c r="W57" s="2"/>
      <c r="X57" s="6">
        <f t="shared" si="42"/>
        <v>-103.64</v>
      </c>
      <c r="Y57" s="2"/>
      <c r="Z57" s="7">
        <f t="shared" si="43"/>
        <v>-0.51819999999999999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103.33</v>
      </c>
      <c r="E58" s="1"/>
      <c r="F58" s="5">
        <f t="shared" si="36"/>
        <v>9.6988685748398214E-4</v>
      </c>
      <c r="G58" s="1"/>
      <c r="H58" s="1">
        <f>SUM(OSRRefH22_7x_0)</f>
        <v>125</v>
      </c>
      <c r="I58" s="1"/>
      <c r="J58" s="5">
        <f t="shared" si="37"/>
        <v>1.1061946902654867E-3</v>
      </c>
      <c r="K58" s="1"/>
      <c r="L58" s="1">
        <f t="shared" si="38"/>
        <v>-21.67</v>
      </c>
      <c r="M58" s="1"/>
      <c r="N58" s="5">
        <f t="shared" si="39"/>
        <v>-0.17336000000000001</v>
      </c>
      <c r="O58" s="13"/>
      <c r="P58" s="1">
        <f>SUM(OSRRefP22_7x_0)</f>
        <v>937.82</v>
      </c>
      <c r="Q58" s="1"/>
      <c r="R58" s="5">
        <f t="shared" si="40"/>
        <v>1.5428107359043688E-3</v>
      </c>
      <c r="S58" s="1"/>
      <c r="T58" s="1">
        <f>SUM(OSRRefT22_7x_0)</f>
        <v>1000</v>
      </c>
      <c r="U58" s="1"/>
      <c r="V58" s="5">
        <f t="shared" si="41"/>
        <v>1.5469100471807563E-3</v>
      </c>
      <c r="W58" s="1"/>
      <c r="X58" s="1">
        <f t="shared" si="42"/>
        <v>-62.17999999999995</v>
      </c>
      <c r="Y58" s="1"/>
      <c r="Z58" s="5">
        <f t="shared" si="43"/>
        <v>-6.2179999999999951E-2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103.33</v>
      </c>
      <c r="E59" s="2"/>
      <c r="F59" s="7">
        <f t="shared" si="36"/>
        <v>9.6988685748398214E-4</v>
      </c>
      <c r="G59" s="2"/>
      <c r="H59" s="6">
        <v>125</v>
      </c>
      <c r="I59" s="2"/>
      <c r="J59" s="7">
        <f t="shared" si="37"/>
        <v>1.1061946902654867E-3</v>
      </c>
      <c r="K59" s="2"/>
      <c r="L59" s="6">
        <f t="shared" si="38"/>
        <v>-21.67</v>
      </c>
      <c r="M59" s="2"/>
      <c r="N59" s="7">
        <f t="shared" si="39"/>
        <v>-0.17336000000000001</v>
      </c>
      <c r="O59" s="11"/>
      <c r="P59" s="6">
        <v>937.82</v>
      </c>
      <c r="Q59" s="2"/>
      <c r="R59" s="7">
        <f t="shared" si="40"/>
        <v>1.5428107359043688E-3</v>
      </c>
      <c r="S59" s="2"/>
      <c r="T59" s="6">
        <v>1000</v>
      </c>
      <c r="U59" s="2"/>
      <c r="V59" s="7">
        <f t="shared" si="41"/>
        <v>1.5469100471807563E-3</v>
      </c>
      <c r="W59" s="2"/>
      <c r="X59" s="6">
        <f t="shared" si="42"/>
        <v>-62.17999999999995</v>
      </c>
      <c r="Y59" s="2"/>
      <c r="Z59" s="7">
        <f t="shared" si="43"/>
        <v>-6.2179999999999951E-2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82.8</v>
      </c>
      <c r="E60" s="1"/>
      <c r="F60" s="5">
        <f t="shared" si="36"/>
        <v>7.7718602341695264E-4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82.8</v>
      </c>
      <c r="M60" s="1"/>
      <c r="N60" s="5">
        <f t="shared" si="39"/>
        <v>0</v>
      </c>
      <c r="O60" s="13"/>
      <c r="P60" s="1">
        <f>SUM(OSRRefP22_8x_0)</f>
        <v>1926.21</v>
      </c>
      <c r="Q60" s="1"/>
      <c r="R60" s="5">
        <f t="shared" si="40"/>
        <v>3.1688143434842019E-3</v>
      </c>
      <c r="S60" s="1"/>
      <c r="T60" s="1">
        <f>SUM(OSRRefT22_8x_0)</f>
        <v>1400</v>
      </c>
      <c r="U60" s="1"/>
      <c r="V60" s="5">
        <f t="shared" si="41"/>
        <v>2.1656740660530591E-3</v>
      </c>
      <c r="W60" s="1"/>
      <c r="X60" s="1">
        <f t="shared" si="42"/>
        <v>526.21</v>
      </c>
      <c r="Y60" s="1"/>
      <c r="Z60" s="5">
        <f t="shared" si="43"/>
        <v>0.37586428571428576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82.8</v>
      </c>
      <c r="E61" s="2"/>
      <c r="F61" s="7">
        <f t="shared" si="36"/>
        <v>7.7718602341695264E-4</v>
      </c>
      <c r="G61" s="2"/>
      <c r="H61" s="6"/>
      <c r="I61" s="2"/>
      <c r="J61" s="7">
        <f t="shared" si="37"/>
        <v>0</v>
      </c>
      <c r="K61" s="2"/>
      <c r="L61" s="6">
        <f t="shared" si="38"/>
        <v>82.8</v>
      </c>
      <c r="M61" s="2"/>
      <c r="N61" s="7">
        <f t="shared" si="39"/>
        <v>0</v>
      </c>
      <c r="O61" s="11"/>
      <c r="P61" s="6">
        <v>1926.21</v>
      </c>
      <c r="Q61" s="2"/>
      <c r="R61" s="7">
        <f t="shared" si="40"/>
        <v>3.1688143434842019E-3</v>
      </c>
      <c r="S61" s="2"/>
      <c r="T61" s="6">
        <v>1400</v>
      </c>
      <c r="U61" s="2"/>
      <c r="V61" s="7">
        <f t="shared" si="41"/>
        <v>2.1656740660530591E-3</v>
      </c>
      <c r="W61" s="2"/>
      <c r="X61" s="6">
        <f t="shared" si="42"/>
        <v>526.21</v>
      </c>
      <c r="Y61" s="2"/>
      <c r="Z61" s="7">
        <f t="shared" si="43"/>
        <v>0.37586428571428576</v>
      </c>
    </row>
    <row r="62" spans="1:26" s="27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6.0192494335365148E-3</v>
      </c>
      <c r="G62" s="1"/>
      <c r="H62" s="1">
        <f>SUM(OSRRefH22_9x_0)</f>
        <v>604</v>
      </c>
      <c r="I62" s="1"/>
      <c r="J62" s="5">
        <f t="shared" si="37"/>
        <v>5.3451327433628321E-3</v>
      </c>
      <c r="K62" s="1"/>
      <c r="L62" s="1">
        <f t="shared" si="38"/>
        <v>37.279999999999973</v>
      </c>
      <c r="M62" s="1"/>
      <c r="N62" s="5">
        <f t="shared" si="39"/>
        <v>6.1721854304635719E-2</v>
      </c>
      <c r="O62" s="13"/>
      <c r="P62" s="1">
        <f>SUM(OSRRefP22_9x_0)</f>
        <v>5130.24</v>
      </c>
      <c r="Q62" s="1"/>
      <c r="R62" s="5">
        <f t="shared" si="40"/>
        <v>8.4397745300441758E-3</v>
      </c>
      <c r="S62" s="1"/>
      <c r="T62" s="1">
        <f>SUM(OSRRefT22_9x_0)</f>
        <v>4832</v>
      </c>
      <c r="U62" s="1"/>
      <c r="V62" s="5">
        <f t="shared" si="41"/>
        <v>7.4746693479774149E-3</v>
      </c>
      <c r="W62" s="1"/>
      <c r="X62" s="1">
        <f t="shared" si="42"/>
        <v>298.23999999999978</v>
      </c>
      <c r="Y62" s="1"/>
      <c r="Z62" s="5">
        <f t="shared" si="43"/>
        <v>6.1721854304635719E-2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6">
        <v>641.28</v>
      </c>
      <c r="E63" s="2"/>
      <c r="F63" s="7">
        <f t="shared" si="36"/>
        <v>6.0192494335365148E-3</v>
      </c>
      <c r="G63" s="2"/>
      <c r="H63" s="6">
        <v>604</v>
      </c>
      <c r="I63" s="2"/>
      <c r="J63" s="7">
        <f t="shared" si="37"/>
        <v>5.3451327433628321E-3</v>
      </c>
      <c r="K63" s="2"/>
      <c r="L63" s="6">
        <f t="shared" si="38"/>
        <v>37.279999999999973</v>
      </c>
      <c r="M63" s="2"/>
      <c r="N63" s="7">
        <f t="shared" si="39"/>
        <v>6.1721854304635719E-2</v>
      </c>
      <c r="O63" s="11"/>
      <c r="P63" s="6">
        <v>5130.24</v>
      </c>
      <c r="Q63" s="2"/>
      <c r="R63" s="7">
        <f t="shared" si="40"/>
        <v>8.4397745300441758E-3</v>
      </c>
      <c r="S63" s="2"/>
      <c r="T63" s="6">
        <v>4832</v>
      </c>
      <c r="U63" s="2"/>
      <c r="V63" s="7">
        <f t="shared" si="41"/>
        <v>7.4746693479774149E-3</v>
      </c>
      <c r="W63" s="2"/>
      <c r="X63" s="6">
        <f t="shared" si="42"/>
        <v>298.23999999999978</v>
      </c>
      <c r="Y63" s="2"/>
      <c r="Z63" s="7">
        <f t="shared" si="43"/>
        <v>6.1721854304635719E-2</v>
      </c>
    </row>
    <row r="64" spans="1:26" s="27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7754</v>
      </c>
      <c r="E64" s="1"/>
      <c r="F64" s="5">
        <f t="shared" si="36"/>
        <v>7.2781406105978885E-2</v>
      </c>
      <c r="G64" s="1"/>
      <c r="H64" s="1">
        <f>SUM(OSRRefH22_10x_0)</f>
        <v>7754</v>
      </c>
      <c r="I64" s="1"/>
      <c r="J64" s="5">
        <f t="shared" si="37"/>
        <v>6.8619469026548668E-2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61639.049999999996</v>
      </c>
      <c r="Q64" s="1"/>
      <c r="R64" s="5">
        <f t="shared" si="40"/>
        <v>0.10140260187556906</v>
      </c>
      <c r="S64" s="1"/>
      <c r="T64" s="1">
        <f>SUM(OSRRefT22_10x_0)</f>
        <v>62032</v>
      </c>
      <c r="U64" s="1"/>
      <c r="V64" s="5">
        <f t="shared" si="41"/>
        <v>9.5957924046716686E-2</v>
      </c>
      <c r="W64" s="1"/>
      <c r="X64" s="1">
        <f t="shared" si="42"/>
        <v>-392.95000000000437</v>
      </c>
      <c r="Y64" s="1"/>
      <c r="Z64" s="5">
        <f t="shared" si="43"/>
        <v>-6.3346337374259147E-3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6">
        <v>7754</v>
      </c>
      <c r="E65" s="2"/>
      <c r="F65" s="7">
        <f t="shared" si="36"/>
        <v>7.2781406105978885E-2</v>
      </c>
      <c r="G65" s="2"/>
      <c r="H65" s="6">
        <v>7754</v>
      </c>
      <c r="I65" s="2"/>
      <c r="J65" s="7">
        <f t="shared" si="37"/>
        <v>6.8619469026548668E-2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61639.049999999996</v>
      </c>
      <c r="Q65" s="2"/>
      <c r="R65" s="7">
        <f t="shared" si="40"/>
        <v>0.10140260187556906</v>
      </c>
      <c r="S65" s="2"/>
      <c r="T65" s="6">
        <v>62032</v>
      </c>
      <c r="U65" s="2"/>
      <c r="V65" s="7">
        <f t="shared" si="41"/>
        <v>9.5957924046716686E-2</v>
      </c>
      <c r="W65" s="2"/>
      <c r="X65" s="6">
        <f t="shared" si="42"/>
        <v>-392.95000000000437</v>
      </c>
      <c r="Y65" s="2"/>
      <c r="Z65" s="7">
        <f t="shared" si="43"/>
        <v>-6.3346337374259147E-3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1071.3900000000001</v>
      </c>
      <c r="E66" s="1"/>
      <c r="F66" s="5">
        <f t="shared" si="36"/>
        <v>1.0056392918220882E-2</v>
      </c>
      <c r="G66" s="1"/>
      <c r="H66" s="1">
        <f>SUM(OSRRefH22_11x_0)</f>
        <v>1200</v>
      </c>
      <c r="I66" s="1"/>
      <c r="J66" s="5">
        <f t="shared" si="37"/>
        <v>1.0619469026548672E-2</v>
      </c>
      <c r="K66" s="1"/>
      <c r="L66" s="1">
        <f t="shared" si="38"/>
        <v>-128.6099999999999</v>
      </c>
      <c r="M66" s="1"/>
      <c r="N66" s="5">
        <f t="shared" si="39"/>
        <v>-0.10717499999999992</v>
      </c>
      <c r="O66" s="13"/>
      <c r="P66" s="1">
        <f>SUM(OSRRefP22_11x_0)</f>
        <v>23586.67</v>
      </c>
      <c r="Q66" s="1"/>
      <c r="R66" s="5">
        <f t="shared" si="40"/>
        <v>3.8802507624313295E-2</v>
      </c>
      <c r="S66" s="1"/>
      <c r="T66" s="1">
        <f>SUM(OSRRefT22_11x_0)</f>
        <v>11400</v>
      </c>
      <c r="U66" s="1"/>
      <c r="V66" s="5">
        <f t="shared" si="41"/>
        <v>1.7634774537860623E-2</v>
      </c>
      <c r="W66" s="1"/>
      <c r="X66" s="1">
        <f t="shared" si="42"/>
        <v>12186.669999999998</v>
      </c>
      <c r="Y66" s="1"/>
      <c r="Z66" s="5">
        <f t="shared" si="43"/>
        <v>1.069006140350877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2623.84</v>
      </c>
      <c r="Q67" s="2"/>
      <c r="R67" s="7">
        <f t="shared" si="40"/>
        <v>4.3164877282371025E-3</v>
      </c>
      <c r="S67" s="2"/>
      <c r="T67" s="6"/>
      <c r="U67" s="2"/>
      <c r="V67" s="7">
        <f t="shared" si="41"/>
        <v>0</v>
      </c>
      <c r="W67" s="2"/>
      <c r="X67" s="6">
        <f t="shared" si="42"/>
        <v>2623.84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-0.01</v>
      </c>
      <c r="Q68" s="2"/>
      <c r="R68" s="7">
        <f t="shared" si="40"/>
        <v>-1.64510325638648E-8</v>
      </c>
      <c r="S68" s="2"/>
      <c r="T68" s="6"/>
      <c r="U68" s="2"/>
      <c r="V68" s="7">
        <f t="shared" si="41"/>
        <v>0</v>
      </c>
      <c r="W68" s="2"/>
      <c r="X68" s="6">
        <f t="shared" si="42"/>
        <v>-0.01</v>
      </c>
      <c r="Y68" s="2"/>
      <c r="Z68" s="7">
        <f t="shared" si="43"/>
        <v>0</v>
      </c>
    </row>
    <row r="69" spans="1:26" s="24" customFormat="1" hidden="1" outlineLevel="2" x14ac:dyDescent="0.25">
      <c r="A69" s="25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3768.74</v>
      </c>
      <c r="Q69" s="2"/>
      <c r="R69" s="7">
        <f t="shared" si="40"/>
        <v>6.1999664464739831E-3</v>
      </c>
      <c r="S69" s="2"/>
      <c r="T69" s="6"/>
      <c r="U69" s="2"/>
      <c r="V69" s="7">
        <f t="shared" si="41"/>
        <v>0</v>
      </c>
      <c r="W69" s="2"/>
      <c r="X69" s="6">
        <f t="shared" si="42"/>
        <v>3768.74</v>
      </c>
      <c r="Y69" s="2"/>
      <c r="Z69" s="7">
        <f t="shared" si="43"/>
        <v>0</v>
      </c>
    </row>
    <row r="70" spans="1:26" s="24" customFormat="1" hidden="1" outlineLevel="2" x14ac:dyDescent="0.25">
      <c r="A70" s="25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1071.3900000000001</v>
      </c>
      <c r="E70" s="2"/>
      <c r="F70" s="7">
        <f t="shared" si="36"/>
        <v>1.0056392918220882E-2</v>
      </c>
      <c r="G70" s="2"/>
      <c r="H70" s="6">
        <v>1200</v>
      </c>
      <c r="I70" s="2"/>
      <c r="J70" s="7">
        <f t="shared" si="37"/>
        <v>1.0619469026548672E-2</v>
      </c>
      <c r="K70" s="2"/>
      <c r="L70" s="6">
        <f t="shared" si="38"/>
        <v>-128.6099999999999</v>
      </c>
      <c r="M70" s="2"/>
      <c r="N70" s="7">
        <f t="shared" si="39"/>
        <v>-0.10717499999999992</v>
      </c>
      <c r="O70" s="11"/>
      <c r="P70" s="6">
        <v>17194.099999999999</v>
      </c>
      <c r="Q70" s="2"/>
      <c r="R70" s="7">
        <f t="shared" si="40"/>
        <v>2.8286069900634776E-2</v>
      </c>
      <c r="S70" s="2"/>
      <c r="T70" s="6">
        <v>11400</v>
      </c>
      <c r="U70" s="2"/>
      <c r="V70" s="7">
        <f t="shared" si="41"/>
        <v>1.7634774537860623E-2</v>
      </c>
      <c r="W70" s="2"/>
      <c r="X70" s="6">
        <f t="shared" si="42"/>
        <v>5794.0999999999985</v>
      </c>
      <c r="Y70" s="2"/>
      <c r="Z70" s="7">
        <f t="shared" si="43"/>
        <v>0.50825438596491213</v>
      </c>
    </row>
    <row r="71" spans="1:26" s="27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4858.7999999999993</v>
      </c>
      <c r="E71" s="1"/>
      <c r="F71" s="5">
        <f t="shared" ref="F71:F76" si="44">IF(D$12=0,0,D71/D$12)</f>
        <v>4.5606176939351317E-2</v>
      </c>
      <c r="G71" s="1"/>
      <c r="H71" s="1">
        <f>SUM(OSRRefH22_12x_0)</f>
        <v>4135</v>
      </c>
      <c r="I71" s="1"/>
      <c r="J71" s="5">
        <f t="shared" ref="J71:J76" si="45">IF(H$12=0,0,H71/H$12)</f>
        <v>3.6592920353982303E-2</v>
      </c>
      <c r="K71" s="1"/>
      <c r="L71" s="1">
        <f t="shared" ref="L71:L76" si="46">+D71-H71</f>
        <v>723.79999999999927</v>
      </c>
      <c r="M71" s="1"/>
      <c r="N71" s="5">
        <f t="shared" ref="N71:N76" si="47">IF(H71=0,0,L71/H71)</f>
        <v>0.17504232164449801</v>
      </c>
      <c r="O71" s="13"/>
      <c r="P71" s="1">
        <f>SUM(OSRRefP22_12x_0)</f>
        <v>37142.43</v>
      </c>
      <c r="Q71" s="1"/>
      <c r="R71" s="5">
        <f t="shared" ref="R71:R76" si="48">IF(P$12=0,0,P71/P$12)</f>
        <v>6.110313254310689E-2</v>
      </c>
      <c r="S71" s="1"/>
      <c r="T71" s="1">
        <f>SUM(OSRRefT22_12x_0)</f>
        <v>32680</v>
      </c>
      <c r="U71" s="1"/>
      <c r="V71" s="5">
        <f t="shared" ref="V71:V76" si="49">IF(T$12=0,0,T71/T$12)</f>
        <v>5.0553020341867122E-2</v>
      </c>
      <c r="W71" s="1"/>
      <c r="X71" s="1">
        <f t="shared" ref="X71:X76" si="50">+P71-T71</f>
        <v>4462.43</v>
      </c>
      <c r="Y71" s="1"/>
      <c r="Z71" s="5">
        <f t="shared" ref="Z71:Z76" si="51">IF(T71=0,0,X71/T71)</f>
        <v>0.13654926560587516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657.08</v>
      </c>
      <c r="E72" s="2"/>
      <c r="F72" s="7">
        <f t="shared" si="44"/>
        <v>6.16755304670062E-3</v>
      </c>
      <c r="G72" s="2"/>
      <c r="H72" s="6">
        <v>350</v>
      </c>
      <c r="I72" s="2"/>
      <c r="J72" s="7">
        <f t="shared" si="45"/>
        <v>3.0973451327433628E-3</v>
      </c>
      <c r="K72" s="2"/>
      <c r="L72" s="6">
        <f t="shared" si="46"/>
        <v>307.08000000000004</v>
      </c>
      <c r="M72" s="2"/>
      <c r="N72" s="7">
        <f t="shared" si="47"/>
        <v>0.87737142857142869</v>
      </c>
      <c r="O72" s="11"/>
      <c r="P72" s="6">
        <v>2956.86</v>
      </c>
      <c r="Q72" s="2"/>
      <c r="R72" s="7">
        <f t="shared" si="48"/>
        <v>4.8643400146789282E-3</v>
      </c>
      <c r="S72" s="2"/>
      <c r="T72" s="6">
        <v>2800</v>
      </c>
      <c r="U72" s="2"/>
      <c r="V72" s="7">
        <f t="shared" si="49"/>
        <v>4.3313481321061182E-3</v>
      </c>
      <c r="W72" s="2"/>
      <c r="X72" s="6">
        <f t="shared" si="50"/>
        <v>156.86000000000013</v>
      </c>
      <c r="Y72" s="2"/>
      <c r="Z72" s="7">
        <f t="shared" si="51"/>
        <v>5.6021428571428618E-2</v>
      </c>
    </row>
    <row r="73" spans="1:26" s="24" customFormat="1" hidden="1" outlineLevel="2" x14ac:dyDescent="0.25">
      <c r="A73" s="25"/>
      <c r="B73" s="11" t="str">
        <f>CONCATENATE("          ", "6283", " - ", "PLANT SERVICE")</f>
        <v xml:space="preserve">          6283 - PLANT SERVICE</v>
      </c>
      <c r="C73" s="11"/>
      <c r="D73" s="6">
        <v>61.55</v>
      </c>
      <c r="E73" s="2"/>
      <c r="F73" s="7">
        <f t="shared" si="44"/>
        <v>5.7772705001586276E-4</v>
      </c>
      <c r="G73" s="2"/>
      <c r="H73" s="6">
        <v>60</v>
      </c>
      <c r="I73" s="2"/>
      <c r="J73" s="7">
        <f t="shared" si="45"/>
        <v>5.3097345132743366E-4</v>
      </c>
      <c r="K73" s="2"/>
      <c r="L73" s="6">
        <f t="shared" si="46"/>
        <v>1.5499999999999972</v>
      </c>
      <c r="M73" s="2"/>
      <c r="N73" s="7">
        <f t="shared" si="47"/>
        <v>2.5833333333333285E-2</v>
      </c>
      <c r="O73" s="11"/>
      <c r="P73" s="6">
        <v>307.75</v>
      </c>
      <c r="Q73" s="2"/>
      <c r="R73" s="7">
        <f t="shared" si="48"/>
        <v>5.0628052715293926E-4</v>
      </c>
      <c r="S73" s="2"/>
      <c r="T73" s="6">
        <v>480</v>
      </c>
      <c r="U73" s="2"/>
      <c r="V73" s="7">
        <f t="shared" si="49"/>
        <v>7.4251682264676313E-4</v>
      </c>
      <c r="W73" s="2"/>
      <c r="X73" s="6">
        <f t="shared" si="50"/>
        <v>-172.25</v>
      </c>
      <c r="Y73" s="2"/>
      <c r="Z73" s="7">
        <f t="shared" si="51"/>
        <v>-0.35885416666666664</v>
      </c>
    </row>
    <row r="74" spans="1:26" s="24" customFormat="1" hidden="1" outlineLevel="2" x14ac:dyDescent="0.25">
      <c r="A74" s="25"/>
      <c r="B74" s="11" t="str">
        <f>CONCATENATE("          ", "6284", " - ", "TRASH REMOVAL EXPENSE")</f>
        <v xml:space="preserve">          6284 - TRASH REMOVAL EXPENSE</v>
      </c>
      <c r="C74" s="11"/>
      <c r="D74" s="6">
        <v>761</v>
      </c>
      <c r="E74" s="2"/>
      <c r="F74" s="7">
        <f t="shared" si="44"/>
        <v>7.1429778239166788E-3</v>
      </c>
      <c r="G74" s="2"/>
      <c r="H74" s="6">
        <v>475</v>
      </c>
      <c r="I74" s="2"/>
      <c r="J74" s="7">
        <f t="shared" si="45"/>
        <v>4.2035398230088495E-3</v>
      </c>
      <c r="K74" s="2"/>
      <c r="L74" s="6">
        <f t="shared" si="46"/>
        <v>286</v>
      </c>
      <c r="M74" s="2"/>
      <c r="N74" s="7">
        <f t="shared" si="47"/>
        <v>0.6021052631578947</v>
      </c>
      <c r="O74" s="11"/>
      <c r="P74" s="6">
        <v>6080</v>
      </c>
      <c r="Q74" s="2"/>
      <c r="R74" s="7">
        <f t="shared" si="48"/>
        <v>1.00022277988298E-2</v>
      </c>
      <c r="S74" s="2"/>
      <c r="T74" s="6">
        <v>3800</v>
      </c>
      <c r="U74" s="2"/>
      <c r="V74" s="7">
        <f t="shared" si="49"/>
        <v>5.8782581792868743E-3</v>
      </c>
      <c r="W74" s="2"/>
      <c r="X74" s="6">
        <f t="shared" si="50"/>
        <v>2280</v>
      </c>
      <c r="Y74" s="2"/>
      <c r="Z74" s="7">
        <f t="shared" si="51"/>
        <v>0.6</v>
      </c>
    </row>
    <row r="75" spans="1:26" s="24" customFormat="1" hidden="1" outlineLevel="2" x14ac:dyDescent="0.25">
      <c r="A75" s="25"/>
      <c r="B75" s="11" t="str">
        <f>CONCATENATE("          ", "6285", " - ", "JANITORIAL SERVICES")</f>
        <v xml:space="preserve">          6285 - JANITORIAL SERVICES</v>
      </c>
      <c r="C75" s="11"/>
      <c r="D75" s="6">
        <v>3256.35</v>
      </c>
      <c r="E75" s="2"/>
      <c r="F75" s="7">
        <f t="shared" si="44"/>
        <v>3.0565093083983016E-2</v>
      </c>
      <c r="G75" s="2"/>
      <c r="H75" s="6">
        <v>3000</v>
      </c>
      <c r="I75" s="2"/>
      <c r="J75" s="7">
        <f t="shared" si="45"/>
        <v>2.6548672566371681E-2</v>
      </c>
      <c r="K75" s="2"/>
      <c r="L75" s="6">
        <f t="shared" si="46"/>
        <v>256.34999999999991</v>
      </c>
      <c r="M75" s="2"/>
      <c r="N75" s="7">
        <f t="shared" si="47"/>
        <v>8.544999999999997E-2</v>
      </c>
      <c r="O75" s="11"/>
      <c r="P75" s="6">
        <v>25851.4</v>
      </c>
      <c r="Q75" s="2"/>
      <c r="R75" s="7">
        <f t="shared" si="48"/>
        <v>4.2528222322149457E-2</v>
      </c>
      <c r="S75" s="2"/>
      <c r="T75" s="6">
        <v>24000</v>
      </c>
      <c r="U75" s="2"/>
      <c r="V75" s="7">
        <f t="shared" si="49"/>
        <v>3.7125841132338154E-2</v>
      </c>
      <c r="W75" s="2"/>
      <c r="X75" s="6">
        <f t="shared" si="50"/>
        <v>1851.4000000000015</v>
      </c>
      <c r="Y75" s="2"/>
      <c r="Z75" s="7">
        <f t="shared" si="51"/>
        <v>7.7141666666666733E-2</v>
      </c>
    </row>
    <row r="76" spans="1:26" s="24" customFormat="1" hidden="1" outlineLevel="2" x14ac:dyDescent="0.25">
      <c r="A76" s="25"/>
      <c r="B76" s="11" t="str">
        <f>CONCATENATE("          ", "6286", " - ", "LAUNDRY EXPENSE")</f>
        <v xml:space="preserve">          6286 - LAUNDRY EXPENSE</v>
      </c>
      <c r="C76" s="11"/>
      <c r="D76" s="6">
        <v>122.82</v>
      </c>
      <c r="E76" s="2"/>
      <c r="F76" s="7">
        <f t="shared" si="44"/>
        <v>1.1528259347351464E-3</v>
      </c>
      <c r="G76" s="2"/>
      <c r="H76" s="6">
        <v>250</v>
      </c>
      <c r="I76" s="2"/>
      <c r="J76" s="7">
        <f t="shared" si="45"/>
        <v>2.2123893805309734E-3</v>
      </c>
      <c r="K76" s="2"/>
      <c r="L76" s="6">
        <f t="shared" si="46"/>
        <v>-127.18</v>
      </c>
      <c r="M76" s="2"/>
      <c r="N76" s="7">
        <f t="shared" si="47"/>
        <v>-0.50872000000000006</v>
      </c>
      <c r="O76" s="11"/>
      <c r="P76" s="6">
        <v>1946.42</v>
      </c>
      <c r="Q76" s="2"/>
      <c r="R76" s="7">
        <f t="shared" si="48"/>
        <v>3.2020618802957729E-3</v>
      </c>
      <c r="S76" s="2"/>
      <c r="T76" s="6">
        <v>1600</v>
      </c>
      <c r="U76" s="2"/>
      <c r="V76" s="7">
        <f t="shared" si="49"/>
        <v>2.4750560754892102E-3</v>
      </c>
      <c r="W76" s="2"/>
      <c r="X76" s="6">
        <f t="shared" si="50"/>
        <v>346.42000000000007</v>
      </c>
      <c r="Y76" s="2"/>
      <c r="Z76" s="7">
        <f t="shared" si="51"/>
        <v>0.21651250000000005</v>
      </c>
    </row>
    <row r="77" spans="1:26" s="27" customFormat="1" outlineLevel="1" collapsed="1" x14ac:dyDescent="0.25">
      <c r="A77" s="26"/>
      <c r="B77" s="13" t="str">
        <f>CONCATENATE("     ","Subscriptions &amp; Dues                              ")</f>
        <v xml:space="preserve">     Subscriptions &amp; Dues                              </v>
      </c>
      <c r="C77" s="13"/>
      <c r="D77" s="1">
        <f>SUM(OSRRefD22_13x_0)</f>
        <v>71.260000000000019</v>
      </c>
      <c r="E77" s="1"/>
      <c r="F77" s="5">
        <f t="shared" ref="F77:F79" si="52">IF(D$12=0,0,D77/D$12)</f>
        <v>6.6886806797937276E-4</v>
      </c>
      <c r="G77" s="1"/>
      <c r="H77" s="1">
        <f>SUM(OSRRefH22_13x_0)</f>
        <v>200</v>
      </c>
      <c r="I77" s="1"/>
      <c r="J77" s="5">
        <f t="shared" ref="J77:J79" si="53">IF(H$12=0,0,H77/H$12)</f>
        <v>1.7699115044247787E-3</v>
      </c>
      <c r="K77" s="1"/>
      <c r="L77" s="1">
        <f t="shared" ref="L77:L79" si="54">+D77-H77</f>
        <v>-128.73999999999998</v>
      </c>
      <c r="M77" s="1"/>
      <c r="N77" s="5">
        <f t="shared" ref="N77:N79" si="55">IF(H77=0,0,L77/H77)</f>
        <v>-0.64369999999999994</v>
      </c>
      <c r="O77" s="13"/>
      <c r="P77" s="1">
        <f>SUM(OSRRefP22_13x_0)</f>
        <v>2557.4300000000003</v>
      </c>
      <c r="Q77" s="1"/>
      <c r="R77" s="5">
        <f t="shared" ref="R77:R79" si="56">IF(P$12=0,0,P77/P$12)</f>
        <v>4.2072364209804767E-3</v>
      </c>
      <c r="S77" s="1"/>
      <c r="T77" s="1">
        <f>SUM(OSRRefT22_13x_0)</f>
        <v>1600</v>
      </c>
      <c r="U77" s="1"/>
      <c r="V77" s="5">
        <f t="shared" ref="V77:V79" si="57">IF(T$12=0,0,T77/T$12)</f>
        <v>2.4750560754892102E-3</v>
      </c>
      <c r="W77" s="1"/>
      <c r="X77" s="1">
        <f t="shared" ref="X77:X79" si="58">+P77-T77</f>
        <v>957.43000000000029</v>
      </c>
      <c r="Y77" s="1"/>
      <c r="Z77" s="5">
        <f t="shared" ref="Z77:Z79" si="59">IF(T77=0,0,X77/T77)</f>
        <v>0.59839375000000017</v>
      </c>
    </row>
    <row r="78" spans="1:26" s="24" customFormat="1" hidden="1" outlineLevel="2" x14ac:dyDescent="0.25">
      <c r="A78" s="25"/>
      <c r="B78" s="11" t="str">
        <f>CONCATENATE("          ", "6258", " - ", "MEMBERSHIP DUES")</f>
        <v xml:space="preserve">          6258 - MEMBERSHIP DUES</v>
      </c>
      <c r="C78" s="11"/>
      <c r="D78" s="6">
        <v>-131.19999999999999</v>
      </c>
      <c r="E78" s="2"/>
      <c r="F78" s="7">
        <f t="shared" si="52"/>
        <v>-1.2314831675399056E-3</v>
      </c>
      <c r="G78" s="2"/>
      <c r="H78" s="6"/>
      <c r="I78" s="2"/>
      <c r="J78" s="7">
        <f t="shared" si="53"/>
        <v>0</v>
      </c>
      <c r="K78" s="2"/>
      <c r="L78" s="6">
        <f t="shared" si="54"/>
        <v>-131.19999999999999</v>
      </c>
      <c r="M78" s="2"/>
      <c r="N78" s="7">
        <f t="shared" si="55"/>
        <v>0</v>
      </c>
      <c r="O78" s="11"/>
      <c r="P78" s="6">
        <v>978</v>
      </c>
      <c r="Q78" s="2"/>
      <c r="R78" s="7">
        <f t="shared" si="56"/>
        <v>1.6089109847459775E-3</v>
      </c>
      <c r="S78" s="2"/>
      <c r="T78" s="6"/>
      <c r="U78" s="2"/>
      <c r="V78" s="7">
        <f t="shared" si="57"/>
        <v>0</v>
      </c>
      <c r="W78" s="2"/>
      <c r="X78" s="6">
        <f t="shared" si="58"/>
        <v>978</v>
      </c>
      <c r="Y78" s="2"/>
      <c r="Z78" s="7">
        <f t="shared" si="59"/>
        <v>0</v>
      </c>
    </row>
    <row r="79" spans="1:26" s="24" customFormat="1" hidden="1" outlineLevel="2" x14ac:dyDescent="0.25">
      <c r="A79" s="25"/>
      <c r="B79" s="11" t="str">
        <f>CONCATENATE("          ", "6275", " - ", "SUBSCRIPTIONS")</f>
        <v xml:space="preserve">          6275 - SUBSCRIPTIONS</v>
      </c>
      <c r="C79" s="11"/>
      <c r="D79" s="6">
        <v>202.46</v>
      </c>
      <c r="E79" s="2"/>
      <c r="F79" s="7">
        <f t="shared" si="52"/>
        <v>1.9003512355192783E-3</v>
      </c>
      <c r="G79" s="2"/>
      <c r="H79" s="6">
        <v>200</v>
      </c>
      <c r="I79" s="2"/>
      <c r="J79" s="7">
        <f t="shared" si="53"/>
        <v>1.7699115044247787E-3</v>
      </c>
      <c r="K79" s="2"/>
      <c r="L79" s="6">
        <f t="shared" si="54"/>
        <v>2.460000000000008</v>
      </c>
      <c r="M79" s="2"/>
      <c r="N79" s="7">
        <f t="shared" si="55"/>
        <v>1.230000000000004E-2</v>
      </c>
      <c r="O79" s="11"/>
      <c r="P79" s="6">
        <v>1579.43</v>
      </c>
      <c r="Q79" s="2"/>
      <c r="R79" s="7">
        <f t="shared" si="56"/>
        <v>2.5983254362344985E-3</v>
      </c>
      <c r="S79" s="2"/>
      <c r="T79" s="6">
        <v>1600</v>
      </c>
      <c r="U79" s="2"/>
      <c r="V79" s="7">
        <f t="shared" si="57"/>
        <v>2.4750560754892102E-3</v>
      </c>
      <c r="W79" s="2"/>
      <c r="X79" s="6">
        <f t="shared" si="58"/>
        <v>-20.569999999999936</v>
      </c>
      <c r="Y79" s="2"/>
      <c r="Z79" s="7">
        <f t="shared" si="59"/>
        <v>-1.285624999999996E-2</v>
      </c>
    </row>
    <row r="80" spans="1:26" s="27" customFormat="1" outlineLevel="1" collapsed="1" x14ac:dyDescent="0.25">
      <c r="A80" s="26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SUM(OSRRefD22_14x_0)</f>
        <v>2026.9299999999998</v>
      </c>
      <c r="E80" s="1"/>
      <c r="F80" s="5">
        <f t="shared" ref="F80:F89" si="60">IF(D$12=0,0,D80/D$12)</f>
        <v>1.9025382444982173E-2</v>
      </c>
      <c r="G80" s="1"/>
      <c r="H80" s="1">
        <f>SUM(OSRRefH22_14x_0)</f>
        <v>1560</v>
      </c>
      <c r="I80" s="1"/>
      <c r="J80" s="5">
        <f t="shared" ref="J80:J89" si="61">IF(H$12=0,0,H80/H$12)</f>
        <v>1.3805309734513275E-2</v>
      </c>
      <c r="K80" s="1"/>
      <c r="L80" s="1">
        <f t="shared" ref="L80:L89" si="62">+D80-H80</f>
        <v>466.92999999999984</v>
      </c>
      <c r="M80" s="1"/>
      <c r="N80" s="5">
        <f t="shared" ref="N80:N89" si="63">IF(H80=0,0,L80/H80)</f>
        <v>0.29931410256410246</v>
      </c>
      <c r="O80" s="13"/>
      <c r="P80" s="1">
        <f>SUM(OSRRefP22_14x_0)</f>
        <v>19964.260000000002</v>
      </c>
      <c r="Q80" s="1"/>
      <c r="R80" s="5">
        <f t="shared" ref="R80:R89" si="64">IF(P$12=0,0,P80/P$12)</f>
        <v>3.2843269137346351E-2</v>
      </c>
      <c r="S80" s="1"/>
      <c r="T80" s="1">
        <f>SUM(OSRRefT22_14x_0)</f>
        <v>14130</v>
      </c>
      <c r="U80" s="1"/>
      <c r="V80" s="5">
        <f t="shared" ref="V80:V89" si="65">IF(T$12=0,0,T80/T$12)</f>
        <v>2.185783896666409E-2</v>
      </c>
      <c r="W80" s="1"/>
      <c r="X80" s="1">
        <f t="shared" ref="X80:X89" si="66">+P80-T80</f>
        <v>5834.260000000002</v>
      </c>
      <c r="Y80" s="1"/>
      <c r="Z80" s="5">
        <f t="shared" ref="Z80:Z89" si="67">IF(T80=0,0,X80/T80)</f>
        <v>0.41289879688605818</v>
      </c>
    </row>
    <row r="81" spans="1:26" s="24" customFormat="1" hidden="1" outlineLevel="2" x14ac:dyDescent="0.25">
      <c r="A81" s="25"/>
      <c r="B81" s="11" t="str">
        <f>CONCATENATE("          ", "6234", " - ", "EXPENDABLE SUPPLIES &amp; EQUIPMEN")</f>
        <v xml:space="preserve">          6234 - EXPENDABLE SUPPLIES &amp; EQUIPMEN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1076.51</v>
      </c>
      <c r="Q81" s="2"/>
      <c r="R81" s="7">
        <f t="shared" si="64"/>
        <v>1.7709701065326097E-3</v>
      </c>
      <c r="S81" s="2"/>
      <c r="T81" s="6">
        <v>600</v>
      </c>
      <c r="U81" s="2"/>
      <c r="V81" s="7">
        <f t="shared" si="65"/>
        <v>9.2814602830845392E-4</v>
      </c>
      <c r="W81" s="2"/>
      <c r="X81" s="6">
        <f t="shared" si="66"/>
        <v>476.51</v>
      </c>
      <c r="Y81" s="2"/>
      <c r="Z81" s="7">
        <f t="shared" si="67"/>
        <v>0.79418333333333335</v>
      </c>
    </row>
    <row r="82" spans="1:26" s="24" customFormat="1" hidden="1" outlineLevel="2" x14ac:dyDescent="0.25">
      <c r="A82" s="25"/>
      <c r="B82" s="11" t="str">
        <f>CONCATENATE("          ", "6237", " - ", "JANITORIAL SUPPLIES")</f>
        <v xml:space="preserve">          6237 - JANITORIAL SUPPLIES</v>
      </c>
      <c r="C82" s="11"/>
      <c r="D82" s="6">
        <v>1320.3</v>
      </c>
      <c r="E82" s="2"/>
      <c r="F82" s="7">
        <f t="shared" si="60"/>
        <v>1.2392738003833365E-2</v>
      </c>
      <c r="G82" s="2"/>
      <c r="H82" s="6">
        <v>400</v>
      </c>
      <c r="I82" s="2"/>
      <c r="J82" s="7">
        <f t="shared" si="61"/>
        <v>3.5398230088495575E-3</v>
      </c>
      <c r="K82" s="2"/>
      <c r="L82" s="6">
        <f t="shared" si="62"/>
        <v>920.3</v>
      </c>
      <c r="M82" s="2"/>
      <c r="N82" s="7">
        <f t="shared" si="63"/>
        <v>2.3007499999999999</v>
      </c>
      <c r="O82" s="11"/>
      <c r="P82" s="6">
        <v>7848.57</v>
      </c>
      <c r="Q82" s="2"/>
      <c r="R82" s="7">
        <f t="shared" si="64"/>
        <v>1.2911708064977236E-2</v>
      </c>
      <c r="S82" s="2"/>
      <c r="T82" s="6">
        <v>3050</v>
      </c>
      <c r="U82" s="2"/>
      <c r="V82" s="7">
        <f t="shared" si="65"/>
        <v>4.7180756439013068E-3</v>
      </c>
      <c r="W82" s="2"/>
      <c r="X82" s="6">
        <f t="shared" si="66"/>
        <v>4798.57</v>
      </c>
      <c r="Y82" s="2"/>
      <c r="Z82" s="7">
        <f t="shared" si="67"/>
        <v>1.5733016393442623</v>
      </c>
    </row>
    <row r="83" spans="1:26" s="24" customFormat="1" hidden="1" outlineLevel="2" x14ac:dyDescent="0.25">
      <c r="A83" s="25"/>
      <c r="B83" s="11" t="str">
        <f>CONCATENATE("          ", "6239", " - ", "KITCHEN SUPPLIES")</f>
        <v xml:space="preserve">          6239 - KITCHEN SUPPLIES</v>
      </c>
      <c r="C83" s="11"/>
      <c r="D83" s="6">
        <v>111.41</v>
      </c>
      <c r="E83" s="2"/>
      <c r="F83" s="7">
        <f t="shared" si="60"/>
        <v>1.0457281988995495E-3</v>
      </c>
      <c r="G83" s="2"/>
      <c r="H83" s="6"/>
      <c r="I83" s="2"/>
      <c r="J83" s="7">
        <f t="shared" si="61"/>
        <v>0</v>
      </c>
      <c r="K83" s="2"/>
      <c r="L83" s="6">
        <f t="shared" si="62"/>
        <v>111.41</v>
      </c>
      <c r="M83" s="2"/>
      <c r="N83" s="7">
        <f t="shared" si="63"/>
        <v>0</v>
      </c>
      <c r="O83" s="11"/>
      <c r="P83" s="6">
        <v>342.67</v>
      </c>
      <c r="Q83" s="2"/>
      <c r="R83" s="7">
        <f t="shared" si="64"/>
        <v>5.6372753286595522E-4</v>
      </c>
      <c r="S83" s="2"/>
      <c r="T83" s="6">
        <v>650</v>
      </c>
      <c r="U83" s="2"/>
      <c r="V83" s="7">
        <f t="shared" si="65"/>
        <v>1.0054915306674918E-3</v>
      </c>
      <c r="W83" s="2"/>
      <c r="X83" s="6">
        <f t="shared" si="66"/>
        <v>-307.33</v>
      </c>
      <c r="Y83" s="2"/>
      <c r="Z83" s="7">
        <f t="shared" si="67"/>
        <v>-0.47281538461538458</v>
      </c>
    </row>
    <row r="84" spans="1:26" s="24" customFormat="1" hidden="1" outlineLevel="2" x14ac:dyDescent="0.25">
      <c r="A84" s="25"/>
      <c r="B84" s="11" t="str">
        <f>CONCATENATE("          ", "6241", " - ", "OFFICE EXPENSE")</f>
        <v xml:space="preserve">          6241 - OFFICE EXPENSE</v>
      </c>
      <c r="C84" s="11"/>
      <c r="D84" s="6"/>
      <c r="E84" s="2"/>
      <c r="F84" s="7">
        <f t="shared" si="60"/>
        <v>0</v>
      </c>
      <c r="G84" s="2"/>
      <c r="H84" s="6">
        <v>100</v>
      </c>
      <c r="I84" s="2"/>
      <c r="J84" s="7">
        <f t="shared" si="61"/>
        <v>8.8495575221238937E-4</v>
      </c>
      <c r="K84" s="2"/>
      <c r="L84" s="6">
        <f t="shared" si="62"/>
        <v>-100</v>
      </c>
      <c r="M84" s="2"/>
      <c r="N84" s="7">
        <f t="shared" si="63"/>
        <v>-1</v>
      </c>
      <c r="O84" s="11"/>
      <c r="P84" s="6">
        <v>5626.26</v>
      </c>
      <c r="Q84" s="2"/>
      <c r="R84" s="7">
        <f t="shared" si="64"/>
        <v>9.2557786472769986E-3</v>
      </c>
      <c r="S84" s="2"/>
      <c r="T84" s="6">
        <v>950</v>
      </c>
      <c r="U84" s="2"/>
      <c r="V84" s="7">
        <f t="shared" si="65"/>
        <v>1.4695645448217186E-3</v>
      </c>
      <c r="W84" s="2"/>
      <c r="X84" s="6">
        <f t="shared" si="66"/>
        <v>4676.26</v>
      </c>
      <c r="Y84" s="2"/>
      <c r="Z84" s="7">
        <f t="shared" si="67"/>
        <v>4.9223789473684212</v>
      </c>
    </row>
    <row r="85" spans="1:26" s="24" customFormat="1" hidden="1" outlineLevel="2" x14ac:dyDescent="0.25">
      <c r="A85" s="25"/>
      <c r="B85" s="11" t="str">
        <f>CONCATENATE("          ", "6243", " - ", "PAPER SUPPLIES")</f>
        <v xml:space="preserve">          6243 - PAPER SUPPLIES</v>
      </c>
      <c r="C85" s="11"/>
      <c r="D85" s="6">
        <v>629.35</v>
      </c>
      <c r="E85" s="2"/>
      <c r="F85" s="7">
        <f t="shared" si="60"/>
        <v>5.9072708192929859E-3</v>
      </c>
      <c r="G85" s="2"/>
      <c r="H85" s="6">
        <v>1000</v>
      </c>
      <c r="I85" s="2"/>
      <c r="J85" s="7">
        <f t="shared" si="61"/>
        <v>8.8495575221238937E-3</v>
      </c>
      <c r="K85" s="2"/>
      <c r="L85" s="6">
        <f t="shared" si="62"/>
        <v>-370.65</v>
      </c>
      <c r="M85" s="2"/>
      <c r="N85" s="7">
        <f t="shared" si="63"/>
        <v>-0.37064999999999998</v>
      </c>
      <c r="O85" s="11"/>
      <c r="P85" s="6">
        <v>4618.3500000000004</v>
      </c>
      <c r="Q85" s="2"/>
      <c r="R85" s="7">
        <f t="shared" si="64"/>
        <v>7.5976626241325016E-3</v>
      </c>
      <c r="S85" s="2"/>
      <c r="T85" s="6">
        <v>6500</v>
      </c>
      <c r="U85" s="2"/>
      <c r="V85" s="7">
        <f t="shared" si="65"/>
        <v>1.0054915306674917E-2</v>
      </c>
      <c r="W85" s="2"/>
      <c r="X85" s="6">
        <f t="shared" si="66"/>
        <v>-1881.6499999999996</v>
      </c>
      <c r="Y85" s="2"/>
      <c r="Z85" s="7">
        <f t="shared" si="67"/>
        <v>-0.28948461538461534</v>
      </c>
    </row>
    <row r="86" spans="1:26" s="24" customFormat="1" hidden="1" outlineLevel="2" x14ac:dyDescent="0.25">
      <c r="A86" s="25"/>
      <c r="B86" s="11" t="str">
        <f>CONCATENATE("          ", "6244", " - ", "SAFETY SUPPLY EXPENSE")</f>
        <v xml:space="preserve">          6244 - SAFETY SUPPLY EXPENSE</v>
      </c>
      <c r="C86" s="11"/>
      <c r="D86" s="6"/>
      <c r="E86" s="2"/>
      <c r="F86" s="7">
        <f t="shared" si="60"/>
        <v>0</v>
      </c>
      <c r="G86" s="2"/>
      <c r="H86" s="6">
        <v>60</v>
      </c>
      <c r="I86" s="2"/>
      <c r="J86" s="7">
        <f t="shared" si="61"/>
        <v>5.3097345132743366E-4</v>
      </c>
      <c r="K86" s="2"/>
      <c r="L86" s="6">
        <f t="shared" si="62"/>
        <v>-60</v>
      </c>
      <c r="M86" s="2"/>
      <c r="N86" s="7">
        <f t="shared" si="63"/>
        <v>-1</v>
      </c>
      <c r="O86" s="11"/>
      <c r="P86" s="6"/>
      <c r="Q86" s="2"/>
      <c r="R86" s="7">
        <f t="shared" si="64"/>
        <v>0</v>
      </c>
      <c r="S86" s="2"/>
      <c r="T86" s="6">
        <v>480</v>
      </c>
      <c r="U86" s="2"/>
      <c r="V86" s="7">
        <f t="shared" si="65"/>
        <v>7.4251682264676313E-4</v>
      </c>
      <c r="W86" s="2"/>
      <c r="X86" s="6">
        <f t="shared" si="66"/>
        <v>-480</v>
      </c>
      <c r="Y86" s="2"/>
      <c r="Z86" s="7">
        <f t="shared" si="67"/>
        <v>-1</v>
      </c>
    </row>
    <row r="87" spans="1:26" s="24" customFormat="1" hidden="1" outlineLevel="2" x14ac:dyDescent="0.25">
      <c r="A87" s="25"/>
      <c r="B87" s="11" t="str">
        <f>CONCATENATE("          ", "6246", " - ", "REPLACEMENTS")</f>
        <v xml:space="preserve">          6246 - REPLACEMENTS</v>
      </c>
      <c r="C87" s="11"/>
      <c r="D87" s="6">
        <v>25.87</v>
      </c>
      <c r="E87" s="2"/>
      <c r="F87" s="7">
        <f t="shared" si="60"/>
        <v>2.4282370079464454E-4</v>
      </c>
      <c r="G87" s="2"/>
      <c r="H87" s="6"/>
      <c r="I87" s="2"/>
      <c r="J87" s="7">
        <f t="shared" si="61"/>
        <v>0</v>
      </c>
      <c r="K87" s="2"/>
      <c r="L87" s="6">
        <f t="shared" si="62"/>
        <v>25.87</v>
      </c>
      <c r="M87" s="2"/>
      <c r="N87" s="7">
        <f t="shared" si="63"/>
        <v>0</v>
      </c>
      <c r="O87" s="11"/>
      <c r="P87" s="6">
        <v>25.87</v>
      </c>
      <c r="Q87" s="2"/>
      <c r="R87" s="7">
        <f t="shared" si="64"/>
        <v>4.255882124271824E-5</v>
      </c>
      <c r="S87" s="2"/>
      <c r="T87" s="6"/>
      <c r="U87" s="2"/>
      <c r="V87" s="7">
        <f t="shared" si="65"/>
        <v>0</v>
      </c>
      <c r="W87" s="2"/>
      <c r="X87" s="6">
        <f t="shared" si="66"/>
        <v>25.87</v>
      </c>
      <c r="Y87" s="2"/>
      <c r="Z87" s="7">
        <f t="shared" si="67"/>
        <v>0</v>
      </c>
    </row>
    <row r="88" spans="1:26" s="24" customFormat="1" hidden="1" outlineLevel="2" x14ac:dyDescent="0.25">
      <c r="A88" s="25"/>
      <c r="B88" s="11" t="str">
        <f>CONCATENATE("          ", "6247", " - ", "STORE SUPPLIES")</f>
        <v xml:space="preserve">          6247 - STORE SUPPLIES</v>
      </c>
      <c r="C88" s="11"/>
      <c r="D88" s="6">
        <v>-60</v>
      </c>
      <c r="E88" s="2"/>
      <c r="F88" s="7">
        <f t="shared" si="60"/>
        <v>-5.6317827783837157E-4</v>
      </c>
      <c r="G88" s="2"/>
      <c r="H88" s="6"/>
      <c r="I88" s="2"/>
      <c r="J88" s="7">
        <f t="shared" si="61"/>
        <v>0</v>
      </c>
      <c r="K88" s="2"/>
      <c r="L88" s="6">
        <f t="shared" si="62"/>
        <v>-60</v>
      </c>
      <c r="M88" s="2"/>
      <c r="N88" s="7">
        <f t="shared" si="63"/>
        <v>0</v>
      </c>
      <c r="O88" s="11"/>
      <c r="P88" s="6">
        <v>410.56</v>
      </c>
      <c r="Q88" s="2"/>
      <c r="R88" s="7">
        <f t="shared" si="64"/>
        <v>6.7541359294203329E-4</v>
      </c>
      <c r="S88" s="2"/>
      <c r="T88" s="6">
        <v>300</v>
      </c>
      <c r="U88" s="2"/>
      <c r="V88" s="7">
        <f t="shared" si="65"/>
        <v>4.6407301415422696E-4</v>
      </c>
      <c r="W88" s="2"/>
      <c r="X88" s="6">
        <f t="shared" si="66"/>
        <v>110.56</v>
      </c>
      <c r="Y88" s="2"/>
      <c r="Z88" s="7">
        <f t="shared" si="67"/>
        <v>0.36853333333333332</v>
      </c>
    </row>
    <row r="89" spans="1:26" s="24" customFormat="1" hidden="1" outlineLevel="2" x14ac:dyDescent="0.25">
      <c r="A89" s="25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60"/>
        <v>0</v>
      </c>
      <c r="G89" s="2"/>
      <c r="H89" s="6"/>
      <c r="I89" s="2"/>
      <c r="J89" s="7">
        <f t="shared" si="61"/>
        <v>0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15.47</v>
      </c>
      <c r="Q89" s="2"/>
      <c r="R89" s="7">
        <f t="shared" si="64"/>
        <v>2.5449747376298849E-5</v>
      </c>
      <c r="S89" s="2"/>
      <c r="T89" s="6">
        <v>1600</v>
      </c>
      <c r="U89" s="2"/>
      <c r="V89" s="7">
        <f t="shared" si="65"/>
        <v>2.4750560754892102E-3</v>
      </c>
      <c r="W89" s="2"/>
      <c r="X89" s="6">
        <f t="shared" si="66"/>
        <v>-1584.53</v>
      </c>
      <c r="Y89" s="2"/>
      <c r="Z89" s="7">
        <f t="shared" si="67"/>
        <v>-0.99033125</v>
      </c>
    </row>
    <row r="90" spans="1:26" s="27" customFormat="1" outlineLevel="1" collapsed="1" x14ac:dyDescent="0.25">
      <c r="A90" s="26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SUM(OSRRefD22_15x_0)</f>
        <v>135.05000000000001</v>
      </c>
      <c r="E90" s="1"/>
      <c r="F90" s="5">
        <f t="shared" ref="F90:F96" si="68">IF(D$12=0,0,D90/D$12)</f>
        <v>1.2676204403678679E-3</v>
      </c>
      <c r="G90" s="1"/>
      <c r="H90" s="1">
        <f>SUM(OSRRefH22_15x_0)</f>
        <v>150</v>
      </c>
      <c r="I90" s="1"/>
      <c r="J90" s="5">
        <f t="shared" ref="J90:J96" si="69">IF(H$12=0,0,H90/H$12)</f>
        <v>1.3274336283185841E-3</v>
      </c>
      <c r="K90" s="1"/>
      <c r="L90" s="1">
        <f t="shared" ref="L90:L96" si="70">+D90-H90</f>
        <v>-14.949999999999989</v>
      </c>
      <c r="M90" s="1"/>
      <c r="N90" s="5">
        <f t="shared" ref="N90:N96" si="71">IF(H90=0,0,L90/H90)</f>
        <v>-9.9666666666666584E-2</v>
      </c>
      <c r="O90" s="13"/>
      <c r="P90" s="1">
        <f>SUM(OSRRefP22_15x_0)</f>
        <v>1121.25</v>
      </c>
      <c r="Q90" s="1"/>
      <c r="R90" s="5">
        <f t="shared" ref="R90:R96" si="72">IF(P$12=0,0,P90/P$12)</f>
        <v>1.8445720262233408E-3</v>
      </c>
      <c r="S90" s="1"/>
      <c r="T90" s="1">
        <f>SUM(OSRRefT22_15x_0)</f>
        <v>1200</v>
      </c>
      <c r="U90" s="1"/>
      <c r="V90" s="5">
        <f t="shared" ref="V90:V96" si="73">IF(T$12=0,0,T90/T$12)</f>
        <v>1.8562920566169078E-3</v>
      </c>
      <c r="W90" s="1"/>
      <c r="X90" s="1">
        <f t="shared" ref="X90:X96" si="74">+P90-T90</f>
        <v>-78.75</v>
      </c>
      <c r="Y90" s="1"/>
      <c r="Z90" s="5">
        <f t="shared" ref="Z90:Z96" si="75">IF(T90=0,0,X90/T90)</f>
        <v>-6.5625000000000003E-2</v>
      </c>
    </row>
    <row r="91" spans="1:26" s="24" customFormat="1" hidden="1" outlineLevel="2" x14ac:dyDescent="0.25">
      <c r="A91" s="25"/>
      <c r="B91" s="11" t="str">
        <f>CONCATENATE("          ", "6309", " - ", "TELEPHONE")</f>
        <v xml:space="preserve">          6309 - TELEPHONE</v>
      </c>
      <c r="C91" s="11"/>
      <c r="D91" s="6">
        <v>135.05000000000001</v>
      </c>
      <c r="E91" s="2"/>
      <c r="F91" s="7">
        <f t="shared" si="68"/>
        <v>1.2676204403678679E-3</v>
      </c>
      <c r="G91" s="2"/>
      <c r="H91" s="6">
        <v>150</v>
      </c>
      <c r="I91" s="2"/>
      <c r="J91" s="7">
        <f t="shared" si="69"/>
        <v>1.3274336283185841E-3</v>
      </c>
      <c r="K91" s="2"/>
      <c r="L91" s="6">
        <f t="shared" si="70"/>
        <v>-14.949999999999989</v>
      </c>
      <c r="M91" s="2"/>
      <c r="N91" s="7">
        <f t="shared" si="71"/>
        <v>-9.9666666666666584E-2</v>
      </c>
      <c r="O91" s="11"/>
      <c r="P91" s="6">
        <v>1121.25</v>
      </c>
      <c r="Q91" s="2"/>
      <c r="R91" s="7">
        <f t="shared" si="72"/>
        <v>1.8445720262233408E-3</v>
      </c>
      <c r="S91" s="2"/>
      <c r="T91" s="6">
        <v>1200</v>
      </c>
      <c r="U91" s="2"/>
      <c r="V91" s="7">
        <f t="shared" si="73"/>
        <v>1.8562920566169078E-3</v>
      </c>
      <c r="W91" s="2"/>
      <c r="X91" s="6">
        <f t="shared" si="74"/>
        <v>-78.75</v>
      </c>
      <c r="Y91" s="2"/>
      <c r="Z91" s="7">
        <f t="shared" si="75"/>
        <v>-6.5625000000000003E-2</v>
      </c>
    </row>
    <row r="92" spans="1:26" s="27" customFormat="1" outlineLevel="1" collapsed="1" x14ac:dyDescent="0.25">
      <c r="A92" s="26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SUM(OSRRefD22_16x_0)</f>
        <v>21</v>
      </c>
      <c r="E92" s="1"/>
      <c r="F92" s="5">
        <f t="shared" si="68"/>
        <v>1.9711239724343004E-4</v>
      </c>
      <c r="G92" s="1"/>
      <c r="H92" s="1">
        <f>SUM(OSRRefH22_16x_0)</f>
        <v>0</v>
      </c>
      <c r="I92" s="1"/>
      <c r="J92" s="5">
        <f t="shared" si="69"/>
        <v>0</v>
      </c>
      <c r="K92" s="1"/>
      <c r="L92" s="1">
        <f t="shared" si="70"/>
        <v>21</v>
      </c>
      <c r="M92" s="1"/>
      <c r="N92" s="5">
        <f t="shared" si="71"/>
        <v>0</v>
      </c>
      <c r="O92" s="13"/>
      <c r="P92" s="1">
        <f>SUM(OSRRefP22_16x_0)</f>
        <v>185</v>
      </c>
      <c r="Q92" s="1"/>
      <c r="R92" s="5">
        <f t="shared" si="72"/>
        <v>3.0434410243149884E-4</v>
      </c>
      <c r="S92" s="1"/>
      <c r="T92" s="1">
        <f>SUM(OSRRefT22_16x_0)</f>
        <v>0</v>
      </c>
      <c r="U92" s="1"/>
      <c r="V92" s="5">
        <f t="shared" si="73"/>
        <v>0</v>
      </c>
      <c r="W92" s="1"/>
      <c r="X92" s="1">
        <f t="shared" si="74"/>
        <v>185</v>
      </c>
      <c r="Y92" s="1"/>
      <c r="Z92" s="5">
        <f t="shared" si="75"/>
        <v>0</v>
      </c>
    </row>
    <row r="93" spans="1:26" s="24" customFormat="1" hidden="1" outlineLevel="2" x14ac:dyDescent="0.25">
      <c r="A93" s="25"/>
      <c r="B93" s="11" t="str">
        <f>CONCATENATE("          ", "6376", " - ", "TRAINING")</f>
        <v xml:space="preserve">          6376 - TRAINING</v>
      </c>
      <c r="C93" s="11"/>
      <c r="D93" s="6">
        <v>21</v>
      </c>
      <c r="E93" s="2"/>
      <c r="F93" s="7">
        <f t="shared" si="68"/>
        <v>1.9711239724343004E-4</v>
      </c>
      <c r="G93" s="2"/>
      <c r="H93" s="6"/>
      <c r="I93" s="2"/>
      <c r="J93" s="7">
        <f t="shared" si="69"/>
        <v>0</v>
      </c>
      <c r="K93" s="2"/>
      <c r="L93" s="6">
        <f t="shared" si="70"/>
        <v>21</v>
      </c>
      <c r="M93" s="2"/>
      <c r="N93" s="7">
        <f t="shared" si="71"/>
        <v>0</v>
      </c>
      <c r="O93" s="11"/>
      <c r="P93" s="6">
        <v>185</v>
      </c>
      <c r="Q93" s="2"/>
      <c r="R93" s="7">
        <f t="shared" si="72"/>
        <v>3.0434410243149884E-4</v>
      </c>
      <c r="S93" s="2"/>
      <c r="T93" s="6"/>
      <c r="U93" s="2"/>
      <c r="V93" s="7">
        <f t="shared" si="73"/>
        <v>0</v>
      </c>
      <c r="W93" s="2"/>
      <c r="X93" s="6">
        <f t="shared" si="74"/>
        <v>185</v>
      </c>
      <c r="Y93" s="2"/>
      <c r="Z93" s="7">
        <f t="shared" si="75"/>
        <v>0</v>
      </c>
    </row>
    <row r="94" spans="1:26" s="27" customFormat="1" outlineLevel="1" collapsed="1" x14ac:dyDescent="0.25">
      <c r="A94" s="26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SUM(OSRRefD22_17x_0)</f>
        <v>0</v>
      </c>
      <c r="E94" s="1"/>
      <c r="F94" s="5">
        <f t="shared" si="68"/>
        <v>0</v>
      </c>
      <c r="G94" s="1"/>
      <c r="H94" s="1">
        <f>SUM(OSRRefH22_17x_0)</f>
        <v>1200</v>
      </c>
      <c r="I94" s="1"/>
      <c r="J94" s="5">
        <f t="shared" si="69"/>
        <v>1.0619469026548672E-2</v>
      </c>
      <c r="K94" s="1"/>
      <c r="L94" s="1">
        <f t="shared" si="70"/>
        <v>-1200</v>
      </c>
      <c r="M94" s="1"/>
      <c r="N94" s="5">
        <f t="shared" si="71"/>
        <v>-1</v>
      </c>
      <c r="O94" s="13"/>
      <c r="P94" s="1">
        <f>SUM(OSRRefP22_17x_0)</f>
        <v>0</v>
      </c>
      <c r="Q94" s="1"/>
      <c r="R94" s="5">
        <f t="shared" si="72"/>
        <v>0</v>
      </c>
      <c r="S94" s="1"/>
      <c r="T94" s="1">
        <f>SUM(OSRRefT22_17x_0)</f>
        <v>2400</v>
      </c>
      <c r="U94" s="1"/>
      <c r="V94" s="5">
        <f t="shared" si="73"/>
        <v>3.7125841132338157E-3</v>
      </c>
      <c r="W94" s="1"/>
      <c r="X94" s="1">
        <f t="shared" si="74"/>
        <v>-2400</v>
      </c>
      <c r="Y94" s="1"/>
      <c r="Z94" s="5">
        <f t="shared" si="75"/>
        <v>-1</v>
      </c>
    </row>
    <row r="95" spans="1:26" s="24" customFormat="1" hidden="1" outlineLevel="2" x14ac:dyDescent="0.25">
      <c r="A95" s="25"/>
      <c r="B95" s="11" t="str">
        <f>CONCATENATE("          ", "6292", " - ", "TRAVEL/CONFERENCE")</f>
        <v xml:space="preserve">          6292 - TRAVEL/CONFERENCE</v>
      </c>
      <c r="C95" s="11"/>
      <c r="D95" s="6"/>
      <c r="E95" s="2"/>
      <c r="F95" s="7">
        <f t="shared" si="68"/>
        <v>0</v>
      </c>
      <c r="G95" s="2"/>
      <c r="H95" s="6">
        <v>1200</v>
      </c>
      <c r="I95" s="2"/>
      <c r="J95" s="7">
        <f t="shared" si="69"/>
        <v>1.0619469026548672E-2</v>
      </c>
      <c r="K95" s="2"/>
      <c r="L95" s="6">
        <f t="shared" si="70"/>
        <v>-1200</v>
      </c>
      <c r="M95" s="2"/>
      <c r="N95" s="7">
        <f t="shared" si="71"/>
        <v>-1</v>
      </c>
      <c r="O95" s="11"/>
      <c r="P95" s="6"/>
      <c r="Q95" s="2"/>
      <c r="R95" s="7">
        <f t="shared" si="72"/>
        <v>0</v>
      </c>
      <c r="S95" s="2"/>
      <c r="T95" s="6">
        <v>2400</v>
      </c>
      <c r="U95" s="2"/>
      <c r="V95" s="7">
        <f t="shared" si="73"/>
        <v>3.7125841132338157E-3</v>
      </c>
      <c r="W95" s="2"/>
      <c r="X95" s="6">
        <f t="shared" si="74"/>
        <v>-2400</v>
      </c>
      <c r="Y95" s="2"/>
      <c r="Z95" s="7">
        <f t="shared" si="75"/>
        <v>-1</v>
      </c>
    </row>
    <row r="96" spans="1:26" s="24" customFormat="1" hidden="1" outlineLevel="2" x14ac:dyDescent="0.25">
      <c r="A96" s="25"/>
      <c r="B96" s="11" t="str">
        <f>CONCATENATE("          ", "6298", " - ", "VEHICLE MILEAGE")</f>
        <v xml:space="preserve">          6298 - VEHICLE MILEAGE</v>
      </c>
      <c r="C96" s="11"/>
      <c r="D96" s="6"/>
      <c r="E96" s="2"/>
      <c r="F96" s="7">
        <f t="shared" si="68"/>
        <v>0</v>
      </c>
      <c r="G96" s="2"/>
      <c r="H96" s="6">
        <v>0</v>
      </c>
      <c r="I96" s="2"/>
      <c r="J96" s="7">
        <f t="shared" si="69"/>
        <v>0</v>
      </c>
      <c r="K96" s="2"/>
      <c r="L96" s="6">
        <f t="shared" si="70"/>
        <v>0</v>
      </c>
      <c r="M96" s="2"/>
      <c r="N96" s="7">
        <f t="shared" si="71"/>
        <v>0</v>
      </c>
      <c r="O96" s="11"/>
      <c r="P96" s="6"/>
      <c r="Q96" s="2"/>
      <c r="R96" s="7">
        <f t="shared" si="72"/>
        <v>0</v>
      </c>
      <c r="S96" s="2"/>
      <c r="T96" s="6">
        <v>0</v>
      </c>
      <c r="U96" s="2"/>
      <c r="V96" s="7">
        <f t="shared" si="73"/>
        <v>0</v>
      </c>
      <c r="W96" s="2"/>
      <c r="X96" s="6">
        <f t="shared" si="74"/>
        <v>0</v>
      </c>
      <c r="Y96" s="2"/>
      <c r="Z96" s="7">
        <f t="shared" si="75"/>
        <v>0</v>
      </c>
    </row>
    <row r="97" spans="1:26" s="27" customFormat="1" outlineLevel="1" collapsed="1" x14ac:dyDescent="0.25">
      <c r="A97" s="26"/>
      <c r="B97" s="13" t="str">
        <f>CONCATENATE("     ","Utilities                                         ")</f>
        <v xml:space="preserve">     Utilities                                         </v>
      </c>
      <c r="C97" s="13"/>
      <c r="D97" s="1">
        <f>SUM(OSRRefD22_18x_0)</f>
        <v>2312</v>
      </c>
      <c r="E97" s="1"/>
      <c r="F97" s="5">
        <f t="shared" ref="F97:F98" si="76">IF(D$12=0,0,D97/D$12)</f>
        <v>2.1701136306038583E-2</v>
      </c>
      <c r="G97" s="1"/>
      <c r="H97" s="1">
        <f>SUM(OSRRefH22_18x_0)</f>
        <v>2100</v>
      </c>
      <c r="I97" s="1"/>
      <c r="J97" s="5">
        <f t="shared" ref="J97:J98" si="77">IF(H$12=0,0,H97/H$12)</f>
        <v>1.8584070796460177E-2</v>
      </c>
      <c r="K97" s="1"/>
      <c r="L97" s="1">
        <f t="shared" ref="L97:L98" si="78">+D97-H97</f>
        <v>212</v>
      </c>
      <c r="M97" s="1"/>
      <c r="N97" s="5">
        <f t="shared" ref="N97:N98" si="79">IF(H97=0,0,L97/H97)</f>
        <v>0.10095238095238095</v>
      </c>
      <c r="O97" s="13"/>
      <c r="P97" s="1">
        <f>SUM(OSRRefP22_18x_0)</f>
        <v>17836</v>
      </c>
      <c r="Q97" s="1"/>
      <c r="R97" s="5">
        <f t="shared" ref="R97:R98" si="80">IF(P$12=0,0,P97/P$12)</f>
        <v>2.9342061680909259E-2</v>
      </c>
      <c r="S97" s="1"/>
      <c r="T97" s="1">
        <f>SUM(OSRRefT22_18x_0)</f>
        <v>16800</v>
      </c>
      <c r="U97" s="1"/>
      <c r="V97" s="5">
        <f t="shared" ref="V97:V98" si="81">IF(T$12=0,0,T97/T$12)</f>
        <v>2.5988088792636709E-2</v>
      </c>
      <c r="W97" s="1"/>
      <c r="X97" s="1">
        <f t="shared" ref="X97:X98" si="82">+P97-T97</f>
        <v>1036</v>
      </c>
      <c r="Y97" s="1"/>
      <c r="Z97" s="5">
        <f t="shared" ref="Z97:Z98" si="83">IF(T97=0,0,X97/T97)</f>
        <v>6.1666666666666668E-2</v>
      </c>
    </row>
    <row r="98" spans="1:26" s="24" customFormat="1" hidden="1" outlineLevel="2" x14ac:dyDescent="0.25">
      <c r="A98" s="25"/>
      <c r="B98" s="11" t="str">
        <f>CONCATENATE("          ", "6274", " - ", "UTILITIES")</f>
        <v xml:space="preserve">          6274 - UTILITIES</v>
      </c>
      <c r="C98" s="11"/>
      <c r="D98" s="6">
        <v>2312</v>
      </c>
      <c r="E98" s="2"/>
      <c r="F98" s="7">
        <f t="shared" si="76"/>
        <v>2.1701136306038583E-2</v>
      </c>
      <c r="G98" s="2"/>
      <c r="H98" s="6">
        <v>2100</v>
      </c>
      <c r="I98" s="2"/>
      <c r="J98" s="7">
        <f t="shared" si="77"/>
        <v>1.8584070796460177E-2</v>
      </c>
      <c r="K98" s="2"/>
      <c r="L98" s="6">
        <f t="shared" si="78"/>
        <v>212</v>
      </c>
      <c r="M98" s="2"/>
      <c r="N98" s="7">
        <f t="shared" si="79"/>
        <v>0.10095238095238095</v>
      </c>
      <c r="O98" s="11"/>
      <c r="P98" s="6">
        <v>17836</v>
      </c>
      <c r="Q98" s="2"/>
      <c r="R98" s="7">
        <f t="shared" si="80"/>
        <v>2.9342061680909259E-2</v>
      </c>
      <c r="S98" s="2"/>
      <c r="T98" s="6">
        <v>16800</v>
      </c>
      <c r="U98" s="2"/>
      <c r="V98" s="7">
        <f t="shared" si="81"/>
        <v>2.5988088792636709E-2</v>
      </c>
      <c r="W98" s="2"/>
      <c r="X98" s="6">
        <f t="shared" si="82"/>
        <v>1036</v>
      </c>
      <c r="Y98" s="2"/>
      <c r="Z98" s="7">
        <f t="shared" si="83"/>
        <v>6.1666666666666668E-2</v>
      </c>
    </row>
    <row r="99" spans="1:26" s="53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9" t="s">
        <v>0</v>
      </c>
      <c r="C100" s="10"/>
      <c r="D100" s="4">
        <f>SUM(OSRRefD25x_0)</f>
        <v>0</v>
      </c>
      <c r="E100" s="4"/>
      <c r="F100" s="12">
        <f t="shared" ref="F100:F101" si="84">IF(D$12=0,0,D100/D$12)</f>
        <v>0</v>
      </c>
      <c r="G100" s="4"/>
      <c r="H100" s="4">
        <f>SUM(OSRRefH25x_0)</f>
        <v>0</v>
      </c>
      <c r="I100" s="4"/>
      <c r="J100" s="12">
        <f t="shared" ref="J100:J101" si="85">IF(H$12=0,0,H100/H$12)</f>
        <v>0</v>
      </c>
      <c r="K100" s="4"/>
      <c r="L100" s="4">
        <f t="shared" ref="L100:L101" si="86">+D100-H100</f>
        <v>0</v>
      </c>
      <c r="M100" s="4"/>
      <c r="N100" s="12">
        <f t="shared" ref="N100:N101" si="87">IF(H100=0,0,L100/H100)</f>
        <v>0</v>
      </c>
      <c r="O100" s="10"/>
      <c r="P100" s="4">
        <f>SUM(OSRRefP25x_0)</f>
        <v>68.760000000000005</v>
      </c>
      <c r="Q100" s="4"/>
      <c r="R100" s="12">
        <f t="shared" ref="R100:R101" si="88">IF(P$12=0,0,P100/P$12)</f>
        <v>1.1311729990913439E-4</v>
      </c>
      <c r="S100" s="4"/>
      <c r="T100" s="4">
        <f>SUM(OSRRefT25x_0)</f>
        <v>0</v>
      </c>
      <c r="U100" s="4"/>
      <c r="V100" s="12">
        <f t="shared" ref="V100:V101" si="89">IF(T$12=0,0,T100/T$12)</f>
        <v>0</v>
      </c>
      <c r="W100" s="4"/>
      <c r="X100" s="4">
        <f t="shared" ref="X100:X101" si="90">+P100-T100</f>
        <v>68.760000000000005</v>
      </c>
      <c r="Y100" s="4"/>
      <c r="Z100" s="12">
        <f t="shared" ref="Z100:Z101" si="91">IF(T100=0,0,X100/T100)</f>
        <v>0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0</f>
        <v>0</v>
      </c>
      <c r="E101" s="2"/>
      <c r="F101" s="19">
        <f t="shared" si="84"/>
        <v>0</v>
      </c>
      <c r="G101" s="2"/>
      <c r="H101" s="2"/>
      <c r="I101" s="2"/>
      <c r="J101" s="19">
        <f t="shared" si="85"/>
        <v>0</v>
      </c>
      <c r="K101" s="2"/>
      <c r="L101" s="2">
        <f t="shared" si="86"/>
        <v>0</v>
      </c>
      <c r="M101" s="2"/>
      <c r="N101" s="19">
        <f t="shared" si="87"/>
        <v>0</v>
      </c>
      <c r="O101" s="11"/>
      <c r="P101" s="2">
        <f>--68.76</f>
        <v>68.760000000000005</v>
      </c>
      <c r="Q101" s="2"/>
      <c r="R101" s="19">
        <f t="shared" si="88"/>
        <v>1.1311729990913439E-4</v>
      </c>
      <c r="S101" s="2"/>
      <c r="T101" s="2"/>
      <c r="U101" s="2"/>
      <c r="V101" s="19">
        <f t="shared" si="89"/>
        <v>0</v>
      </c>
      <c r="W101" s="2"/>
      <c r="X101" s="2">
        <f t="shared" si="90"/>
        <v>68.760000000000005</v>
      </c>
      <c r="Y101" s="2"/>
      <c r="Z101" s="19">
        <f t="shared" si="91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8" t="s">
        <v>3</v>
      </c>
      <c r="C103" s="28"/>
      <c r="D103" s="21">
        <f>+D22-D24+D100</f>
        <v>-271.09000000002561</v>
      </c>
      <c r="E103" s="14"/>
      <c r="F103" s="22">
        <f>IF(D$12=0,0,D103/D$12)</f>
        <v>-2.5445333223203092E-3</v>
      </c>
      <c r="G103" s="14"/>
      <c r="H103" s="21">
        <f>+H22-H24+H100</f>
        <v>6636.4025246769161</v>
      </c>
      <c r="I103" s="14"/>
      <c r="J103" s="22">
        <f>IF(H$12=0,0,H103/H$12)</f>
        <v>5.87292258820966E-2</v>
      </c>
      <c r="K103" s="15"/>
      <c r="L103" s="21">
        <f>+D103-H103</f>
        <v>-6907.4925246769417</v>
      </c>
      <c r="M103" s="15"/>
      <c r="N103" s="22">
        <f>IF(H103=0,0,L103/H103)</f>
        <v>-1.0408489387122013</v>
      </c>
      <c r="O103" s="29"/>
      <c r="P103" s="21">
        <f>+P22-P24+P100</f>
        <v>-152036.00000000012</v>
      </c>
      <c r="Q103" s="14"/>
      <c r="R103" s="22">
        <f>IF(P$12=0,0,P103/P$12)</f>
        <v>-0.25011491868797509</v>
      </c>
      <c r="S103" s="14"/>
      <c r="T103" s="21">
        <f>+T22-T24+T100</f>
        <v>-99949.783772823168</v>
      </c>
      <c r="U103" s="14"/>
      <c r="V103" s="22">
        <f>IF(T$12=0,0,T103/T$12)</f>
        <v>-0.15461332473172429</v>
      </c>
      <c r="W103" s="15"/>
      <c r="X103" s="21">
        <f>+P103-T103</f>
        <v>-52086.216227176948</v>
      </c>
      <c r="Y103" s="15"/>
      <c r="Z103" s="22">
        <f>IF(T103=0,0,X103/T103)</f>
        <v>0.52112385100866465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9672.18</v>
      </c>
      <c r="E105" s="4"/>
      <c r="F105" s="12">
        <f>IF(D$12=0,0,D105/D$12)</f>
        <v>9.0786027922379012E-2</v>
      </c>
      <c r="G105" s="4"/>
      <c r="H105" s="4">
        <v>12056</v>
      </c>
      <c r="I105" s="4"/>
      <c r="J105" s="12">
        <f>IF(H$12=0,0,H105/H$12)</f>
        <v>0.10669026548672567</v>
      </c>
      <c r="K105" s="4"/>
      <c r="L105" s="4">
        <f>+D105-H105</f>
        <v>-2383.8199999999997</v>
      </c>
      <c r="M105" s="4"/>
      <c r="N105" s="12">
        <f>IF(H105=0,0,L105/H105)</f>
        <v>-0.1977289316522893</v>
      </c>
      <c r="O105" s="10"/>
      <c r="P105" s="4">
        <v>61953.420000000006</v>
      </c>
      <c r="Q105" s="4"/>
      <c r="R105" s="12">
        <f>IF(P$12=0,0,P105/P$12)</f>
        <v>0.1019197729862793</v>
      </c>
      <c r="S105" s="4"/>
      <c r="T105" s="4">
        <v>77736</v>
      </c>
      <c r="U105" s="4"/>
      <c r="V105" s="12">
        <f>IF(T$12=0,0,T105/T$12)</f>
        <v>0.12025059942764328</v>
      </c>
      <c r="W105" s="4"/>
      <c r="X105" s="4">
        <f>+P105-T105</f>
        <v>-15782.579999999994</v>
      </c>
      <c r="Y105" s="4"/>
      <c r="Z105" s="12">
        <f>IF(T105=0,0,X105/T105)</f>
        <v>-0.20302794072244512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4</v>
      </c>
      <c r="C107" s="28"/>
      <c r="D107" s="31">
        <f>+D103-D105</f>
        <v>-9943.2700000000259</v>
      </c>
      <c r="E107" s="14"/>
      <c r="F107" s="32">
        <f>IF(D$12=0,0,D107/D$12)</f>
        <v>-9.3330561244699323E-2</v>
      </c>
      <c r="G107" s="14"/>
      <c r="H107" s="31">
        <f>+H103-H105</f>
        <v>-5419.5974753230839</v>
      </c>
      <c r="I107" s="14"/>
      <c r="J107" s="32">
        <f>IF(H$12=0,0,H107/H$12)</f>
        <v>-4.7961039604629059E-2</v>
      </c>
      <c r="K107" s="15"/>
      <c r="L107" s="31">
        <f>D107-H107</f>
        <v>-4523.672524676942</v>
      </c>
      <c r="M107" s="15"/>
      <c r="N107" s="32">
        <f>IF(H107=0,0,L107/H107)</f>
        <v>0.83468791645033891</v>
      </c>
      <c r="O107" s="29"/>
      <c r="P107" s="31">
        <f>+P103-P105</f>
        <v>-213989.42000000013</v>
      </c>
      <c r="Q107" s="14"/>
      <c r="R107" s="32">
        <f>IF(P$12=0,0,P107/P$12)</f>
        <v>-0.35203469167425439</v>
      </c>
      <c r="S107" s="14"/>
      <c r="T107" s="31">
        <f>+T103-T105</f>
        <v>-177685.78377282317</v>
      </c>
      <c r="U107" s="14"/>
      <c r="V107" s="32">
        <f>IF(T$12=0,0,T107/T$12)</f>
        <v>-0.27486392415936756</v>
      </c>
      <c r="W107" s="15"/>
      <c r="X107" s="31">
        <f>P107-T107</f>
        <v>-36303.636227176961</v>
      </c>
      <c r="Y107" s="15"/>
      <c r="Z107" s="32">
        <f>IF(T107=0,0,X107/T107)</f>
        <v>0.20431367921697266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5</v>
      </c>
      <c r="C110" s="28"/>
      <c r="D110" s="33">
        <f>SUM(D107:D109)</f>
        <v>-9943.2700000000259</v>
      </c>
      <c r="E110" s="14"/>
      <c r="F110" s="30">
        <f>IF(D$12=0,0,D110/D$12)</f>
        <v>-9.3330561244699323E-2</v>
      </c>
      <c r="G110" s="14"/>
      <c r="H110" s="33">
        <f>SUM(H107:H109)</f>
        <v>-5419.5974753230839</v>
      </c>
      <c r="I110" s="14"/>
      <c r="J110" s="30">
        <f>IF(H$12=0,0,H110/H$12)</f>
        <v>-4.7961039604629059E-2</v>
      </c>
      <c r="K110" s="15"/>
      <c r="L110" s="33">
        <f>+D110-H110</f>
        <v>-4523.672524676942</v>
      </c>
      <c r="M110" s="15"/>
      <c r="N110" s="30">
        <f>IF(H110=0,0,L110/H110)</f>
        <v>0.83468791645033891</v>
      </c>
      <c r="O110" s="29"/>
      <c r="P110" s="33">
        <f>SUM(P107:P109)</f>
        <v>-213989.42000000013</v>
      </c>
      <c r="Q110" s="14"/>
      <c r="R110" s="30">
        <f>IF(P$12=0,0,P110/P$12)</f>
        <v>-0.35203469167425439</v>
      </c>
      <c r="S110" s="14"/>
      <c r="T110" s="33">
        <f>SUM(T107:T109)</f>
        <v>-177685.78377282317</v>
      </c>
      <c r="U110" s="14"/>
      <c r="V110" s="30">
        <f>IF(T$12=0,0,T110/T$12)</f>
        <v>-0.27486392415936756</v>
      </c>
      <c r="W110" s="15"/>
      <c r="X110" s="33">
        <f>+P110-T110</f>
        <v>-36303.636227176961</v>
      </c>
      <c r="Y110" s="15"/>
      <c r="Z110" s="30">
        <f>IF(T110=0,0,X110/T110)</f>
        <v>0.20431367921697266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59">
        <v>43908.495196064818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63" t="s">
        <v>314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57"/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154319.69</v>
      </c>
      <c r="E12" s="4"/>
      <c r="F12" s="12"/>
      <c r="G12" s="4"/>
      <c r="H12" s="4">
        <f>SUM(OSRRefH13x_0)</f>
        <v>174000</v>
      </c>
      <c r="I12" s="4"/>
      <c r="J12" s="12"/>
      <c r="K12" s="4"/>
      <c r="L12" s="4">
        <f t="shared" ref="L12:L16" si="0">+D12-H12</f>
        <v>-19680.309999999998</v>
      </c>
      <c r="M12" s="4"/>
      <c r="N12" s="12">
        <f t="shared" ref="N12:N16" si="1">IF(H12=0,0,L12/H12)</f>
        <v>-0.11310522988505746</v>
      </c>
      <c r="O12" s="10"/>
      <c r="P12" s="4">
        <f>SUM(OSRRefP13x_0)</f>
        <v>1000694.8</v>
      </c>
      <c r="Q12" s="4"/>
      <c r="R12" s="12"/>
      <c r="S12" s="4"/>
      <c r="T12" s="4">
        <f>SUM(OSRRefT13x_0)</f>
        <v>1072050</v>
      </c>
      <c r="U12" s="4"/>
      <c r="V12" s="12"/>
      <c r="W12" s="4"/>
      <c r="X12" s="4">
        <f t="shared" ref="X12:X16" si="2">+P12-T12</f>
        <v>-71355.199999999953</v>
      </c>
      <c r="Y12" s="4"/>
      <c r="Z12" s="12">
        <f t="shared" ref="Z12:Z16" si="3">IF(T12=0,0,X12/T12)</f>
        <v>-6.6559582109043378E-2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68400</v>
      </c>
      <c r="I13" s="2"/>
      <c r="J13" s="19"/>
      <c r="K13" s="2"/>
      <c r="L13" s="2">
        <f t="shared" si="0"/>
        <v>-68400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420340</v>
      </c>
      <c r="U13" s="2"/>
      <c r="V13" s="19"/>
      <c r="W13" s="2"/>
      <c r="X13" s="2">
        <f t="shared" si="2"/>
        <v>-420340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--54029.26</f>
        <v>54029.26</v>
      </c>
      <c r="E14" s="2"/>
      <c r="F14" s="19"/>
      <c r="G14" s="2"/>
      <c r="H14" s="2"/>
      <c r="I14" s="2"/>
      <c r="J14" s="19"/>
      <c r="K14" s="2"/>
      <c r="L14" s="2">
        <f t="shared" si="0"/>
        <v>54029.26</v>
      </c>
      <c r="M14" s="2"/>
      <c r="N14" s="19">
        <f t="shared" si="1"/>
        <v>0</v>
      </c>
      <c r="O14" s="11"/>
      <c r="P14" s="2">
        <f>--357243.21</f>
        <v>357243.21</v>
      </c>
      <c r="Q14" s="2"/>
      <c r="R14" s="19"/>
      <c r="S14" s="2"/>
      <c r="T14" s="2"/>
      <c r="U14" s="2"/>
      <c r="V14" s="19"/>
      <c r="W14" s="2"/>
      <c r="X14" s="2">
        <f t="shared" si="2"/>
        <v>357243.21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105600</v>
      </c>
      <c r="I15" s="2"/>
      <c r="J15" s="19"/>
      <c r="K15" s="2"/>
      <c r="L15" s="2">
        <f t="shared" si="0"/>
        <v>-105600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651710</v>
      </c>
      <c r="U15" s="2"/>
      <c r="V15" s="19"/>
      <c r="W15" s="2"/>
      <c r="X15" s="2">
        <f t="shared" si="2"/>
        <v>-651710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--100290.43</f>
        <v>100290.43</v>
      </c>
      <c r="E16" s="2"/>
      <c r="F16" s="19"/>
      <c r="G16" s="2"/>
      <c r="H16" s="2"/>
      <c r="I16" s="2"/>
      <c r="J16" s="19"/>
      <c r="K16" s="2"/>
      <c r="L16" s="2">
        <f t="shared" si="0"/>
        <v>100290.43</v>
      </c>
      <c r="M16" s="2"/>
      <c r="N16" s="19">
        <f t="shared" si="1"/>
        <v>0</v>
      </c>
      <c r="O16" s="11"/>
      <c r="P16" s="2">
        <f>--643451.59</f>
        <v>643451.59</v>
      </c>
      <c r="Q16" s="2"/>
      <c r="R16" s="19"/>
      <c r="S16" s="2"/>
      <c r="T16" s="2"/>
      <c r="U16" s="2"/>
      <c r="V16" s="19"/>
      <c r="W16" s="2"/>
      <c r="X16" s="2">
        <f t="shared" si="2"/>
        <v>643451.59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50659.11</v>
      </c>
      <c r="E18" s="4"/>
      <c r="F18" s="12">
        <f t="shared" ref="F18:F21" si="4">IF(D$12=0,0,D18/D$12)</f>
        <v>0.32827379318867217</v>
      </c>
      <c r="G18" s="4"/>
      <c r="H18" s="4">
        <f>SUM(OSRRefH16x_0)</f>
        <v>53700</v>
      </c>
      <c r="I18" s="4"/>
      <c r="J18" s="12">
        <f t="shared" ref="J18:J21" si="5">IF(H$12=0,0,H18/H$12)</f>
        <v>0.30862068965517242</v>
      </c>
      <c r="K18" s="4"/>
      <c r="L18" s="4">
        <f t="shared" ref="L18:L21" si="6">+D18-H18</f>
        <v>-3040.8899999999994</v>
      </c>
      <c r="M18" s="4"/>
      <c r="N18" s="12">
        <f t="shared" ref="N18:N21" si="7">IF(H18=0,0,L18/H18)</f>
        <v>-5.662737430167597E-2</v>
      </c>
      <c r="O18" s="10"/>
      <c r="P18" s="4">
        <f>SUM(OSRRefP16x_0)</f>
        <v>332896.19</v>
      </c>
      <c r="Q18" s="4"/>
      <c r="R18" s="12">
        <f t="shared" ref="R18:R21" si="8">IF(P$12=0,0,P18/P$12)</f>
        <v>0.33266505432025828</v>
      </c>
      <c r="S18" s="4"/>
      <c r="T18" s="4">
        <f>SUM(OSRRefT16x_0)</f>
        <v>330014</v>
      </c>
      <c r="U18" s="4"/>
      <c r="V18" s="12">
        <f t="shared" ref="V18:V21" si="9">IF(T$12=0,0,T18/T$12)</f>
        <v>0.30783452264353339</v>
      </c>
      <c r="W18" s="4"/>
      <c r="X18" s="4">
        <f t="shared" ref="X18:X21" si="10">+P18-T18</f>
        <v>2882.1900000000023</v>
      </c>
      <c r="Y18" s="4"/>
      <c r="Z18" s="12">
        <f t="shared" ref="Z18:Z21" si="11">IF(T18=0,0,X18/T18)</f>
        <v>8.7335385771512789E-3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53700</v>
      </c>
      <c r="I19" s="2"/>
      <c r="J19" s="19">
        <f t="shared" si="5"/>
        <v>0.30862068965517242</v>
      </c>
      <c r="K19" s="2"/>
      <c r="L19" s="2">
        <f t="shared" si="6"/>
        <v>-53700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330014</v>
      </c>
      <c r="U19" s="2"/>
      <c r="V19" s="19">
        <f t="shared" si="9"/>
        <v>0.30783452264353339</v>
      </c>
      <c r="W19" s="2"/>
      <c r="X19" s="2">
        <f t="shared" si="10"/>
        <v>-330014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51517.11</v>
      </c>
      <c r="E20" s="2"/>
      <c r="F20" s="19">
        <f t="shared" si="4"/>
        <v>0.33383367994064789</v>
      </c>
      <c r="G20" s="2"/>
      <c r="H20" s="2"/>
      <c r="I20" s="2"/>
      <c r="J20" s="19">
        <f t="shared" si="5"/>
        <v>0</v>
      </c>
      <c r="K20" s="2"/>
      <c r="L20" s="2">
        <f t="shared" si="6"/>
        <v>51517.11</v>
      </c>
      <c r="M20" s="2"/>
      <c r="N20" s="19">
        <f t="shared" si="7"/>
        <v>0</v>
      </c>
      <c r="O20" s="11"/>
      <c r="P20" s="2">
        <v>338410.52</v>
      </c>
      <c r="Q20" s="2"/>
      <c r="R20" s="19">
        <f t="shared" si="8"/>
        <v>0.33817555562395246</v>
      </c>
      <c r="S20" s="2"/>
      <c r="T20" s="2"/>
      <c r="U20" s="2"/>
      <c r="V20" s="19">
        <f t="shared" si="9"/>
        <v>0</v>
      </c>
      <c r="W20" s="2"/>
      <c r="X20" s="2">
        <f t="shared" si="10"/>
        <v>338410.52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-858</v>
      </c>
      <c r="E21" s="2"/>
      <c r="F21" s="19">
        <f t="shared" si="4"/>
        <v>-5.5598867519757195E-3</v>
      </c>
      <c r="G21" s="2"/>
      <c r="H21" s="2"/>
      <c r="I21" s="2"/>
      <c r="J21" s="19">
        <f t="shared" si="5"/>
        <v>0</v>
      </c>
      <c r="K21" s="2"/>
      <c r="L21" s="2">
        <f t="shared" si="6"/>
        <v>-858</v>
      </c>
      <c r="M21" s="2"/>
      <c r="N21" s="19">
        <f t="shared" si="7"/>
        <v>0</v>
      </c>
      <c r="O21" s="11"/>
      <c r="P21" s="2">
        <v>-5514.33</v>
      </c>
      <c r="Q21" s="2"/>
      <c r="R21" s="19">
        <f t="shared" si="8"/>
        <v>-5.5105013036941932E-3</v>
      </c>
      <c r="S21" s="2"/>
      <c r="T21" s="2"/>
      <c r="U21" s="2"/>
      <c r="V21" s="19">
        <f t="shared" si="9"/>
        <v>0</v>
      </c>
      <c r="W21" s="2"/>
      <c r="X21" s="2">
        <f t="shared" si="10"/>
        <v>-5514.33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103660.58</v>
      </c>
      <c r="E23" s="14"/>
      <c r="F23" s="22">
        <f>IF(D$12=0,0,D23/D$12)</f>
        <v>0.67172620681132789</v>
      </c>
      <c r="G23" s="14"/>
      <c r="H23" s="21">
        <f>H12-H18</f>
        <v>120300</v>
      </c>
      <c r="I23" s="14"/>
      <c r="J23" s="22">
        <f>IF(H$12=0,0,H23/H$12)</f>
        <v>0.69137931034482758</v>
      </c>
      <c r="K23" s="15"/>
      <c r="L23" s="21">
        <f>+D23-H23</f>
        <v>-16639.419999999998</v>
      </c>
      <c r="M23" s="15"/>
      <c r="N23" s="22">
        <f>IF(H23=0,0,L23/H23)</f>
        <v>-0.13831604322527014</v>
      </c>
      <c r="O23" s="29"/>
      <c r="P23" s="21">
        <f>P12-P18</f>
        <v>667798.6100000001</v>
      </c>
      <c r="Q23" s="14"/>
      <c r="R23" s="22">
        <f>IF(P$12=0,0,P23/P$12)</f>
        <v>0.66733494567974183</v>
      </c>
      <c r="S23" s="14"/>
      <c r="T23" s="21">
        <f>T12-T18</f>
        <v>742036</v>
      </c>
      <c r="U23" s="14"/>
      <c r="V23" s="22">
        <f>IF(T$12=0,0,T23/T$12)</f>
        <v>0.69216547735646661</v>
      </c>
      <c r="W23" s="15"/>
      <c r="X23" s="21">
        <f>+P23-T23</f>
        <v>-74237.389999999898</v>
      </c>
      <c r="Y23" s="15"/>
      <c r="Z23" s="22">
        <f>IF(T23=0,0,X23/T23)</f>
        <v>-0.1000455368742216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67393.939999999988</v>
      </c>
      <c r="E25" s="20"/>
      <c r="F25" s="34">
        <f t="shared" ref="F25:F35" si="12">IF(D$12=0,0,D25/D$12)</f>
        <v>0.43671640346089335</v>
      </c>
      <c r="G25" s="20"/>
      <c r="H25" s="20">
        <f>SUM(OSRRefH22x_0)</f>
        <v>71034.670543923072</v>
      </c>
      <c r="I25" s="20"/>
      <c r="J25" s="34">
        <f t="shared" ref="J25:J35" si="13">IF(H$12=0,0,H25/H$12)</f>
        <v>0.40824523301105214</v>
      </c>
      <c r="K25" s="4"/>
      <c r="L25" s="20">
        <f t="shared" ref="L25:L35" si="14">+D25-H25</f>
        <v>-3640.730543923084</v>
      </c>
      <c r="M25" s="4"/>
      <c r="N25" s="34">
        <f t="shared" ref="N25:N35" si="15">IF(H25=0,0,L25/H25)</f>
        <v>-5.125286731177138E-2</v>
      </c>
      <c r="O25" s="10"/>
      <c r="P25" s="20">
        <f>SUM(OSRRefP22x_0)</f>
        <v>500059.13000000006</v>
      </c>
      <c r="Q25" s="20"/>
      <c r="R25" s="34">
        <f t="shared" ref="R25:R35" si="16">IF(P$12=0,0,P25/P$12)</f>
        <v>0.49971193015093118</v>
      </c>
      <c r="S25" s="20"/>
      <c r="T25" s="20">
        <f>SUM(OSRRefT22x_0)</f>
        <v>510536.41205094242</v>
      </c>
      <c r="U25" s="20"/>
      <c r="V25" s="34">
        <f t="shared" ref="V25:V35" si="17">IF(T$12=0,0,T25/T$12)</f>
        <v>0.47622444107172468</v>
      </c>
      <c r="W25" s="4"/>
      <c r="X25" s="20">
        <f t="shared" ref="X25:X35" si="18">+P25-T25</f>
        <v>-10477.282050942362</v>
      </c>
      <c r="Y25" s="4"/>
      <c r="Z25" s="34">
        <f t="shared" ref="Z25:Z35" si="19">IF(T25=0,0,X25/T25)</f>
        <v>-2.0522105384908208E-2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11740.229999999998</v>
      </c>
      <c r="E26" s="1"/>
      <c r="F26" s="5">
        <f t="shared" si="12"/>
        <v>7.6077330119053488E-2</v>
      </c>
      <c r="G26" s="1"/>
      <c r="H26" s="1">
        <f>SUM(OSRRefH22_0x_0)</f>
        <v>10887.333620846157</v>
      </c>
      <c r="I26" s="1"/>
      <c r="J26" s="5">
        <f t="shared" si="13"/>
        <v>6.2570882878426187E-2</v>
      </c>
      <c r="K26" s="1"/>
      <c r="L26" s="1">
        <f t="shared" si="14"/>
        <v>852.89637915384083</v>
      </c>
      <c r="M26" s="1"/>
      <c r="N26" s="5">
        <f t="shared" si="15"/>
        <v>7.8338407626343518E-2</v>
      </c>
      <c r="O26" s="13"/>
      <c r="P26" s="1">
        <f>SUM(OSRRefP22_0x_0)</f>
        <v>72518.340000000011</v>
      </c>
      <c r="Q26" s="1"/>
      <c r="R26" s="5">
        <f t="shared" si="16"/>
        <v>7.2467989241075309E-2</v>
      </c>
      <c r="S26" s="1"/>
      <c r="T26" s="1">
        <f>SUM(OSRRefT22_0x_0)</f>
        <v>83537.303974019218</v>
      </c>
      <c r="U26" s="1"/>
      <c r="V26" s="5">
        <f t="shared" si="17"/>
        <v>7.7922955061815416E-2</v>
      </c>
      <c r="W26" s="1"/>
      <c r="X26" s="1">
        <f t="shared" si="18"/>
        <v>-11018.963974019207</v>
      </c>
      <c r="Y26" s="1"/>
      <c r="Z26" s="5">
        <f t="shared" si="19"/>
        <v>-0.13190471142624133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2032.12</v>
      </c>
      <c r="E27" s="2"/>
      <c r="F27" s="7">
        <f t="shared" si="12"/>
        <v>1.3168248329166549E-2</v>
      </c>
      <c r="G27" s="2"/>
      <c r="H27" s="6">
        <v>1021.69139469231</v>
      </c>
      <c r="I27" s="2"/>
      <c r="J27" s="7">
        <f t="shared" si="13"/>
        <v>5.8717896246684486E-3</v>
      </c>
      <c r="K27" s="2"/>
      <c r="L27" s="6">
        <f t="shared" si="14"/>
        <v>1010.4286053076898</v>
      </c>
      <c r="M27" s="2"/>
      <c r="N27" s="7">
        <f t="shared" si="15"/>
        <v>0.98897632940520941</v>
      </c>
      <c r="O27" s="11"/>
      <c r="P27" s="6">
        <v>14698.3</v>
      </c>
      <c r="Q27" s="2"/>
      <c r="R27" s="7">
        <f t="shared" si="16"/>
        <v>1.4688094711794244E-2</v>
      </c>
      <c r="S27" s="2"/>
      <c r="T27" s="6">
        <v>8427.1941105576843</v>
      </c>
      <c r="U27" s="2"/>
      <c r="V27" s="7">
        <f t="shared" si="17"/>
        <v>7.8608218931558085E-3</v>
      </c>
      <c r="W27" s="2"/>
      <c r="X27" s="6">
        <f t="shared" si="18"/>
        <v>6271.1058894423149</v>
      </c>
      <c r="Y27" s="2"/>
      <c r="Z27" s="7">
        <f t="shared" si="19"/>
        <v>0.74415111449560678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1559.27</v>
      </c>
      <c r="E28" s="2"/>
      <c r="F28" s="7">
        <f t="shared" si="12"/>
        <v>1.0104154563814896E-2</v>
      </c>
      <c r="G28" s="2"/>
      <c r="H28" s="6">
        <v>1591.92549846154</v>
      </c>
      <c r="I28" s="2"/>
      <c r="J28" s="7">
        <f t="shared" si="13"/>
        <v>9.1489971175950577E-3</v>
      </c>
      <c r="K28" s="2"/>
      <c r="L28" s="6">
        <f t="shared" si="14"/>
        <v>-32.655498461539992</v>
      </c>
      <c r="M28" s="2"/>
      <c r="N28" s="7">
        <f t="shared" si="15"/>
        <v>-2.0513207743137942E-2</v>
      </c>
      <c r="O28" s="11"/>
      <c r="P28" s="6">
        <v>8284.0400000000009</v>
      </c>
      <c r="Q28" s="2"/>
      <c r="R28" s="7">
        <f t="shared" si="16"/>
        <v>8.2782882453271475E-3</v>
      </c>
      <c r="S28" s="2"/>
      <c r="T28" s="6">
        <v>10910.902111538462</v>
      </c>
      <c r="U28" s="2"/>
      <c r="V28" s="7">
        <f t="shared" si="17"/>
        <v>1.0177605626172717E-2</v>
      </c>
      <c r="W28" s="2"/>
      <c r="X28" s="6">
        <f t="shared" si="18"/>
        <v>-2626.8621115384612</v>
      </c>
      <c r="Y28" s="2"/>
      <c r="Z28" s="7">
        <f t="shared" si="19"/>
        <v>-0.24075572163373279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5413.82</v>
      </c>
      <c r="E29" s="2"/>
      <c r="F29" s="7">
        <f t="shared" si="12"/>
        <v>3.5081848596248473E-2</v>
      </c>
      <c r="G29" s="2"/>
      <c r="H29" s="6">
        <v>5182.9230769230799</v>
      </c>
      <c r="I29" s="2"/>
      <c r="J29" s="7">
        <f t="shared" si="13"/>
        <v>2.9786914235190115E-2</v>
      </c>
      <c r="K29" s="2"/>
      <c r="L29" s="6">
        <f t="shared" si="14"/>
        <v>230.89692307691985</v>
      </c>
      <c r="M29" s="2"/>
      <c r="N29" s="7">
        <f t="shared" si="15"/>
        <v>4.4549556234972192E-2</v>
      </c>
      <c r="O29" s="11"/>
      <c r="P29" s="6">
        <v>31255.939999999995</v>
      </c>
      <c r="Q29" s="2"/>
      <c r="R29" s="7">
        <f t="shared" si="16"/>
        <v>3.1234238451124153E-2</v>
      </c>
      <c r="S29" s="2"/>
      <c r="T29" s="6">
        <v>40094.692307692319</v>
      </c>
      <c r="U29" s="2"/>
      <c r="V29" s="7">
        <f t="shared" si="17"/>
        <v>3.7400020808443936E-2</v>
      </c>
      <c r="W29" s="2"/>
      <c r="X29" s="6">
        <f t="shared" si="18"/>
        <v>-8838.7523076923244</v>
      </c>
      <c r="Y29" s="2"/>
      <c r="Z29" s="7">
        <f t="shared" si="19"/>
        <v>-0.22044694195088202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104.49</v>
      </c>
      <c r="E30" s="2"/>
      <c r="F30" s="7">
        <f t="shared" si="12"/>
        <v>6.7710089360599414E-4</v>
      </c>
      <c r="G30" s="2"/>
      <c r="H30" s="6">
        <v>106.67542</v>
      </c>
      <c r="I30" s="2"/>
      <c r="J30" s="7">
        <f t="shared" si="13"/>
        <v>6.1307712643678158E-4</v>
      </c>
      <c r="K30" s="2"/>
      <c r="L30" s="6">
        <f t="shared" si="14"/>
        <v>-2.1854200000000077</v>
      </c>
      <c r="M30" s="2"/>
      <c r="N30" s="7">
        <f t="shared" si="15"/>
        <v>-2.0486631315817717E-2</v>
      </c>
      <c r="O30" s="11"/>
      <c r="P30" s="6">
        <v>692.39</v>
      </c>
      <c r="Q30" s="2"/>
      <c r="R30" s="7">
        <f t="shared" si="16"/>
        <v>6.9190926144514786E-4</v>
      </c>
      <c r="S30" s="2"/>
      <c r="T30" s="6">
        <v>731.14292499999999</v>
      </c>
      <c r="U30" s="2"/>
      <c r="V30" s="7">
        <f t="shared" si="17"/>
        <v>6.8200450072291403E-4</v>
      </c>
      <c r="W30" s="2"/>
      <c r="X30" s="6">
        <f t="shared" si="18"/>
        <v>-38.752925000000005</v>
      </c>
      <c r="Y30" s="2"/>
      <c r="Z30" s="7">
        <f t="shared" si="19"/>
        <v>-5.3003214111659501E-2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639.83000000000004</v>
      </c>
      <c r="E31" s="2"/>
      <c r="F31" s="7">
        <f t="shared" si="12"/>
        <v>4.1461332640053902E-3</v>
      </c>
      <c r="G31" s="2"/>
      <c r="H31" s="6">
        <v>776.77846153846201</v>
      </c>
      <c r="I31" s="2"/>
      <c r="J31" s="7">
        <f t="shared" si="13"/>
        <v>4.4642440318302416E-3</v>
      </c>
      <c r="K31" s="2"/>
      <c r="L31" s="6">
        <f t="shared" si="14"/>
        <v>-136.94846153846197</v>
      </c>
      <c r="M31" s="2"/>
      <c r="N31" s="7">
        <f t="shared" si="15"/>
        <v>-0.17630311384693434</v>
      </c>
      <c r="O31" s="11"/>
      <c r="P31" s="6">
        <v>4489.9399999999996</v>
      </c>
      <c r="Q31" s="2"/>
      <c r="R31" s="7">
        <f t="shared" si="16"/>
        <v>4.4868225556883076E-3</v>
      </c>
      <c r="S31" s="2"/>
      <c r="T31" s="6">
        <v>6796.8115384615412</v>
      </c>
      <c r="U31" s="2"/>
      <c r="V31" s="7">
        <f t="shared" si="17"/>
        <v>6.3400135613651803E-3</v>
      </c>
      <c r="W31" s="2"/>
      <c r="X31" s="6">
        <f t="shared" si="18"/>
        <v>-2306.8715384615416</v>
      </c>
      <c r="Y31" s="2"/>
      <c r="Z31" s="7">
        <f t="shared" si="19"/>
        <v>-0.33940495854673974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647.76</v>
      </c>
      <c r="E33" s="2"/>
      <c r="F33" s="7">
        <f t="shared" si="12"/>
        <v>4.1975200961069841E-3</v>
      </c>
      <c r="G33" s="2"/>
      <c r="H33" s="6">
        <v>590.33538461538501</v>
      </c>
      <c r="I33" s="2"/>
      <c r="J33" s="7">
        <f t="shared" si="13"/>
        <v>3.3927320954907185E-3</v>
      </c>
      <c r="K33" s="2"/>
      <c r="L33" s="6">
        <f t="shared" si="14"/>
        <v>57.424615384614981</v>
      </c>
      <c r="M33" s="2"/>
      <c r="N33" s="7">
        <f t="shared" si="15"/>
        <v>9.7274561005737836E-2</v>
      </c>
      <c r="O33" s="11"/>
      <c r="P33" s="6">
        <v>4716.43</v>
      </c>
      <c r="Q33" s="2"/>
      <c r="R33" s="7">
        <f t="shared" si="16"/>
        <v>4.7131552996977702E-3</v>
      </c>
      <c r="S33" s="2"/>
      <c r="T33" s="6">
        <v>4957.3546153846182</v>
      </c>
      <c r="U33" s="2"/>
      <c r="V33" s="7">
        <f t="shared" si="17"/>
        <v>4.6241822819687688E-3</v>
      </c>
      <c r="W33" s="2"/>
      <c r="X33" s="6">
        <f t="shared" si="18"/>
        <v>-240.92461538461794</v>
      </c>
      <c r="Y33" s="2"/>
      <c r="Z33" s="7">
        <f t="shared" si="19"/>
        <v>-4.8599431365457343E-2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680.72</v>
      </c>
      <c r="E34" s="2"/>
      <c r="F34" s="7">
        <f t="shared" si="12"/>
        <v>4.4111026920803176E-3</v>
      </c>
      <c r="G34" s="2"/>
      <c r="H34" s="6">
        <v>1467.0043846153799</v>
      </c>
      <c r="I34" s="2"/>
      <c r="J34" s="7">
        <f t="shared" si="13"/>
        <v>8.431059681697585E-3</v>
      </c>
      <c r="K34" s="2"/>
      <c r="L34" s="6">
        <f t="shared" si="14"/>
        <v>-786.28438461537985</v>
      </c>
      <c r="M34" s="2"/>
      <c r="N34" s="7">
        <f t="shared" si="15"/>
        <v>-0.53597957365446347</v>
      </c>
      <c r="O34" s="11"/>
      <c r="P34" s="6">
        <v>4861.34</v>
      </c>
      <c r="Q34" s="2"/>
      <c r="R34" s="7">
        <f t="shared" si="16"/>
        <v>4.8579646861360726E-3</v>
      </c>
      <c r="S34" s="2"/>
      <c r="T34" s="6">
        <v>10419.206365384596</v>
      </c>
      <c r="U34" s="2"/>
      <c r="V34" s="7">
        <f t="shared" si="17"/>
        <v>9.7189556134364974E-3</v>
      </c>
      <c r="W34" s="2"/>
      <c r="X34" s="6">
        <f t="shared" si="18"/>
        <v>-5557.8663653845961</v>
      </c>
      <c r="Y34" s="2"/>
      <c r="Z34" s="7">
        <f t="shared" si="19"/>
        <v>-0.53342511612490195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662.22</v>
      </c>
      <c r="E35" s="2"/>
      <c r="F35" s="7">
        <f t="shared" si="12"/>
        <v>4.2912216840248971E-3</v>
      </c>
      <c r="G35" s="2"/>
      <c r="H35" s="6">
        <v>150</v>
      </c>
      <c r="I35" s="2"/>
      <c r="J35" s="7">
        <f t="shared" si="13"/>
        <v>8.6206896551724137E-4</v>
      </c>
      <c r="K35" s="2"/>
      <c r="L35" s="6">
        <f t="shared" si="14"/>
        <v>512.22</v>
      </c>
      <c r="M35" s="2"/>
      <c r="N35" s="7">
        <f t="shared" si="15"/>
        <v>3.4148000000000001</v>
      </c>
      <c r="O35" s="11"/>
      <c r="P35" s="6">
        <v>3519.96</v>
      </c>
      <c r="Q35" s="2"/>
      <c r="R35" s="7">
        <f t="shared" si="16"/>
        <v>3.5175160298624515E-3</v>
      </c>
      <c r="S35" s="2"/>
      <c r="T35" s="6">
        <v>1200</v>
      </c>
      <c r="U35" s="2"/>
      <c r="V35" s="7">
        <f t="shared" si="17"/>
        <v>1.1193507765496012E-3</v>
      </c>
      <c r="W35" s="2"/>
      <c r="X35" s="6">
        <f t="shared" si="18"/>
        <v>2319.96</v>
      </c>
      <c r="Y35" s="2"/>
      <c r="Z35" s="7">
        <f t="shared" si="19"/>
        <v>1.9333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37553.72</v>
      </c>
      <c r="E36" s="1"/>
      <c r="F36" s="5">
        <f t="shared" ref="F36:F46" si="20">IF(D$12=0,0,D36/D$12)</f>
        <v>0.24335015188275716</v>
      </c>
      <c r="G36" s="1"/>
      <c r="H36" s="1">
        <f>SUM(OSRRefH22_1x_0)</f>
        <v>39848.336923076917</v>
      </c>
      <c r="I36" s="1"/>
      <c r="J36" s="5">
        <f t="shared" ref="J36:J46" si="21">IF(H$12=0,0,H36/H$12)</f>
        <v>0.22901343059239607</v>
      </c>
      <c r="K36" s="1"/>
      <c r="L36" s="1">
        <f t="shared" ref="L36:L46" si="22">+D36-H36</f>
        <v>-2294.6169230769156</v>
      </c>
      <c r="M36" s="1"/>
      <c r="N36" s="5">
        <f t="shared" ref="N36:N46" si="23">IF(H36=0,0,L36/H36)</f>
        <v>-5.7583756318524297E-2</v>
      </c>
      <c r="O36" s="13"/>
      <c r="P36" s="1">
        <f>SUM(OSRRefP22_1x_0)</f>
        <v>267202.88</v>
      </c>
      <c r="Q36" s="1"/>
      <c r="R36" s="5">
        <f t="shared" ref="R36:R46" si="24">IF(P$12=0,0,P36/P$12)</f>
        <v>0.26701735634081442</v>
      </c>
      <c r="S36" s="1"/>
      <c r="T36" s="1">
        <f>SUM(OSRRefT22_1x_0)</f>
        <v>271294.10807692318</v>
      </c>
      <c r="U36" s="1"/>
      <c r="V36" s="5">
        <f t="shared" ref="V36:V46" si="25">IF(T$12=0,0,T36/T$12)</f>
        <v>0.25306105879102953</v>
      </c>
      <c r="W36" s="1"/>
      <c r="X36" s="1">
        <f t="shared" ref="X36:X46" si="26">+P36-T36</f>
        <v>-4091.2280769231729</v>
      </c>
      <c r="Y36" s="1"/>
      <c r="Z36" s="5">
        <f t="shared" ref="Z36:Z46" si="27">IF(T36=0,0,X36/T36)</f>
        <v>-1.5080416253504257E-2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9160</v>
      </c>
      <c r="E38" s="2"/>
      <c r="F38" s="7">
        <f t="shared" si="20"/>
        <v>5.9357299123656872E-2</v>
      </c>
      <c r="G38" s="2"/>
      <c r="H38" s="6">
        <v>8129.0769230769192</v>
      </c>
      <c r="I38" s="2"/>
      <c r="J38" s="7">
        <f t="shared" si="21"/>
        <v>4.6718832891246662E-2</v>
      </c>
      <c r="K38" s="2"/>
      <c r="L38" s="6">
        <f t="shared" si="22"/>
        <v>1030.9230769230808</v>
      </c>
      <c r="M38" s="2"/>
      <c r="N38" s="7">
        <f t="shared" si="23"/>
        <v>0.12681920551108136</v>
      </c>
      <c r="O38" s="11"/>
      <c r="P38" s="6">
        <v>64602</v>
      </c>
      <c r="Q38" s="2"/>
      <c r="R38" s="7">
        <f t="shared" si="24"/>
        <v>6.4557145695170987E-2</v>
      </c>
      <c r="S38" s="2"/>
      <c r="T38" s="6">
        <v>71129.423076923194</v>
      </c>
      <c r="U38" s="2"/>
      <c r="V38" s="7">
        <f t="shared" si="25"/>
        <v>6.6348979130565922E-2</v>
      </c>
      <c r="W38" s="2"/>
      <c r="X38" s="6">
        <f t="shared" si="26"/>
        <v>-6527.4230769231945</v>
      </c>
      <c r="Y38" s="2"/>
      <c r="Z38" s="7">
        <f t="shared" si="27"/>
        <v>-9.1768255590433889E-2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4926.8500000000004</v>
      </c>
      <c r="E40" s="2"/>
      <c r="F40" s="7">
        <f t="shared" si="20"/>
        <v>3.1926256461505334E-2</v>
      </c>
      <c r="G40" s="2"/>
      <c r="H40" s="6">
        <v>4040.46</v>
      </c>
      <c r="I40" s="2"/>
      <c r="J40" s="7">
        <f t="shared" si="21"/>
        <v>2.3221034482758619E-2</v>
      </c>
      <c r="K40" s="2"/>
      <c r="L40" s="6">
        <f t="shared" si="22"/>
        <v>886.39000000000033</v>
      </c>
      <c r="M40" s="2"/>
      <c r="N40" s="7">
        <f t="shared" si="23"/>
        <v>0.21937848660796055</v>
      </c>
      <c r="O40" s="11"/>
      <c r="P40" s="6">
        <v>31488.92</v>
      </c>
      <c r="Q40" s="2"/>
      <c r="R40" s="7">
        <f t="shared" si="24"/>
        <v>3.1467056689012472E-2</v>
      </c>
      <c r="S40" s="2"/>
      <c r="T40" s="6">
        <v>26537.084999999999</v>
      </c>
      <c r="U40" s="2"/>
      <c r="V40" s="7">
        <f t="shared" si="25"/>
        <v>2.475358891842731E-2</v>
      </c>
      <c r="W40" s="2"/>
      <c r="X40" s="6">
        <f t="shared" si="26"/>
        <v>4951.8349999999991</v>
      </c>
      <c r="Y40" s="2"/>
      <c r="Z40" s="7">
        <f t="shared" si="27"/>
        <v>0.18660056294804042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12356.12</v>
      </c>
      <c r="E41" s="2"/>
      <c r="F41" s="7">
        <f t="shared" si="20"/>
        <v>8.0068330878580701E-2</v>
      </c>
      <c r="G41" s="2"/>
      <c r="H41" s="6">
        <v>10453.799999999999</v>
      </c>
      <c r="I41" s="2"/>
      <c r="J41" s="7">
        <f t="shared" si="21"/>
        <v>6.007931034482758E-2</v>
      </c>
      <c r="K41" s="2"/>
      <c r="L41" s="6">
        <f t="shared" si="22"/>
        <v>1902.3200000000015</v>
      </c>
      <c r="M41" s="2"/>
      <c r="N41" s="7">
        <f t="shared" si="23"/>
        <v>0.18197401901700833</v>
      </c>
      <c r="O41" s="11"/>
      <c r="P41" s="6">
        <v>77551</v>
      </c>
      <c r="Q41" s="2"/>
      <c r="R41" s="7">
        <f t="shared" si="24"/>
        <v>7.7497154976722174E-2</v>
      </c>
      <c r="S41" s="2"/>
      <c r="T41" s="6">
        <v>72058.599999999991</v>
      </c>
      <c r="U41" s="2"/>
      <c r="V41" s="7">
        <f t="shared" si="25"/>
        <v>6.7215708222564244E-2</v>
      </c>
      <c r="W41" s="2"/>
      <c r="X41" s="6">
        <f t="shared" si="26"/>
        <v>5492.4000000000087</v>
      </c>
      <c r="Y41" s="2"/>
      <c r="Z41" s="7">
        <f t="shared" si="27"/>
        <v>7.6221297666066362E-2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7215.01</v>
      </c>
      <c r="Q42" s="2"/>
      <c r="R42" s="7">
        <f t="shared" si="24"/>
        <v>7.2100004916583957E-3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7215.01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11110.75</v>
      </c>
      <c r="E43" s="2"/>
      <c r="F43" s="7">
        <f t="shared" si="20"/>
        <v>7.199826541901426E-2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11110.75</v>
      </c>
      <c r="M43" s="2"/>
      <c r="N43" s="7">
        <f t="shared" si="23"/>
        <v>0</v>
      </c>
      <c r="O43" s="11"/>
      <c r="P43" s="6">
        <v>84515.95</v>
      </c>
      <c r="Q43" s="2"/>
      <c r="R43" s="7">
        <f t="shared" si="24"/>
        <v>8.4457269089436654E-2</v>
      </c>
      <c r="S43" s="2"/>
      <c r="T43" s="6">
        <v>2535</v>
      </c>
      <c r="U43" s="2"/>
      <c r="V43" s="7">
        <f t="shared" si="25"/>
        <v>2.3646285154610325E-3</v>
      </c>
      <c r="W43" s="2"/>
      <c r="X43" s="6">
        <f t="shared" si="26"/>
        <v>81980.95</v>
      </c>
      <c r="Y43" s="2"/>
      <c r="Z43" s="7">
        <f t="shared" si="27"/>
        <v>32.339625246548323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17225</v>
      </c>
      <c r="I44" s="2"/>
      <c r="J44" s="7">
        <f t="shared" si="21"/>
        <v>9.8994252873563213E-2</v>
      </c>
      <c r="K44" s="2"/>
      <c r="L44" s="6">
        <f t="shared" si="22"/>
        <v>-17225</v>
      </c>
      <c r="M44" s="2"/>
      <c r="N44" s="7">
        <f t="shared" si="23"/>
        <v>-1</v>
      </c>
      <c r="O44" s="11"/>
      <c r="P44" s="6">
        <v>1830</v>
      </c>
      <c r="Q44" s="2"/>
      <c r="R44" s="7">
        <f t="shared" si="24"/>
        <v>1.8287293988137041E-3</v>
      </c>
      <c r="S44" s="2"/>
      <c r="T44" s="6">
        <v>99034</v>
      </c>
      <c r="U44" s="2"/>
      <c r="V44" s="7">
        <f t="shared" si="25"/>
        <v>9.2378154004011004E-2</v>
      </c>
      <c r="W44" s="2"/>
      <c r="X44" s="6">
        <f t="shared" si="26"/>
        <v>-97204</v>
      </c>
      <c r="Y44" s="2"/>
      <c r="Z44" s="7">
        <f t="shared" si="27"/>
        <v>-0.98152149766746777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187.01</v>
      </c>
      <c r="E47" s="1"/>
      <c r="F47" s="5">
        <f t="shared" ref="F47:F56" si="28">IF(D$12=0,0,D47/D$12)</f>
        <v>1.2118349900780644E-3</v>
      </c>
      <c r="G47" s="1"/>
      <c r="H47" s="1">
        <f>SUM(OSRRefH22_2x_0)</f>
        <v>300</v>
      </c>
      <c r="I47" s="1"/>
      <c r="J47" s="5">
        <f t="shared" ref="J47:J56" si="29">IF(H$12=0,0,H47/H$12)</f>
        <v>1.7241379310344827E-3</v>
      </c>
      <c r="K47" s="1"/>
      <c r="L47" s="1">
        <f t="shared" ref="L47:L56" si="30">+D47-H47</f>
        <v>-112.99000000000001</v>
      </c>
      <c r="M47" s="1"/>
      <c r="N47" s="5">
        <f t="shared" ref="N47:N56" si="31">IF(H47=0,0,L47/H47)</f>
        <v>-0.37663333333333338</v>
      </c>
      <c r="O47" s="13"/>
      <c r="P47" s="1">
        <f>SUM(OSRRefP22_2x_0)</f>
        <v>4282.6400000000003</v>
      </c>
      <c r="Q47" s="1"/>
      <c r="R47" s="5">
        <f t="shared" ref="R47:R56" si="32">IF(P$12=0,0,P47/P$12)</f>
        <v>4.2796664877243294E-3</v>
      </c>
      <c r="S47" s="1"/>
      <c r="T47" s="1">
        <f>SUM(OSRRefT22_2x_0)</f>
        <v>5680</v>
      </c>
      <c r="U47" s="1"/>
      <c r="V47" s="5">
        <f t="shared" ref="V47:V56" si="33">IF(T$12=0,0,T47/T$12)</f>
        <v>5.2982603423347794E-3</v>
      </c>
      <c r="W47" s="1"/>
      <c r="X47" s="1">
        <f t="shared" ref="X47:X56" si="34">+P47-T47</f>
        <v>-1397.3599999999997</v>
      </c>
      <c r="Y47" s="1"/>
      <c r="Z47" s="5">
        <f t="shared" ref="Z47:Z56" si="35">IF(T47=0,0,X47/T47)</f>
        <v>-0.24601408450704221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187.01</v>
      </c>
      <c r="E48" s="2"/>
      <c r="F48" s="7">
        <f t="shared" si="28"/>
        <v>1.2118349900780644E-3</v>
      </c>
      <c r="G48" s="2"/>
      <c r="H48" s="6">
        <v>300</v>
      </c>
      <c r="I48" s="2"/>
      <c r="J48" s="7">
        <f t="shared" si="29"/>
        <v>1.7241379310344827E-3</v>
      </c>
      <c r="K48" s="2"/>
      <c r="L48" s="6">
        <f t="shared" si="30"/>
        <v>-112.99000000000001</v>
      </c>
      <c r="M48" s="2"/>
      <c r="N48" s="7">
        <f t="shared" si="31"/>
        <v>-0.37663333333333338</v>
      </c>
      <c r="O48" s="11"/>
      <c r="P48" s="6">
        <v>4282.6400000000003</v>
      </c>
      <c r="Q48" s="2"/>
      <c r="R48" s="7">
        <f t="shared" si="32"/>
        <v>4.2796664877243294E-3</v>
      </c>
      <c r="S48" s="2"/>
      <c r="T48" s="6">
        <v>5680</v>
      </c>
      <c r="U48" s="2"/>
      <c r="V48" s="7">
        <f t="shared" si="33"/>
        <v>5.2982603423347794E-3</v>
      </c>
      <c r="W48" s="2"/>
      <c r="X48" s="6">
        <f t="shared" si="34"/>
        <v>-1397.3599999999997</v>
      </c>
      <c r="Y48" s="2"/>
      <c r="Z48" s="7">
        <f t="shared" si="35"/>
        <v>-0.24601408450704221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1.95</v>
      </c>
      <c r="E49" s="1"/>
      <c r="F49" s="5">
        <f t="shared" si="28"/>
        <v>1.2636106254490272E-5</v>
      </c>
      <c r="G49" s="1"/>
      <c r="H49" s="1">
        <f>SUM(OSRRefH22_3x_0)</f>
        <v>10</v>
      </c>
      <c r="I49" s="1"/>
      <c r="J49" s="5">
        <f t="shared" si="29"/>
        <v>5.747126436781609E-5</v>
      </c>
      <c r="K49" s="1"/>
      <c r="L49" s="1">
        <f t="shared" si="30"/>
        <v>-8.0500000000000007</v>
      </c>
      <c r="M49" s="1"/>
      <c r="N49" s="5">
        <f t="shared" si="31"/>
        <v>-0.80500000000000005</v>
      </c>
      <c r="O49" s="13"/>
      <c r="P49" s="1">
        <f>SUM(OSRRefP22_3x_0)</f>
        <v>-321.92</v>
      </c>
      <c r="Q49" s="1"/>
      <c r="R49" s="5">
        <f t="shared" si="32"/>
        <v>-3.2169648528202605E-4</v>
      </c>
      <c r="S49" s="1"/>
      <c r="T49" s="1">
        <f>SUM(OSRRefT22_3x_0)</f>
        <v>80</v>
      </c>
      <c r="U49" s="1"/>
      <c r="V49" s="5">
        <f t="shared" si="33"/>
        <v>7.4623385103306754E-5</v>
      </c>
      <c r="W49" s="1"/>
      <c r="X49" s="1">
        <f t="shared" si="34"/>
        <v>-401.92</v>
      </c>
      <c r="Y49" s="1"/>
      <c r="Z49" s="5">
        <f t="shared" si="35"/>
        <v>-5.024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1.95</v>
      </c>
      <c r="E50" s="2"/>
      <c r="F50" s="7">
        <f t="shared" si="28"/>
        <v>1.2636106254490272E-5</v>
      </c>
      <c r="G50" s="2"/>
      <c r="H50" s="6">
        <v>10</v>
      </c>
      <c r="I50" s="2"/>
      <c r="J50" s="7">
        <f t="shared" si="29"/>
        <v>5.747126436781609E-5</v>
      </c>
      <c r="K50" s="2"/>
      <c r="L50" s="6">
        <f t="shared" si="30"/>
        <v>-8.0500000000000007</v>
      </c>
      <c r="M50" s="2"/>
      <c r="N50" s="7">
        <f t="shared" si="31"/>
        <v>-0.80500000000000005</v>
      </c>
      <c r="O50" s="11"/>
      <c r="P50" s="6">
        <v>-321.92</v>
      </c>
      <c r="Q50" s="2"/>
      <c r="R50" s="7">
        <f t="shared" si="32"/>
        <v>-3.2169648528202605E-4</v>
      </c>
      <c r="S50" s="2"/>
      <c r="T50" s="6">
        <v>80</v>
      </c>
      <c r="U50" s="2"/>
      <c r="V50" s="7">
        <f t="shared" si="33"/>
        <v>7.4623385103306754E-5</v>
      </c>
      <c r="W50" s="2"/>
      <c r="X50" s="6">
        <f t="shared" si="34"/>
        <v>-401.92</v>
      </c>
      <c r="Y50" s="2"/>
      <c r="Z50" s="7">
        <f t="shared" si="35"/>
        <v>-5.024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4581.24</v>
      </c>
      <c r="E51" s="1"/>
      <c r="F51" s="5">
        <f t="shared" si="28"/>
        <v>2.9686684829395391E-2</v>
      </c>
      <c r="G51" s="1"/>
      <c r="H51" s="1">
        <f>SUM(OSRRefH22_4x_0)</f>
        <v>6425</v>
      </c>
      <c r="I51" s="1"/>
      <c r="J51" s="5">
        <f t="shared" si="29"/>
        <v>3.6925287356321841E-2</v>
      </c>
      <c r="K51" s="1"/>
      <c r="L51" s="1">
        <f t="shared" si="30"/>
        <v>-1843.7600000000002</v>
      </c>
      <c r="M51" s="1"/>
      <c r="N51" s="5">
        <f t="shared" si="31"/>
        <v>-0.28696653696498059</v>
      </c>
      <c r="O51" s="13"/>
      <c r="P51" s="1">
        <f>SUM(OSRRefP22_4x_0)</f>
        <v>38497.43</v>
      </c>
      <c r="Q51" s="1"/>
      <c r="R51" s="5">
        <f t="shared" si="32"/>
        <v>3.8470700557252817E-2</v>
      </c>
      <c r="S51" s="1"/>
      <c r="T51" s="1">
        <f>SUM(OSRRefT22_4x_0)</f>
        <v>39425</v>
      </c>
      <c r="U51" s="1"/>
      <c r="V51" s="5">
        <f t="shared" si="33"/>
        <v>3.6775336971223357E-2</v>
      </c>
      <c r="W51" s="1"/>
      <c r="X51" s="1">
        <f t="shared" si="34"/>
        <v>-927.56999999999971</v>
      </c>
      <c r="Y51" s="1"/>
      <c r="Z51" s="5">
        <f t="shared" si="35"/>
        <v>-2.3527457197209885E-2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4581.24</v>
      </c>
      <c r="E52" s="2"/>
      <c r="F52" s="7">
        <f t="shared" si="28"/>
        <v>2.9686684829395391E-2</v>
      </c>
      <c r="G52" s="2"/>
      <c r="H52" s="6">
        <v>6425</v>
      </c>
      <c r="I52" s="2"/>
      <c r="J52" s="7">
        <f t="shared" si="29"/>
        <v>3.6925287356321841E-2</v>
      </c>
      <c r="K52" s="2"/>
      <c r="L52" s="6">
        <f t="shared" si="30"/>
        <v>-1843.7600000000002</v>
      </c>
      <c r="M52" s="2"/>
      <c r="N52" s="7">
        <f t="shared" si="31"/>
        <v>-0.28696653696498059</v>
      </c>
      <c r="O52" s="11"/>
      <c r="P52" s="6">
        <v>38497.43</v>
      </c>
      <c r="Q52" s="2"/>
      <c r="R52" s="7">
        <f t="shared" si="32"/>
        <v>3.8470700557252817E-2</v>
      </c>
      <c r="S52" s="2"/>
      <c r="T52" s="6">
        <v>39425</v>
      </c>
      <c r="U52" s="2"/>
      <c r="V52" s="7">
        <f t="shared" si="33"/>
        <v>3.6775336971223357E-2</v>
      </c>
      <c r="W52" s="2"/>
      <c r="X52" s="6">
        <f t="shared" si="34"/>
        <v>-927.56999999999971</v>
      </c>
      <c r="Y52" s="2"/>
      <c r="Z52" s="7">
        <f t="shared" si="35"/>
        <v>-2.3527457197209885E-2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8263.4700000000012</v>
      </c>
      <c r="E53" s="1"/>
      <c r="F53" s="5">
        <f t="shared" si="28"/>
        <v>5.3547735872201407E-2</v>
      </c>
      <c r="G53" s="1"/>
      <c r="H53" s="1">
        <f>SUM(OSRRefH22_5x_0)</f>
        <v>8780</v>
      </c>
      <c r="I53" s="1"/>
      <c r="J53" s="5">
        <f t="shared" si="29"/>
        <v>5.0459770114942529E-2</v>
      </c>
      <c r="K53" s="1"/>
      <c r="L53" s="1">
        <f t="shared" si="30"/>
        <v>-516.52999999999884</v>
      </c>
      <c r="M53" s="1"/>
      <c r="N53" s="5">
        <f t="shared" si="31"/>
        <v>-5.8830296127562506E-2</v>
      </c>
      <c r="O53" s="13"/>
      <c r="P53" s="1">
        <f>SUM(OSRRefP22_5x_0)</f>
        <v>66107.760000000009</v>
      </c>
      <c r="Q53" s="1"/>
      <c r="R53" s="5">
        <f t="shared" si="32"/>
        <v>6.6061860219519486E-2</v>
      </c>
      <c r="S53" s="1"/>
      <c r="T53" s="1">
        <f>SUM(OSRRefT22_5x_0)</f>
        <v>69772</v>
      </c>
      <c r="U53" s="1"/>
      <c r="V53" s="5">
        <f t="shared" si="33"/>
        <v>6.5082785317848987E-2</v>
      </c>
      <c r="W53" s="1"/>
      <c r="X53" s="1">
        <f t="shared" si="34"/>
        <v>-3664.2399999999907</v>
      </c>
      <c r="Y53" s="1"/>
      <c r="Z53" s="5">
        <f t="shared" si="35"/>
        <v>-5.2517342200309444E-2</v>
      </c>
    </row>
    <row r="54" spans="1:26" s="24" customFormat="1" hidden="1" outlineLevel="2" x14ac:dyDescent="0.25">
      <c r="A54" s="25"/>
      <c r="B54" s="11" t="str">
        <f>CONCATENATE("          ", "6321", " - ", "BUILDING DEPRECIATION")</f>
        <v xml:space="preserve">          6321 - BUILDING DEPRECIATION</v>
      </c>
      <c r="C54" s="11"/>
      <c r="D54" s="6">
        <v>6537.05</v>
      </c>
      <c r="E54" s="2"/>
      <c r="F54" s="7">
        <f t="shared" si="28"/>
        <v>4.2360440200469557E-2</v>
      </c>
      <c r="G54" s="2"/>
      <c r="H54" s="6">
        <v>6537</v>
      </c>
      <c r="I54" s="2"/>
      <c r="J54" s="7">
        <f t="shared" si="29"/>
        <v>3.7568965517241378E-2</v>
      </c>
      <c r="K54" s="2"/>
      <c r="L54" s="6">
        <f t="shared" si="30"/>
        <v>5.0000000000181899E-2</v>
      </c>
      <c r="M54" s="2"/>
      <c r="N54" s="7">
        <f t="shared" si="31"/>
        <v>7.6487685482915549E-6</v>
      </c>
      <c r="O54" s="11"/>
      <c r="P54" s="6">
        <v>52296.4</v>
      </c>
      <c r="Q54" s="2"/>
      <c r="R54" s="7">
        <f t="shared" si="32"/>
        <v>5.2260089689683605E-2</v>
      </c>
      <c r="S54" s="2"/>
      <c r="T54" s="6">
        <v>52296</v>
      </c>
      <c r="U54" s="2"/>
      <c r="V54" s="7">
        <f t="shared" si="33"/>
        <v>4.8781306842031621E-2</v>
      </c>
      <c r="W54" s="2"/>
      <c r="X54" s="6">
        <f t="shared" si="34"/>
        <v>0.40000000000145519</v>
      </c>
      <c r="Y54" s="2"/>
      <c r="Z54" s="7">
        <f t="shared" si="35"/>
        <v>7.6487685482915549E-6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1726.42</v>
      </c>
      <c r="E55" s="2"/>
      <c r="F55" s="7">
        <f t="shared" si="28"/>
        <v>1.1187295671731845E-2</v>
      </c>
      <c r="G55" s="2"/>
      <c r="H55" s="6">
        <v>1726</v>
      </c>
      <c r="I55" s="2"/>
      <c r="J55" s="7">
        <f t="shared" si="29"/>
        <v>9.9195402298850582E-3</v>
      </c>
      <c r="K55" s="2"/>
      <c r="L55" s="6">
        <f t="shared" si="30"/>
        <v>0.42000000000007276</v>
      </c>
      <c r="M55" s="2"/>
      <c r="N55" s="7">
        <f t="shared" si="31"/>
        <v>2.4333719582854738E-4</v>
      </c>
      <c r="O55" s="11"/>
      <c r="P55" s="6">
        <v>13811.36</v>
      </c>
      <c r="Q55" s="2"/>
      <c r="R55" s="7">
        <f t="shared" si="32"/>
        <v>1.3801770529835869E-2</v>
      </c>
      <c r="S55" s="2"/>
      <c r="T55" s="6">
        <v>13808</v>
      </c>
      <c r="U55" s="2"/>
      <c r="V55" s="7">
        <f t="shared" si="33"/>
        <v>1.2879996268830745E-2</v>
      </c>
      <c r="W55" s="2"/>
      <c r="X55" s="6">
        <f t="shared" si="34"/>
        <v>3.3600000000005821</v>
      </c>
      <c r="Y55" s="2"/>
      <c r="Z55" s="7">
        <f t="shared" si="35"/>
        <v>2.4333719582854738E-4</v>
      </c>
    </row>
    <row r="56" spans="1:26" s="24" customFormat="1" hidden="1" outlineLevel="2" x14ac:dyDescent="0.25">
      <c r="A56" s="25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517</v>
      </c>
      <c r="I56" s="2"/>
      <c r="J56" s="7">
        <f t="shared" si="29"/>
        <v>2.9712643678160918E-3</v>
      </c>
      <c r="K56" s="2"/>
      <c r="L56" s="6">
        <f t="shared" si="30"/>
        <v>-517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3668</v>
      </c>
      <c r="U56" s="2"/>
      <c r="V56" s="7">
        <f t="shared" si="33"/>
        <v>3.4214822069866145E-3</v>
      </c>
      <c r="W56" s="2"/>
      <c r="X56" s="6">
        <f t="shared" si="34"/>
        <v>-3668</v>
      </c>
      <c r="Y56" s="2"/>
      <c r="Z56" s="7">
        <f t="shared" si="35"/>
        <v>-1</v>
      </c>
    </row>
    <row r="57" spans="1:26" s="27" customFormat="1" outlineLevel="1" collapsed="1" x14ac:dyDescent="0.25">
      <c r="A57" s="26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0</v>
      </c>
      <c r="E57" s="1"/>
      <c r="F57" s="5">
        <f t="shared" ref="F57:F67" si="36">IF(D$12=0,0,D57/D$12)</f>
        <v>0</v>
      </c>
      <c r="G57" s="1"/>
      <c r="H57" s="1">
        <f>SUM(OSRRefH22_6x_0)</f>
        <v>0</v>
      </c>
      <c r="I57" s="1"/>
      <c r="J57" s="5">
        <f t="shared" ref="J57:J67" si="37">IF(H$12=0,0,H57/H$12)</f>
        <v>0</v>
      </c>
      <c r="K57" s="1"/>
      <c r="L57" s="1">
        <f t="shared" ref="L57:L67" si="38">+D57-H57</f>
        <v>0</v>
      </c>
      <c r="M57" s="1"/>
      <c r="N57" s="5">
        <f t="shared" ref="N57:N67" si="39">IF(H57=0,0,L57/H57)</f>
        <v>0</v>
      </c>
      <c r="O57" s="13"/>
      <c r="P57" s="1">
        <f>SUM(OSRRefP22_6x_0)</f>
        <v>0.09</v>
      </c>
      <c r="Q57" s="1"/>
      <c r="R57" s="5">
        <f t="shared" ref="R57:R67" si="40">IF(P$12=0,0,P57/P$12)</f>
        <v>8.993751141706741E-8</v>
      </c>
      <c r="S57" s="1"/>
      <c r="T57" s="1">
        <f>SUM(OSRRefT22_6x_0)</f>
        <v>0</v>
      </c>
      <c r="U57" s="1"/>
      <c r="V57" s="5">
        <f t="shared" ref="V57:V67" si="41">IF(T$12=0,0,T57/T$12)</f>
        <v>0</v>
      </c>
      <c r="W57" s="1"/>
      <c r="X57" s="1">
        <f t="shared" ref="X57:X67" si="42">+P57-T57</f>
        <v>0.09</v>
      </c>
      <c r="Y57" s="1"/>
      <c r="Z57" s="5">
        <f t="shared" ref="Z57:Z67" si="43">IF(T57=0,0,X57/T57)</f>
        <v>0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0.09</v>
      </c>
      <c r="Q58" s="2"/>
      <c r="R58" s="7">
        <f t="shared" si="40"/>
        <v>8.993751141706741E-8</v>
      </c>
      <c r="S58" s="2"/>
      <c r="T58" s="6"/>
      <c r="U58" s="2"/>
      <c r="V58" s="7">
        <f t="shared" si="41"/>
        <v>0</v>
      </c>
      <c r="W58" s="2"/>
      <c r="X58" s="6">
        <f t="shared" si="42"/>
        <v>0.09</v>
      </c>
      <c r="Y58" s="2"/>
      <c r="Z58" s="7">
        <f t="shared" si="43"/>
        <v>0</v>
      </c>
    </row>
    <row r="59" spans="1:26" s="27" customFormat="1" outlineLevel="1" collapsed="1" x14ac:dyDescent="0.25">
      <c r="A59" s="26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SUM(OSRRefP22_7x_0)</f>
        <v>73</v>
      </c>
      <c r="Q59" s="1"/>
      <c r="R59" s="5">
        <f t="shared" si="40"/>
        <v>7.294931481606579E-5</v>
      </c>
      <c r="S59" s="1"/>
      <c r="T59" s="1">
        <f>SUM(OSRRefT22_7x_0)</f>
        <v>0</v>
      </c>
      <c r="U59" s="1"/>
      <c r="V59" s="5">
        <f t="shared" si="41"/>
        <v>0</v>
      </c>
      <c r="W59" s="1"/>
      <c r="X59" s="1">
        <f t="shared" si="42"/>
        <v>73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"6399", " - ", "DONATION-ON CAMPUS")</f>
        <v xml:space="preserve">          6399 - DONATION-ON CAMPUS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73</v>
      </c>
      <c r="Q60" s="2"/>
      <c r="R60" s="7">
        <f t="shared" si="40"/>
        <v>7.294931481606579E-5</v>
      </c>
      <c r="S60" s="2"/>
      <c r="T60" s="6"/>
      <c r="U60" s="2"/>
      <c r="V60" s="7">
        <f t="shared" si="41"/>
        <v>0</v>
      </c>
      <c r="W60" s="2"/>
      <c r="X60" s="6">
        <f t="shared" si="42"/>
        <v>73</v>
      </c>
      <c r="Y60" s="2"/>
      <c r="Z60" s="7">
        <f t="shared" si="43"/>
        <v>0</v>
      </c>
    </row>
    <row r="61" spans="1:26" s="27" customFormat="1" outlineLevel="1" collapsed="1" x14ac:dyDescent="0.25">
      <c r="A61" s="26"/>
      <c r="B61" s="13" t="str">
        <f>CONCATENATE("     ","Employees' Appreciation                           ")</f>
        <v xml:space="preserve">     Employees' Appreciation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75</v>
      </c>
      <c r="I61" s="1"/>
      <c r="J61" s="5">
        <f t="shared" si="37"/>
        <v>4.3103448275862068E-4</v>
      </c>
      <c r="K61" s="1"/>
      <c r="L61" s="1">
        <f t="shared" si="38"/>
        <v>-75</v>
      </c>
      <c r="M61" s="1"/>
      <c r="N61" s="5">
        <f t="shared" si="39"/>
        <v>-1</v>
      </c>
      <c r="O61" s="13"/>
      <c r="P61" s="1">
        <f>SUM(OSRRefP22_8x_0)</f>
        <v>8.25</v>
      </c>
      <c r="Q61" s="1"/>
      <c r="R61" s="5">
        <f t="shared" si="40"/>
        <v>8.2442718798978466E-6</v>
      </c>
      <c r="S61" s="1"/>
      <c r="T61" s="1">
        <f>SUM(OSRRefT22_8x_0)</f>
        <v>725</v>
      </c>
      <c r="U61" s="1"/>
      <c r="V61" s="5">
        <f t="shared" si="41"/>
        <v>6.7627442749871745E-4</v>
      </c>
      <c r="W61" s="1"/>
      <c r="X61" s="1">
        <f t="shared" si="42"/>
        <v>-716.75</v>
      </c>
      <c r="Y61" s="1"/>
      <c r="Z61" s="5">
        <f t="shared" si="43"/>
        <v>-0.98862068965517247</v>
      </c>
    </row>
    <row r="62" spans="1:26" s="24" customFormat="1" hidden="1" outlineLevel="2" x14ac:dyDescent="0.25">
      <c r="A62" s="25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6"/>
        <v>0</v>
      </c>
      <c r="G62" s="2"/>
      <c r="H62" s="6">
        <v>75</v>
      </c>
      <c r="I62" s="2"/>
      <c r="J62" s="7">
        <f t="shared" si="37"/>
        <v>4.3103448275862068E-4</v>
      </c>
      <c r="K62" s="2"/>
      <c r="L62" s="6">
        <f t="shared" si="38"/>
        <v>-75</v>
      </c>
      <c r="M62" s="2"/>
      <c r="N62" s="7">
        <f t="shared" si="39"/>
        <v>-1</v>
      </c>
      <c r="O62" s="11"/>
      <c r="P62" s="6">
        <v>8.25</v>
      </c>
      <c r="Q62" s="2"/>
      <c r="R62" s="7">
        <f t="shared" si="40"/>
        <v>8.2442718798978466E-6</v>
      </c>
      <c r="S62" s="2"/>
      <c r="T62" s="6">
        <v>725</v>
      </c>
      <c r="U62" s="2"/>
      <c r="V62" s="7">
        <f t="shared" si="41"/>
        <v>6.7627442749871745E-4</v>
      </c>
      <c r="W62" s="2"/>
      <c r="X62" s="6">
        <f t="shared" si="42"/>
        <v>-716.75</v>
      </c>
      <c r="Y62" s="2"/>
      <c r="Z62" s="7">
        <f t="shared" si="43"/>
        <v>-0.98862068965517247</v>
      </c>
    </row>
    <row r="63" spans="1:26" s="27" customFormat="1" outlineLevel="1" collapsed="1" x14ac:dyDescent="0.25">
      <c r="A63" s="26"/>
      <c r="B63" s="13" t="str">
        <f>CONCATENATE("     ","Equipment Rental                                  ")</f>
        <v xml:space="preserve">     Equipment Rental                                  </v>
      </c>
      <c r="C63" s="13"/>
      <c r="D63" s="1">
        <f>SUM(OSRRefD22_9x_0)</f>
        <v>263.72000000000003</v>
      </c>
      <c r="E63" s="1"/>
      <c r="F63" s="5">
        <f t="shared" si="36"/>
        <v>1.7089199699662435E-3</v>
      </c>
      <c r="G63" s="1"/>
      <c r="H63" s="1">
        <f>SUM(OSRRefH22_9x_0)</f>
        <v>45</v>
      </c>
      <c r="I63" s="1"/>
      <c r="J63" s="5">
        <f t="shared" si="37"/>
        <v>2.5862068965517242E-4</v>
      </c>
      <c r="K63" s="1"/>
      <c r="L63" s="1">
        <f t="shared" si="38"/>
        <v>218.72000000000003</v>
      </c>
      <c r="M63" s="1"/>
      <c r="N63" s="5">
        <f t="shared" si="39"/>
        <v>4.860444444444445</v>
      </c>
      <c r="O63" s="13"/>
      <c r="P63" s="1">
        <f>SUM(OSRRefP22_9x_0)</f>
        <v>5567.75</v>
      </c>
      <c r="Q63" s="1"/>
      <c r="R63" s="5">
        <f t="shared" si="40"/>
        <v>5.5638842132486347E-3</v>
      </c>
      <c r="S63" s="1"/>
      <c r="T63" s="1">
        <f>SUM(OSRRefT22_9x_0)</f>
        <v>706</v>
      </c>
      <c r="U63" s="1"/>
      <c r="V63" s="5">
        <f t="shared" si="41"/>
        <v>6.58551373536682E-4</v>
      </c>
      <c r="W63" s="1"/>
      <c r="X63" s="1">
        <f t="shared" si="42"/>
        <v>4861.75</v>
      </c>
      <c r="Y63" s="1"/>
      <c r="Z63" s="5">
        <f t="shared" si="43"/>
        <v>6.8863314447592066</v>
      </c>
    </row>
    <row r="64" spans="1:26" s="24" customFormat="1" hidden="1" outlineLevel="2" x14ac:dyDescent="0.25">
      <c r="A64" s="25"/>
      <c r="B64" s="11" t="str">
        <f>CONCATENATE("          ", "6351", " - ", "EQUIPMENT RENTAL")</f>
        <v xml:space="preserve">          6351 - EQUIPMENT RENTAL</v>
      </c>
      <c r="C64" s="11"/>
      <c r="D64" s="6">
        <v>263.72000000000003</v>
      </c>
      <c r="E64" s="2"/>
      <c r="F64" s="7">
        <f t="shared" si="36"/>
        <v>1.7089199699662435E-3</v>
      </c>
      <c r="G64" s="2"/>
      <c r="H64" s="6">
        <v>45</v>
      </c>
      <c r="I64" s="2"/>
      <c r="J64" s="7">
        <f t="shared" si="37"/>
        <v>2.5862068965517242E-4</v>
      </c>
      <c r="K64" s="2"/>
      <c r="L64" s="6">
        <f t="shared" si="38"/>
        <v>218.72000000000003</v>
      </c>
      <c r="M64" s="2"/>
      <c r="N64" s="7">
        <f t="shared" si="39"/>
        <v>4.860444444444445</v>
      </c>
      <c r="O64" s="11"/>
      <c r="P64" s="6">
        <v>5567.75</v>
      </c>
      <c r="Q64" s="2"/>
      <c r="R64" s="7">
        <f t="shared" si="40"/>
        <v>5.5638842132486347E-3</v>
      </c>
      <c r="S64" s="2"/>
      <c r="T64" s="6">
        <v>706</v>
      </c>
      <c r="U64" s="2"/>
      <c r="V64" s="7">
        <f t="shared" si="41"/>
        <v>6.58551373536682E-4</v>
      </c>
      <c r="W64" s="2"/>
      <c r="X64" s="6">
        <f t="shared" si="42"/>
        <v>4861.75</v>
      </c>
      <c r="Y64" s="2"/>
      <c r="Z64" s="7">
        <f t="shared" si="43"/>
        <v>6.8863314447592066</v>
      </c>
    </row>
    <row r="65" spans="1:26" s="27" customFormat="1" outlineLevel="1" collapsed="1" x14ac:dyDescent="0.25">
      <c r="A65" s="26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SUM(OSRRefD22_10x_0)</f>
        <v>2830.1</v>
      </c>
      <c r="E65" s="1"/>
      <c r="F65" s="5">
        <f t="shared" si="36"/>
        <v>1.8339202210683549E-2</v>
      </c>
      <c r="G65" s="1"/>
      <c r="H65" s="1">
        <f>SUM(OSRRefH22_10x_0)</f>
        <v>900</v>
      </c>
      <c r="I65" s="1"/>
      <c r="J65" s="5">
        <f t="shared" si="37"/>
        <v>5.1724137931034482E-3</v>
      </c>
      <c r="K65" s="1"/>
      <c r="L65" s="1">
        <f t="shared" si="38"/>
        <v>1930.1</v>
      </c>
      <c r="M65" s="1"/>
      <c r="N65" s="5">
        <f t="shared" si="39"/>
        <v>2.1445555555555553</v>
      </c>
      <c r="O65" s="13"/>
      <c r="P65" s="1">
        <f>SUM(OSRRefP22_10x_0)</f>
        <v>13389.58</v>
      </c>
      <c r="Q65" s="1"/>
      <c r="R65" s="5">
        <f t="shared" si="40"/>
        <v>1.3380283379108194E-2</v>
      </c>
      <c r="S65" s="1"/>
      <c r="T65" s="1">
        <f>SUM(OSRRefT22_10x_0)</f>
        <v>5600</v>
      </c>
      <c r="U65" s="1"/>
      <c r="V65" s="5">
        <f t="shared" si="41"/>
        <v>5.2236369572314723E-3</v>
      </c>
      <c r="W65" s="1"/>
      <c r="X65" s="1">
        <f t="shared" si="42"/>
        <v>7789.58</v>
      </c>
      <c r="Y65" s="1"/>
      <c r="Z65" s="5">
        <f t="shared" si="43"/>
        <v>1.3909964285714285</v>
      </c>
    </row>
    <row r="66" spans="1:26" s="24" customFormat="1" hidden="1" outlineLevel="2" x14ac:dyDescent="0.25">
      <c r="A66" s="25"/>
      <c r="B66" s="11" t="str">
        <f>CONCATENATE("          ", "6269", " - ", "ENTERTAINMENT")</f>
        <v xml:space="preserve">          6269 - ENTERTAINMENT</v>
      </c>
      <c r="C66" s="11"/>
      <c r="D66" s="6">
        <v>2700</v>
      </c>
      <c r="E66" s="2"/>
      <c r="F66" s="7">
        <f t="shared" si="36"/>
        <v>1.7496147121601916E-2</v>
      </c>
      <c r="G66" s="2"/>
      <c r="H66" s="6">
        <v>900</v>
      </c>
      <c r="I66" s="2"/>
      <c r="J66" s="7">
        <f t="shared" si="37"/>
        <v>5.1724137931034482E-3</v>
      </c>
      <c r="K66" s="2"/>
      <c r="L66" s="6">
        <f t="shared" si="38"/>
        <v>1800</v>
      </c>
      <c r="M66" s="2"/>
      <c r="N66" s="7">
        <f t="shared" si="39"/>
        <v>2</v>
      </c>
      <c r="O66" s="11"/>
      <c r="P66" s="6">
        <v>10050</v>
      </c>
      <c r="Q66" s="2"/>
      <c r="R66" s="7">
        <f t="shared" si="40"/>
        <v>1.0043022108239196E-2</v>
      </c>
      <c r="S66" s="2"/>
      <c r="T66" s="6">
        <v>5600</v>
      </c>
      <c r="U66" s="2"/>
      <c r="V66" s="7">
        <f t="shared" si="41"/>
        <v>5.2236369572314723E-3</v>
      </c>
      <c r="W66" s="2"/>
      <c r="X66" s="6">
        <f t="shared" si="42"/>
        <v>4450</v>
      </c>
      <c r="Y66" s="2"/>
      <c r="Z66" s="7">
        <f t="shared" si="43"/>
        <v>0.7946428571428571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6">
        <v>130.1</v>
      </c>
      <c r="E67" s="2"/>
      <c r="F67" s="7">
        <f t="shared" si="36"/>
        <v>8.4305508908163302E-4</v>
      </c>
      <c r="G67" s="2"/>
      <c r="H67" s="6"/>
      <c r="I67" s="2"/>
      <c r="J67" s="7">
        <f t="shared" si="37"/>
        <v>0</v>
      </c>
      <c r="K67" s="2"/>
      <c r="L67" s="6">
        <f t="shared" si="38"/>
        <v>130.1</v>
      </c>
      <c r="M67" s="2"/>
      <c r="N67" s="7">
        <f t="shared" si="39"/>
        <v>0</v>
      </c>
      <c r="O67" s="11"/>
      <c r="P67" s="6">
        <v>3339.58</v>
      </c>
      <c r="Q67" s="2"/>
      <c r="R67" s="7">
        <f t="shared" si="40"/>
        <v>3.3372612708690002E-3</v>
      </c>
      <c r="S67" s="2"/>
      <c r="T67" s="6"/>
      <c r="U67" s="2"/>
      <c r="V67" s="7">
        <f t="shared" si="41"/>
        <v>0</v>
      </c>
      <c r="W67" s="2"/>
      <c r="X67" s="6">
        <f t="shared" si="42"/>
        <v>3339.58</v>
      </c>
      <c r="Y67" s="2"/>
      <c r="Z67" s="7">
        <f t="shared" si="43"/>
        <v>0</v>
      </c>
    </row>
    <row r="68" spans="1:26" s="27" customFormat="1" outlineLevel="1" collapsed="1" x14ac:dyDescent="0.25">
      <c r="A68" s="26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SUM(OSRRefD22_11x_0)</f>
        <v>878.32</v>
      </c>
      <c r="E68" s="1"/>
      <c r="F68" s="5">
        <f t="shared" ref="F68:F71" si="44">IF(D$12=0,0,D68/D$12)</f>
        <v>5.691561459201998E-3</v>
      </c>
      <c r="G68" s="1"/>
      <c r="H68" s="1">
        <f>SUM(OSRRefH22_11x_0)</f>
        <v>1750</v>
      </c>
      <c r="I68" s="1"/>
      <c r="J68" s="5">
        <f t="shared" ref="J68:J71" si="45">IF(H$12=0,0,H68/H$12)</f>
        <v>1.0057471264367816E-2</v>
      </c>
      <c r="K68" s="1"/>
      <c r="L68" s="1">
        <f t="shared" ref="L68:L71" si="46">+D68-H68</f>
        <v>-871.68</v>
      </c>
      <c r="M68" s="1"/>
      <c r="N68" s="5">
        <f t="shared" ref="N68:N71" si="47">IF(H68=0,0,L68/H68)</f>
        <v>-0.49810285714285712</v>
      </c>
      <c r="O68" s="13"/>
      <c r="P68" s="1">
        <f>SUM(OSRRefP22_11x_0)</f>
        <v>17658.11</v>
      </c>
      <c r="Q68" s="1"/>
      <c r="R68" s="5">
        <f t="shared" ref="R68:R71" si="48">IF(P$12=0,0,P68/P$12)</f>
        <v>1.7645849663653693E-2</v>
      </c>
      <c r="S68" s="1"/>
      <c r="T68" s="1">
        <f>SUM(OSRRefT22_11x_0)</f>
        <v>11051</v>
      </c>
      <c r="U68" s="1"/>
      <c r="V68" s="5">
        <f t="shared" ref="V68:V71" si="49">IF(T$12=0,0,T68/T$12)</f>
        <v>1.0308287859708037E-2</v>
      </c>
      <c r="W68" s="1"/>
      <c r="X68" s="1">
        <f t="shared" ref="X68:X71" si="50">+P68-T68</f>
        <v>6607.1100000000006</v>
      </c>
      <c r="Y68" s="1"/>
      <c r="Z68" s="5">
        <f t="shared" ref="Z68:Z71" si="51">IF(T68=0,0,X68/T68)</f>
        <v>0.59787440050674157</v>
      </c>
    </row>
    <row r="69" spans="1:26" s="24" customFormat="1" hidden="1" outlineLevel="2" x14ac:dyDescent="0.25">
      <c r="A69" s="25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2623.85</v>
      </c>
      <c r="Q69" s="2"/>
      <c r="R69" s="7">
        <f t="shared" si="48"/>
        <v>2.6220282147963593E-3</v>
      </c>
      <c r="S69" s="2"/>
      <c r="T69" s="6"/>
      <c r="U69" s="2"/>
      <c r="V69" s="7">
        <f t="shared" si="49"/>
        <v>0</v>
      </c>
      <c r="W69" s="2"/>
      <c r="X69" s="6">
        <f t="shared" si="50"/>
        <v>2623.85</v>
      </c>
      <c r="Y69" s="2"/>
      <c r="Z69" s="7">
        <f t="shared" si="51"/>
        <v>0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1245.08</v>
      </c>
      <c r="Q70" s="2"/>
      <c r="R70" s="7">
        <f t="shared" si="48"/>
        <v>1.2442155190573588E-3</v>
      </c>
      <c r="S70" s="2"/>
      <c r="T70" s="6">
        <v>376</v>
      </c>
      <c r="U70" s="2"/>
      <c r="V70" s="7">
        <f t="shared" si="49"/>
        <v>3.5072990998554171E-4</v>
      </c>
      <c r="W70" s="2"/>
      <c r="X70" s="6">
        <f t="shared" si="50"/>
        <v>869.07999999999993</v>
      </c>
      <c r="Y70" s="2"/>
      <c r="Z70" s="7">
        <f t="shared" si="51"/>
        <v>2.3113829787234041</v>
      </c>
    </row>
    <row r="71" spans="1:26" s="24" customFormat="1" hidden="1" outlineLevel="2" x14ac:dyDescent="0.25">
      <c r="A71" s="25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878.32</v>
      </c>
      <c r="E71" s="2"/>
      <c r="F71" s="7">
        <f t="shared" si="44"/>
        <v>5.691561459201998E-3</v>
      </c>
      <c r="G71" s="2"/>
      <c r="H71" s="6">
        <v>1750</v>
      </c>
      <c r="I71" s="2"/>
      <c r="J71" s="7">
        <f t="shared" si="45"/>
        <v>1.0057471264367816E-2</v>
      </c>
      <c r="K71" s="2"/>
      <c r="L71" s="6">
        <f t="shared" si="46"/>
        <v>-871.68</v>
      </c>
      <c r="M71" s="2"/>
      <c r="N71" s="7">
        <f t="shared" si="47"/>
        <v>-0.49810285714285712</v>
      </c>
      <c r="O71" s="11"/>
      <c r="P71" s="6">
        <v>13789.18</v>
      </c>
      <c r="Q71" s="2"/>
      <c r="R71" s="7">
        <f t="shared" si="48"/>
        <v>1.3779605929799975E-2</v>
      </c>
      <c r="S71" s="2"/>
      <c r="T71" s="6">
        <v>10675</v>
      </c>
      <c r="U71" s="2"/>
      <c r="V71" s="7">
        <f t="shared" si="49"/>
        <v>9.9575579497224939E-3</v>
      </c>
      <c r="W71" s="2"/>
      <c r="X71" s="6">
        <f t="shared" si="50"/>
        <v>3114.1800000000003</v>
      </c>
      <c r="Y71" s="2"/>
      <c r="Z71" s="7">
        <f t="shared" si="51"/>
        <v>0.2917264637002342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SUM(OSRRefD22_12x_0)</f>
        <v>553.35</v>
      </c>
      <c r="E72" s="1"/>
      <c r="F72" s="5">
        <f t="shared" ref="F72:F75" si="52">IF(D$12=0,0,D72/D$12)</f>
        <v>3.5857381517549708E-3</v>
      </c>
      <c r="G72" s="1"/>
      <c r="H72" s="1">
        <f>SUM(OSRRefH22_12x_0)</f>
        <v>660</v>
      </c>
      <c r="I72" s="1"/>
      <c r="J72" s="5">
        <f t="shared" ref="J72:J75" si="53">IF(H$12=0,0,H72/H$12)</f>
        <v>3.7931034482758621E-3</v>
      </c>
      <c r="K72" s="1"/>
      <c r="L72" s="1">
        <f t="shared" ref="L72:L75" si="54">+D72-H72</f>
        <v>-106.64999999999998</v>
      </c>
      <c r="M72" s="1"/>
      <c r="N72" s="5">
        <f t="shared" ref="N72:N75" si="55">IF(H72=0,0,L72/H72)</f>
        <v>-0.16159090909090906</v>
      </c>
      <c r="O72" s="13"/>
      <c r="P72" s="1">
        <f>SUM(OSRRefP22_12x_0)</f>
        <v>2988</v>
      </c>
      <c r="Q72" s="1"/>
      <c r="R72" s="5">
        <f t="shared" ref="R72:R75" si="56">IF(P$12=0,0,P72/P$12)</f>
        <v>2.9859253790466382E-3</v>
      </c>
      <c r="S72" s="1"/>
      <c r="T72" s="1">
        <f>SUM(OSRRefT22_12x_0)</f>
        <v>4869</v>
      </c>
      <c r="U72" s="1"/>
      <c r="V72" s="5">
        <f t="shared" ref="V72:V75" si="57">IF(T$12=0,0,T72/T$12)</f>
        <v>4.5417657758500072E-3</v>
      </c>
      <c r="W72" s="1"/>
      <c r="X72" s="1">
        <f t="shared" ref="X72:X75" si="58">+P72-T72</f>
        <v>-1881</v>
      </c>
      <c r="Y72" s="1"/>
      <c r="Z72" s="5">
        <f t="shared" ref="Z72:Z75" si="59">IF(T72=0,0,X72/T72)</f>
        <v>-0.38632162661737524</v>
      </c>
    </row>
    <row r="73" spans="1:26" s="24" customFormat="1" hidden="1" outlineLevel="2" x14ac:dyDescent="0.25">
      <c r="A73" s="25"/>
      <c r="B73" s="11" t="str">
        <f>CONCATENATE("          ", "6283", " - ", "PLANT SERVICE")</f>
        <v xml:space="preserve">          6283 - PLANT SERVICE</v>
      </c>
      <c r="C73" s="11"/>
      <c r="D73" s="6">
        <v>39.75</v>
      </c>
      <c r="E73" s="2"/>
      <c r="F73" s="7">
        <f t="shared" si="52"/>
        <v>2.5758216595691711E-4</v>
      </c>
      <c r="G73" s="2"/>
      <c r="H73" s="6">
        <v>30</v>
      </c>
      <c r="I73" s="2"/>
      <c r="J73" s="7">
        <f t="shared" si="53"/>
        <v>1.7241379310344826E-4</v>
      </c>
      <c r="K73" s="2"/>
      <c r="L73" s="6">
        <f t="shared" si="54"/>
        <v>9.75</v>
      </c>
      <c r="M73" s="2"/>
      <c r="N73" s="7">
        <f t="shared" si="55"/>
        <v>0.32500000000000001</v>
      </c>
      <c r="O73" s="11"/>
      <c r="P73" s="6">
        <v>198.75</v>
      </c>
      <c r="Q73" s="2"/>
      <c r="R73" s="7">
        <f t="shared" si="56"/>
        <v>1.986120043793572E-4</v>
      </c>
      <c r="S73" s="2"/>
      <c r="T73" s="6">
        <v>240</v>
      </c>
      <c r="U73" s="2"/>
      <c r="V73" s="7">
        <f t="shared" si="57"/>
        <v>2.2387015530992023E-4</v>
      </c>
      <c r="W73" s="2"/>
      <c r="X73" s="6">
        <f t="shared" si="58"/>
        <v>-41.25</v>
      </c>
      <c r="Y73" s="2"/>
      <c r="Z73" s="7">
        <f t="shared" si="59"/>
        <v>-0.171875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6">
        <v>330</v>
      </c>
      <c r="E74" s="2"/>
      <c r="F74" s="7">
        <f t="shared" si="52"/>
        <v>2.1384179815291233E-3</v>
      </c>
      <c r="G74" s="2"/>
      <c r="H74" s="6">
        <v>288</v>
      </c>
      <c r="I74" s="2"/>
      <c r="J74" s="7">
        <f t="shared" si="53"/>
        <v>1.6551724137931034E-3</v>
      </c>
      <c r="K74" s="2"/>
      <c r="L74" s="6">
        <f t="shared" si="54"/>
        <v>42</v>
      </c>
      <c r="M74" s="2"/>
      <c r="N74" s="7">
        <f t="shared" si="55"/>
        <v>0.14583333333333334</v>
      </c>
      <c r="O74" s="11"/>
      <c r="P74" s="6">
        <v>1264</v>
      </c>
      <c r="Q74" s="2"/>
      <c r="R74" s="7">
        <f t="shared" si="56"/>
        <v>1.2631223825685914E-3</v>
      </c>
      <c r="S74" s="2"/>
      <c r="T74" s="6">
        <v>2520</v>
      </c>
      <c r="U74" s="2"/>
      <c r="V74" s="7">
        <f t="shared" si="57"/>
        <v>2.3506366307541626E-3</v>
      </c>
      <c r="W74" s="2"/>
      <c r="X74" s="6">
        <f t="shared" si="58"/>
        <v>-1256</v>
      </c>
      <c r="Y74" s="2"/>
      <c r="Z74" s="7">
        <f t="shared" si="59"/>
        <v>-0.49841269841269842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6">
        <v>183.6</v>
      </c>
      <c r="E75" s="2"/>
      <c r="F75" s="7">
        <f t="shared" si="52"/>
        <v>1.1897380042689303E-3</v>
      </c>
      <c r="G75" s="2"/>
      <c r="H75" s="6">
        <v>342</v>
      </c>
      <c r="I75" s="2"/>
      <c r="J75" s="7">
        <f t="shared" si="53"/>
        <v>1.9655172413793102E-3</v>
      </c>
      <c r="K75" s="2"/>
      <c r="L75" s="6">
        <f t="shared" si="54"/>
        <v>-158.4</v>
      </c>
      <c r="M75" s="2"/>
      <c r="N75" s="7">
        <f t="shared" si="55"/>
        <v>-0.4631578947368421</v>
      </c>
      <c r="O75" s="11"/>
      <c r="P75" s="6">
        <v>1525.25</v>
      </c>
      <c r="Q75" s="2"/>
      <c r="R75" s="7">
        <f t="shared" si="56"/>
        <v>1.5241909920986898E-3</v>
      </c>
      <c r="S75" s="2"/>
      <c r="T75" s="6">
        <v>2109</v>
      </c>
      <c r="U75" s="2"/>
      <c r="V75" s="7">
        <f t="shared" si="57"/>
        <v>1.9672589897859242E-3</v>
      </c>
      <c r="W75" s="2"/>
      <c r="X75" s="6">
        <f t="shared" si="58"/>
        <v>-583.75</v>
      </c>
      <c r="Y75" s="2"/>
      <c r="Z75" s="7">
        <f t="shared" si="59"/>
        <v>-0.27678994784257943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202.47</v>
      </c>
      <c r="E76" s="1"/>
      <c r="F76" s="5">
        <f t="shared" ref="F76:F78" si="60">IF(D$12=0,0,D76/D$12)</f>
        <v>1.3120166324854592E-3</v>
      </c>
      <c r="G76" s="1"/>
      <c r="H76" s="1">
        <f>SUM(OSRRefH22_13x_0)</f>
        <v>194</v>
      </c>
      <c r="I76" s="1"/>
      <c r="J76" s="5">
        <f t="shared" ref="J76:J78" si="61">IF(H$12=0,0,H76/H$12)</f>
        <v>1.1149425287356322E-3</v>
      </c>
      <c r="K76" s="1"/>
      <c r="L76" s="1">
        <f t="shared" ref="L76:L78" si="62">+D76-H76</f>
        <v>8.4699999999999989</v>
      </c>
      <c r="M76" s="1"/>
      <c r="N76" s="5">
        <f t="shared" ref="N76:N78" si="63">IF(H76=0,0,L76/H76)</f>
        <v>4.3659793814432982E-2</v>
      </c>
      <c r="O76" s="13"/>
      <c r="P76" s="1">
        <f>SUM(OSRRefP22_13x_0)</f>
        <v>2557.44</v>
      </c>
      <c r="Q76" s="1"/>
      <c r="R76" s="5">
        <f t="shared" ref="R76:R78" si="64">IF(P$12=0,0,P76/P$12)</f>
        <v>2.5556643244273878E-3</v>
      </c>
      <c r="S76" s="1"/>
      <c r="T76" s="1">
        <f>SUM(OSRRefT22_13x_0)</f>
        <v>1377</v>
      </c>
      <c r="U76" s="1"/>
      <c r="V76" s="5">
        <f t="shared" ref="V76:V78" si="65">IF(T$12=0,0,T76/T$12)</f>
        <v>1.2844550160906673E-3</v>
      </c>
      <c r="W76" s="1"/>
      <c r="X76" s="1">
        <f t="shared" ref="X76:X78" si="66">+P76-T76</f>
        <v>1180.44</v>
      </c>
      <c r="Y76" s="1"/>
      <c r="Z76" s="5">
        <f t="shared" ref="Z76:Z78" si="67">IF(T76=0,0,X76/T76)</f>
        <v>0.85725490196078435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60"/>
        <v>0</v>
      </c>
      <c r="G77" s="2"/>
      <c r="H77" s="6"/>
      <c r="I77" s="2"/>
      <c r="J77" s="7">
        <f t="shared" si="61"/>
        <v>0</v>
      </c>
      <c r="K77" s="2"/>
      <c r="L77" s="6">
        <f t="shared" si="62"/>
        <v>0</v>
      </c>
      <c r="M77" s="2"/>
      <c r="N77" s="7">
        <f t="shared" si="63"/>
        <v>0</v>
      </c>
      <c r="O77" s="11"/>
      <c r="P77" s="6">
        <v>978</v>
      </c>
      <c r="Q77" s="2"/>
      <c r="R77" s="7">
        <f t="shared" si="64"/>
        <v>9.7732095739879918E-4</v>
      </c>
      <c r="S77" s="2"/>
      <c r="T77" s="6"/>
      <c r="U77" s="2"/>
      <c r="V77" s="7">
        <f t="shared" si="65"/>
        <v>0</v>
      </c>
      <c r="W77" s="2"/>
      <c r="X77" s="6">
        <f t="shared" si="66"/>
        <v>978</v>
      </c>
      <c r="Y77" s="2"/>
      <c r="Z77" s="7">
        <f t="shared" si="67"/>
        <v>0</v>
      </c>
    </row>
    <row r="78" spans="1:26" s="24" customFormat="1" hidden="1" outlineLevel="2" x14ac:dyDescent="0.25">
      <c r="A78" s="25"/>
      <c r="B78" s="11" t="str">
        <f>CONCATENATE("          ", "6275", " - ", "SUBSCRIPTIONS")</f>
        <v xml:space="preserve">          6275 - SUBSCRIPTIONS</v>
      </c>
      <c r="C78" s="11"/>
      <c r="D78" s="6">
        <v>202.47</v>
      </c>
      <c r="E78" s="2"/>
      <c r="F78" s="7">
        <f t="shared" si="60"/>
        <v>1.3120166324854592E-3</v>
      </c>
      <c r="G78" s="2"/>
      <c r="H78" s="6">
        <v>194</v>
      </c>
      <c r="I78" s="2"/>
      <c r="J78" s="7">
        <f t="shared" si="61"/>
        <v>1.1149425287356322E-3</v>
      </c>
      <c r="K78" s="2"/>
      <c r="L78" s="6">
        <f t="shared" si="62"/>
        <v>8.4699999999999989</v>
      </c>
      <c r="M78" s="2"/>
      <c r="N78" s="7">
        <f t="shared" si="63"/>
        <v>4.3659793814432982E-2</v>
      </c>
      <c r="O78" s="11"/>
      <c r="P78" s="6">
        <v>1579.44</v>
      </c>
      <c r="Q78" s="2"/>
      <c r="R78" s="7">
        <f t="shared" si="64"/>
        <v>1.5783433670285886E-3</v>
      </c>
      <c r="S78" s="2"/>
      <c r="T78" s="6">
        <v>1377</v>
      </c>
      <c r="U78" s="2"/>
      <c r="V78" s="7">
        <f t="shared" si="65"/>
        <v>1.2844550160906673E-3</v>
      </c>
      <c r="W78" s="2"/>
      <c r="X78" s="6">
        <f t="shared" si="66"/>
        <v>202.44000000000005</v>
      </c>
      <c r="Y78" s="2"/>
      <c r="Z78" s="7">
        <f t="shared" si="67"/>
        <v>0.14701525054466236</v>
      </c>
    </row>
    <row r="79" spans="1:26" s="27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SUM(OSRRefD22_14x_0)</f>
        <v>179.96</v>
      </c>
      <c r="E79" s="1"/>
      <c r="F79" s="5">
        <f t="shared" ref="F79:F86" si="68">IF(D$12=0,0,D79/D$12)</f>
        <v>1.1661506059272152E-3</v>
      </c>
      <c r="G79" s="1"/>
      <c r="H79" s="1">
        <f>SUM(OSRRefH22_14x_0)</f>
        <v>1000</v>
      </c>
      <c r="I79" s="1"/>
      <c r="J79" s="5">
        <f t="shared" ref="J79:J86" si="69">IF(H$12=0,0,H79/H$12)</f>
        <v>5.7471264367816091E-3</v>
      </c>
      <c r="K79" s="1"/>
      <c r="L79" s="1">
        <f t="shared" ref="L79:L86" si="70">+D79-H79</f>
        <v>-820.04</v>
      </c>
      <c r="M79" s="1"/>
      <c r="N79" s="5">
        <f t="shared" ref="N79:N86" si="71">IF(H79=0,0,L79/H79)</f>
        <v>-0.82003999999999999</v>
      </c>
      <c r="O79" s="13"/>
      <c r="P79" s="1">
        <f>SUM(OSRRefP22_14x_0)</f>
        <v>8081.23</v>
      </c>
      <c r="Q79" s="1"/>
      <c r="R79" s="5">
        <f t="shared" ref="R79:R86" si="72">IF(P$12=0,0,P79/P$12)</f>
        <v>8.0756190598771961E-3</v>
      </c>
      <c r="S79" s="1"/>
      <c r="T79" s="1">
        <f>SUM(OSRRefT22_14x_0)</f>
        <v>12820</v>
      </c>
      <c r="U79" s="1"/>
      <c r="V79" s="5">
        <f t="shared" ref="V79:V86" si="73">IF(T$12=0,0,T79/T$12)</f>
        <v>1.1958397462804906E-2</v>
      </c>
      <c r="W79" s="1"/>
      <c r="X79" s="1">
        <f t="shared" ref="X79:X86" si="74">+P79-T79</f>
        <v>-4738.7700000000004</v>
      </c>
      <c r="Y79" s="1"/>
      <c r="Z79" s="5">
        <f t="shared" ref="Z79:Z86" si="75">IF(T79=0,0,X79/T79)</f>
        <v>-0.3696388455538222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6"/>
      <c r="E80" s="2"/>
      <c r="F80" s="7">
        <f t="shared" si="68"/>
        <v>0</v>
      </c>
      <c r="G80" s="2"/>
      <c r="H80" s="6"/>
      <c r="I80" s="2"/>
      <c r="J80" s="7">
        <f t="shared" si="69"/>
        <v>0</v>
      </c>
      <c r="K80" s="2"/>
      <c r="L80" s="6">
        <f t="shared" si="70"/>
        <v>0</v>
      </c>
      <c r="M80" s="2"/>
      <c r="N80" s="7">
        <f t="shared" si="71"/>
        <v>0</v>
      </c>
      <c r="O80" s="11"/>
      <c r="P80" s="6">
        <v>17.62</v>
      </c>
      <c r="Q80" s="2"/>
      <c r="R80" s="7">
        <f t="shared" si="72"/>
        <v>1.7607766124096979E-5</v>
      </c>
      <c r="S80" s="2"/>
      <c r="T80" s="6">
        <v>2640</v>
      </c>
      <c r="U80" s="2"/>
      <c r="V80" s="7">
        <f t="shared" si="73"/>
        <v>2.4625717084091228E-3</v>
      </c>
      <c r="W80" s="2"/>
      <c r="X80" s="6">
        <f t="shared" si="74"/>
        <v>-2622.38</v>
      </c>
      <c r="Y80" s="2"/>
      <c r="Z80" s="7">
        <f t="shared" si="75"/>
        <v>-0.99332575757575758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6"/>
      <c r="E81" s="2"/>
      <c r="F81" s="7">
        <f t="shared" si="68"/>
        <v>0</v>
      </c>
      <c r="G81" s="2"/>
      <c r="H81" s="6">
        <v>400</v>
      </c>
      <c r="I81" s="2"/>
      <c r="J81" s="7">
        <f t="shared" si="69"/>
        <v>2.2988505747126436E-3</v>
      </c>
      <c r="K81" s="2"/>
      <c r="L81" s="6">
        <f t="shared" si="70"/>
        <v>-400</v>
      </c>
      <c r="M81" s="2"/>
      <c r="N81" s="7">
        <f t="shared" si="71"/>
        <v>-1</v>
      </c>
      <c r="O81" s="11"/>
      <c r="P81" s="6">
        <v>788.08</v>
      </c>
      <c r="Q81" s="2"/>
      <c r="R81" s="7">
        <f t="shared" si="72"/>
        <v>7.8753282219513887E-4</v>
      </c>
      <c r="S81" s="2"/>
      <c r="T81" s="6">
        <v>925</v>
      </c>
      <c r="U81" s="2"/>
      <c r="V81" s="7">
        <f t="shared" si="73"/>
        <v>8.6283289025698424E-4</v>
      </c>
      <c r="W81" s="2"/>
      <c r="X81" s="6">
        <f t="shared" si="74"/>
        <v>-136.91999999999996</v>
      </c>
      <c r="Y81" s="2"/>
      <c r="Z81" s="7">
        <f t="shared" si="75"/>
        <v>-0.14802162162162158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6">
        <v>12.68</v>
      </c>
      <c r="E82" s="2"/>
      <c r="F82" s="7">
        <f t="shared" si="68"/>
        <v>8.2167090926634184E-5</v>
      </c>
      <c r="G82" s="2"/>
      <c r="H82" s="6">
        <v>50</v>
      </c>
      <c r="I82" s="2"/>
      <c r="J82" s="7">
        <f t="shared" si="69"/>
        <v>2.8735632183908046E-4</v>
      </c>
      <c r="K82" s="2"/>
      <c r="L82" s="6">
        <f t="shared" si="70"/>
        <v>-37.32</v>
      </c>
      <c r="M82" s="2"/>
      <c r="N82" s="7">
        <f t="shared" si="71"/>
        <v>-0.74639999999999995</v>
      </c>
      <c r="O82" s="11"/>
      <c r="P82" s="6">
        <v>1644.82</v>
      </c>
      <c r="Q82" s="2"/>
      <c r="R82" s="7">
        <f t="shared" si="72"/>
        <v>1.6436779725446757E-3</v>
      </c>
      <c r="S82" s="2"/>
      <c r="T82" s="6">
        <v>1030</v>
      </c>
      <c r="U82" s="2"/>
      <c r="V82" s="7">
        <f t="shared" si="73"/>
        <v>9.6077608320507444E-4</v>
      </c>
      <c r="W82" s="2"/>
      <c r="X82" s="6">
        <f t="shared" si="74"/>
        <v>614.81999999999994</v>
      </c>
      <c r="Y82" s="2"/>
      <c r="Z82" s="7">
        <f t="shared" si="75"/>
        <v>0.59691262135922329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6">
        <v>107.28</v>
      </c>
      <c r="E83" s="2"/>
      <c r="F83" s="7">
        <f t="shared" si="68"/>
        <v>6.9518024563164946E-4</v>
      </c>
      <c r="G83" s="2"/>
      <c r="H83" s="6">
        <v>550</v>
      </c>
      <c r="I83" s="2"/>
      <c r="J83" s="7">
        <f t="shared" si="69"/>
        <v>3.160919540229885E-3</v>
      </c>
      <c r="K83" s="2"/>
      <c r="L83" s="6">
        <f t="shared" si="70"/>
        <v>-442.72</v>
      </c>
      <c r="M83" s="2"/>
      <c r="N83" s="7">
        <f t="shared" si="71"/>
        <v>-0.80494545454545463</v>
      </c>
      <c r="O83" s="11"/>
      <c r="P83" s="6">
        <v>3383.81</v>
      </c>
      <c r="Q83" s="2"/>
      <c r="R83" s="7">
        <f t="shared" si="72"/>
        <v>3.3814605612020768E-3</v>
      </c>
      <c r="S83" s="2"/>
      <c r="T83" s="6">
        <v>5625</v>
      </c>
      <c r="U83" s="2"/>
      <c r="V83" s="7">
        <f t="shared" si="73"/>
        <v>5.2469567650762555E-3</v>
      </c>
      <c r="W83" s="2"/>
      <c r="X83" s="6">
        <f t="shared" si="74"/>
        <v>-2241.19</v>
      </c>
      <c r="Y83" s="2"/>
      <c r="Z83" s="7">
        <f t="shared" si="75"/>
        <v>-0.39843377777777778</v>
      </c>
    </row>
    <row r="84" spans="1:26" s="24" customFormat="1" hidden="1" outlineLevel="2" x14ac:dyDescent="0.25">
      <c r="A84" s="25"/>
      <c r="B84" s="11" t="str">
        <f>CONCATENATE("          ", "6245", " - ", "PRINTING")</f>
        <v xml:space="preserve">          6245 - PRINTING</v>
      </c>
      <c r="C84" s="11"/>
      <c r="D84" s="6"/>
      <c r="E84" s="2"/>
      <c r="F84" s="7">
        <f t="shared" si="68"/>
        <v>0</v>
      </c>
      <c r="G84" s="2"/>
      <c r="H84" s="6"/>
      <c r="I84" s="2"/>
      <c r="J84" s="7">
        <f t="shared" si="69"/>
        <v>0</v>
      </c>
      <c r="K84" s="2"/>
      <c r="L84" s="6">
        <f t="shared" si="70"/>
        <v>0</v>
      </c>
      <c r="M84" s="2"/>
      <c r="N84" s="7">
        <f t="shared" si="71"/>
        <v>0</v>
      </c>
      <c r="O84" s="11"/>
      <c r="P84" s="6">
        <v>22.05</v>
      </c>
      <c r="Q84" s="2"/>
      <c r="R84" s="7">
        <f t="shared" si="72"/>
        <v>2.2034690297181517E-5</v>
      </c>
      <c r="S84" s="2"/>
      <c r="T84" s="6"/>
      <c r="U84" s="2"/>
      <c r="V84" s="7">
        <f t="shared" si="73"/>
        <v>0</v>
      </c>
      <c r="W84" s="2"/>
      <c r="X84" s="6">
        <f t="shared" si="74"/>
        <v>22.05</v>
      </c>
      <c r="Y84" s="2"/>
      <c r="Z84" s="7">
        <f t="shared" si="75"/>
        <v>0</v>
      </c>
    </row>
    <row r="85" spans="1:26" s="24" customFormat="1" hidden="1" outlineLevel="2" x14ac:dyDescent="0.25">
      <c r="A85" s="25"/>
      <c r="B85" s="11" t="str">
        <f>CONCATENATE("          ", "6247", " - ", "STORE SUPPLIES")</f>
        <v xml:space="preserve">          6247 - STORE SUPPLIES</v>
      </c>
      <c r="C85" s="11"/>
      <c r="D85" s="6">
        <v>60</v>
      </c>
      <c r="E85" s="2"/>
      <c r="F85" s="7">
        <f t="shared" si="68"/>
        <v>3.8880326936893147E-4</v>
      </c>
      <c r="G85" s="2"/>
      <c r="H85" s="6"/>
      <c r="I85" s="2"/>
      <c r="J85" s="7">
        <f t="shared" si="69"/>
        <v>0</v>
      </c>
      <c r="K85" s="2"/>
      <c r="L85" s="6">
        <f t="shared" si="70"/>
        <v>60</v>
      </c>
      <c r="M85" s="2"/>
      <c r="N85" s="7">
        <f t="shared" si="71"/>
        <v>0</v>
      </c>
      <c r="O85" s="11"/>
      <c r="P85" s="6">
        <v>1444.61</v>
      </c>
      <c r="Q85" s="2"/>
      <c r="R85" s="7">
        <f t="shared" si="72"/>
        <v>1.4436069818689972E-3</v>
      </c>
      <c r="S85" s="2"/>
      <c r="T85" s="6">
        <v>1000</v>
      </c>
      <c r="U85" s="2"/>
      <c r="V85" s="7">
        <f t="shared" si="73"/>
        <v>9.3279231379133438E-4</v>
      </c>
      <c r="W85" s="2"/>
      <c r="X85" s="6">
        <f t="shared" si="74"/>
        <v>444.6099999999999</v>
      </c>
      <c r="Y85" s="2"/>
      <c r="Z85" s="7">
        <f t="shared" si="75"/>
        <v>0.44460999999999989</v>
      </c>
    </row>
    <row r="86" spans="1:26" s="24" customFormat="1" hidden="1" outlineLevel="2" x14ac:dyDescent="0.25">
      <c r="A86" s="25"/>
      <c r="B86" s="11" t="str">
        <f>CONCATENATE("          ", "6248", " - ", "UNIFORMS")</f>
        <v xml:space="preserve">          6248 - UNIFORMS</v>
      </c>
      <c r="C86" s="11"/>
      <c r="D86" s="6"/>
      <c r="E86" s="2"/>
      <c r="F86" s="7">
        <f t="shared" si="68"/>
        <v>0</v>
      </c>
      <c r="G86" s="2"/>
      <c r="H86" s="6"/>
      <c r="I86" s="2"/>
      <c r="J86" s="7">
        <f t="shared" si="69"/>
        <v>0</v>
      </c>
      <c r="K86" s="2"/>
      <c r="L86" s="6">
        <f t="shared" si="70"/>
        <v>0</v>
      </c>
      <c r="M86" s="2"/>
      <c r="N86" s="7">
        <f t="shared" si="71"/>
        <v>0</v>
      </c>
      <c r="O86" s="11"/>
      <c r="P86" s="6">
        <v>780.24</v>
      </c>
      <c r="Q86" s="2"/>
      <c r="R86" s="7">
        <f t="shared" si="72"/>
        <v>7.7969826564502985E-4</v>
      </c>
      <c r="S86" s="2"/>
      <c r="T86" s="6">
        <v>1600</v>
      </c>
      <c r="U86" s="2"/>
      <c r="V86" s="7">
        <f t="shared" si="73"/>
        <v>1.492467702066135E-3</v>
      </c>
      <c r="W86" s="2"/>
      <c r="X86" s="6">
        <f t="shared" si="74"/>
        <v>-819.76</v>
      </c>
      <c r="Y86" s="2"/>
      <c r="Z86" s="7">
        <f t="shared" si="75"/>
        <v>-0.51234999999999997</v>
      </c>
    </row>
    <row r="87" spans="1:26" s="27" customFormat="1" outlineLevel="1" collapsed="1" x14ac:dyDescent="0.25">
      <c r="A87" s="26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SUM(OSRRefD22_15x_0)</f>
        <v>158.4</v>
      </c>
      <c r="E87" s="1"/>
      <c r="F87" s="5">
        <f t="shared" ref="F87:F92" si="76">IF(D$12=0,0,D87/D$12)</f>
        <v>1.0264406311339791E-3</v>
      </c>
      <c r="G87" s="1"/>
      <c r="H87" s="1">
        <f>SUM(OSRRefH22_15x_0)</f>
        <v>160</v>
      </c>
      <c r="I87" s="1"/>
      <c r="J87" s="5">
        <f t="shared" ref="J87:J92" si="77">IF(H$12=0,0,H87/H$12)</f>
        <v>9.1954022988505744E-4</v>
      </c>
      <c r="K87" s="1"/>
      <c r="L87" s="1">
        <f t="shared" ref="L87:L92" si="78">+D87-H87</f>
        <v>-1.5999999999999943</v>
      </c>
      <c r="M87" s="1"/>
      <c r="N87" s="5">
        <f t="shared" ref="N87:N92" si="79">IF(H87=0,0,L87/H87)</f>
        <v>-9.9999999999999638E-3</v>
      </c>
      <c r="O87" s="13"/>
      <c r="P87" s="1">
        <f>SUM(OSRRefP22_15x_0)</f>
        <v>1168.5999999999999</v>
      </c>
      <c r="Q87" s="1"/>
      <c r="R87" s="5">
        <f t="shared" ref="R87:R92" si="80">IF(P$12=0,0,P87/P$12)</f>
        <v>1.1677886204664997E-3</v>
      </c>
      <c r="S87" s="1"/>
      <c r="T87" s="1">
        <f>SUM(OSRRefT22_15x_0)</f>
        <v>1280</v>
      </c>
      <c r="U87" s="1"/>
      <c r="V87" s="5">
        <f t="shared" ref="V87:V92" si="81">IF(T$12=0,0,T87/T$12)</f>
        <v>1.1939741616529081E-3</v>
      </c>
      <c r="W87" s="1"/>
      <c r="X87" s="1">
        <f t="shared" ref="X87:X92" si="82">+P87-T87</f>
        <v>-111.40000000000009</v>
      </c>
      <c r="Y87" s="1"/>
      <c r="Z87" s="5">
        <f t="shared" ref="Z87:Z92" si="83">IF(T87=0,0,X87/T87)</f>
        <v>-8.7031250000000074E-2</v>
      </c>
    </row>
    <row r="88" spans="1:26" s="24" customFormat="1" hidden="1" outlineLevel="2" x14ac:dyDescent="0.25">
      <c r="A88" s="25"/>
      <c r="B88" s="11" t="str">
        <f>CONCATENATE("          ", "6309", " - ", "TELEPHONE")</f>
        <v xml:space="preserve">          6309 - TELEPHONE</v>
      </c>
      <c r="C88" s="11"/>
      <c r="D88" s="6">
        <v>158.4</v>
      </c>
      <c r="E88" s="2"/>
      <c r="F88" s="7">
        <f t="shared" si="76"/>
        <v>1.0264406311339791E-3</v>
      </c>
      <c r="G88" s="2"/>
      <c r="H88" s="6">
        <v>160</v>
      </c>
      <c r="I88" s="2"/>
      <c r="J88" s="7">
        <f t="shared" si="77"/>
        <v>9.1954022988505744E-4</v>
      </c>
      <c r="K88" s="2"/>
      <c r="L88" s="6">
        <f t="shared" si="78"/>
        <v>-1.5999999999999943</v>
      </c>
      <c r="M88" s="2"/>
      <c r="N88" s="7">
        <f t="shared" si="79"/>
        <v>-9.9999999999999638E-3</v>
      </c>
      <c r="O88" s="11"/>
      <c r="P88" s="6">
        <v>1168.5999999999999</v>
      </c>
      <c r="Q88" s="2"/>
      <c r="R88" s="7">
        <f t="shared" si="80"/>
        <v>1.1677886204664997E-3</v>
      </c>
      <c r="S88" s="2"/>
      <c r="T88" s="6">
        <v>1280</v>
      </c>
      <c r="U88" s="2"/>
      <c r="V88" s="7">
        <f t="shared" si="81"/>
        <v>1.1939741616529081E-3</v>
      </c>
      <c r="W88" s="2"/>
      <c r="X88" s="6">
        <f t="shared" si="82"/>
        <v>-111.40000000000009</v>
      </c>
      <c r="Y88" s="2"/>
      <c r="Z88" s="7">
        <f t="shared" si="83"/>
        <v>-8.7031250000000074E-2</v>
      </c>
    </row>
    <row r="89" spans="1:26" s="27" customFormat="1" outlineLevel="1" collapsed="1" x14ac:dyDescent="0.25">
      <c r="A89" s="26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SUM(OSRRefD22_16x_0)</f>
        <v>0</v>
      </c>
      <c r="E89" s="1"/>
      <c r="F89" s="5">
        <f t="shared" si="76"/>
        <v>0</v>
      </c>
      <c r="G89" s="1"/>
      <c r="H89" s="1">
        <f>SUM(OSRRefH22_16x_0)</f>
        <v>0</v>
      </c>
      <c r="I89" s="1"/>
      <c r="J89" s="5">
        <f t="shared" si="77"/>
        <v>0</v>
      </c>
      <c r="K89" s="1"/>
      <c r="L89" s="1">
        <f t="shared" si="78"/>
        <v>0</v>
      </c>
      <c r="M89" s="1"/>
      <c r="N89" s="5">
        <f t="shared" si="79"/>
        <v>0</v>
      </c>
      <c r="O89" s="13"/>
      <c r="P89" s="1">
        <f>SUM(OSRRefP22_16x_0)</f>
        <v>279.95</v>
      </c>
      <c r="Q89" s="1"/>
      <c r="R89" s="5">
        <f t="shared" si="80"/>
        <v>2.7975562579120024E-4</v>
      </c>
      <c r="S89" s="1"/>
      <c r="T89" s="1">
        <f>SUM(OSRRefT22_16x_0)</f>
        <v>320</v>
      </c>
      <c r="U89" s="1"/>
      <c r="V89" s="5">
        <f t="shared" si="81"/>
        <v>2.9849354041322702E-4</v>
      </c>
      <c r="W89" s="1"/>
      <c r="X89" s="1">
        <f t="shared" si="82"/>
        <v>-40.050000000000011</v>
      </c>
      <c r="Y89" s="1"/>
      <c r="Z89" s="5">
        <f t="shared" si="83"/>
        <v>-0.12515625000000002</v>
      </c>
    </row>
    <row r="90" spans="1:26" s="24" customFormat="1" hidden="1" outlineLevel="2" x14ac:dyDescent="0.25">
      <c r="A90" s="25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76"/>
        <v>0</v>
      </c>
      <c r="G90" s="2"/>
      <c r="H90" s="6"/>
      <c r="I90" s="2"/>
      <c r="J90" s="7">
        <f t="shared" si="77"/>
        <v>0</v>
      </c>
      <c r="K90" s="2"/>
      <c r="L90" s="6">
        <f t="shared" si="78"/>
        <v>0</v>
      </c>
      <c r="M90" s="2"/>
      <c r="N90" s="7">
        <f t="shared" si="79"/>
        <v>0</v>
      </c>
      <c r="O90" s="11"/>
      <c r="P90" s="6">
        <v>279.95</v>
      </c>
      <c r="Q90" s="2"/>
      <c r="R90" s="7">
        <f t="shared" si="80"/>
        <v>2.7975562579120024E-4</v>
      </c>
      <c r="S90" s="2"/>
      <c r="T90" s="6">
        <v>320</v>
      </c>
      <c r="U90" s="2"/>
      <c r="V90" s="7">
        <f t="shared" si="81"/>
        <v>2.9849354041322702E-4</v>
      </c>
      <c r="W90" s="2"/>
      <c r="X90" s="6">
        <f t="shared" si="82"/>
        <v>-40.050000000000011</v>
      </c>
      <c r="Y90" s="2"/>
      <c r="Z90" s="7">
        <f t="shared" si="83"/>
        <v>-0.12515625000000002</v>
      </c>
    </row>
    <row r="91" spans="1:26" s="27" customFormat="1" outlineLevel="1" collapsed="1" x14ac:dyDescent="0.25">
      <c r="A91" s="26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SUM(OSRRefD22_17x_0)</f>
        <v>0</v>
      </c>
      <c r="E91" s="1"/>
      <c r="F91" s="5">
        <f t="shared" si="76"/>
        <v>0</v>
      </c>
      <c r="G91" s="1"/>
      <c r="H91" s="1">
        <f>SUM(OSRRefH22_17x_0)</f>
        <v>0</v>
      </c>
      <c r="I91" s="1"/>
      <c r="J91" s="5">
        <f t="shared" si="77"/>
        <v>0</v>
      </c>
      <c r="K91" s="1"/>
      <c r="L91" s="1">
        <f t="shared" si="78"/>
        <v>0</v>
      </c>
      <c r="M91" s="1"/>
      <c r="N91" s="5">
        <f t="shared" si="79"/>
        <v>0</v>
      </c>
      <c r="O91" s="13"/>
      <c r="P91" s="1">
        <f>SUM(OSRRefP22_17x_0)</f>
        <v>0</v>
      </c>
      <c r="Q91" s="1"/>
      <c r="R91" s="5">
        <f t="shared" si="80"/>
        <v>0</v>
      </c>
      <c r="S91" s="1"/>
      <c r="T91" s="1">
        <f>SUM(OSRRefT22_17x_0)</f>
        <v>2000</v>
      </c>
      <c r="U91" s="1"/>
      <c r="V91" s="5">
        <f t="shared" si="81"/>
        <v>1.8655846275826688E-3</v>
      </c>
      <c r="W91" s="1"/>
      <c r="X91" s="1">
        <f t="shared" si="82"/>
        <v>-2000</v>
      </c>
      <c r="Y91" s="1"/>
      <c r="Z91" s="5">
        <f t="shared" si="83"/>
        <v>-1</v>
      </c>
    </row>
    <row r="92" spans="1:26" s="24" customFormat="1" hidden="1" outlineLevel="2" x14ac:dyDescent="0.25">
      <c r="A92" s="25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76"/>
        <v>0</v>
      </c>
      <c r="G92" s="2"/>
      <c r="H92" s="6"/>
      <c r="I92" s="2"/>
      <c r="J92" s="7">
        <f t="shared" si="77"/>
        <v>0</v>
      </c>
      <c r="K92" s="2"/>
      <c r="L92" s="6">
        <f t="shared" si="78"/>
        <v>0</v>
      </c>
      <c r="M92" s="2"/>
      <c r="N92" s="7">
        <f t="shared" si="79"/>
        <v>0</v>
      </c>
      <c r="O92" s="11"/>
      <c r="P92" s="6"/>
      <c r="Q92" s="2"/>
      <c r="R92" s="7">
        <f t="shared" si="80"/>
        <v>0</v>
      </c>
      <c r="S92" s="2"/>
      <c r="T92" s="6">
        <v>2000</v>
      </c>
      <c r="U92" s="2"/>
      <c r="V92" s="7">
        <f t="shared" si="81"/>
        <v>1.8655846275826688E-3</v>
      </c>
      <c r="W92" s="2"/>
      <c r="X92" s="6">
        <f t="shared" si="82"/>
        <v>-2000</v>
      </c>
      <c r="Y92" s="2"/>
      <c r="Z92" s="7">
        <f t="shared" si="83"/>
        <v>-1</v>
      </c>
    </row>
    <row r="93" spans="1:26" s="53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9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1">
        <f>+D23-D25+D94</f>
        <v>36266.640000000014</v>
      </c>
      <c r="E96" s="14"/>
      <c r="F96" s="22">
        <f>IF(D$12=0,0,D96/D$12)</f>
        <v>0.2350098033504345</v>
      </c>
      <c r="G96" s="14"/>
      <c r="H96" s="21">
        <f>+H23-H25+H94</f>
        <v>49265.329456076928</v>
      </c>
      <c r="I96" s="14"/>
      <c r="J96" s="22">
        <f>IF(H$12=0,0,H96/H$12)</f>
        <v>0.28313407733377544</v>
      </c>
      <c r="K96" s="15"/>
      <c r="L96" s="21">
        <f>+D96-H96</f>
        <v>-12998.689456076914</v>
      </c>
      <c r="M96" s="15"/>
      <c r="N96" s="22">
        <f>IF(H96=0,0,L96/H96)</f>
        <v>-0.26385065520907652</v>
      </c>
      <c r="O96" s="29"/>
      <c r="P96" s="21">
        <f>+P23-P25+P94</f>
        <v>167739.48000000004</v>
      </c>
      <c r="Q96" s="14"/>
      <c r="R96" s="22">
        <f>IF(P$12=0,0,P96/P$12)</f>
        <v>0.16762301552881062</v>
      </c>
      <c r="S96" s="14"/>
      <c r="T96" s="21">
        <f>+T23-T25+T94</f>
        <v>231499.58794905758</v>
      </c>
      <c r="U96" s="14"/>
      <c r="V96" s="22">
        <f>IF(T$12=0,0,T96/T$12)</f>
        <v>0.21594103628474193</v>
      </c>
      <c r="W96" s="15"/>
      <c r="X96" s="21">
        <f>+P96-T96</f>
        <v>-63760.107949057536</v>
      </c>
      <c r="Y96" s="15"/>
      <c r="Z96" s="22">
        <f>IF(T96=0,0,X96/T96)</f>
        <v>-0.27542212283802514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13725.65</v>
      </c>
      <c r="E98" s="4"/>
      <c r="F98" s="12">
        <f>IF(D$12=0,0,D98/D$12)</f>
        <v>8.8942959903561228E-2</v>
      </c>
      <c r="G98" s="4"/>
      <c r="H98" s="4">
        <v>18343</v>
      </c>
      <c r="I98" s="4"/>
      <c r="J98" s="12">
        <f>IF(H$12=0,0,H98/H$12)</f>
        <v>0.10541954022988506</v>
      </c>
      <c r="K98" s="4"/>
      <c r="L98" s="4">
        <f>+D98-H98</f>
        <v>-4617.3500000000004</v>
      </c>
      <c r="M98" s="4"/>
      <c r="N98" s="12">
        <f>IF(H98=0,0,L98/H98)</f>
        <v>-0.25172272801613699</v>
      </c>
      <c r="O98" s="10"/>
      <c r="P98" s="4">
        <v>101990.59</v>
      </c>
      <c r="Q98" s="4"/>
      <c r="R98" s="12">
        <f>IF(P$12=0,0,P98/P$12)</f>
        <v>0.10191977613953825</v>
      </c>
      <c r="S98" s="4"/>
      <c r="T98" s="4">
        <v>128916</v>
      </c>
      <c r="U98" s="4"/>
      <c r="V98" s="12">
        <f>IF(T$12=0,0,T98/T$12)</f>
        <v>0.12025185392472366</v>
      </c>
      <c r="W98" s="4"/>
      <c r="X98" s="4">
        <f>+P98-T98</f>
        <v>-26925.410000000003</v>
      </c>
      <c r="Y98" s="4"/>
      <c r="Z98" s="12">
        <f>IF(T98=0,0,X98/T98)</f>
        <v>-0.20886011045952405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1">
        <f>+D96-D98</f>
        <v>22540.990000000013</v>
      </c>
      <c r="E100" s="14"/>
      <c r="F100" s="32">
        <f>IF(D$12=0,0,D100/D$12)</f>
        <v>0.14606684344687326</v>
      </c>
      <c r="G100" s="14"/>
      <c r="H100" s="31">
        <f>+H96-H98</f>
        <v>30922.329456076928</v>
      </c>
      <c r="I100" s="14"/>
      <c r="J100" s="32">
        <f>IF(H$12=0,0,H100/H$12)</f>
        <v>0.1777145371038904</v>
      </c>
      <c r="K100" s="15"/>
      <c r="L100" s="31">
        <f>D100-H100</f>
        <v>-8381.3394560769157</v>
      </c>
      <c r="M100" s="15"/>
      <c r="N100" s="32">
        <f>IF(H100=0,0,L100/H100)</f>
        <v>-0.27104489226731898</v>
      </c>
      <c r="O100" s="29"/>
      <c r="P100" s="31">
        <f>+P96-P98</f>
        <v>65748.890000000043</v>
      </c>
      <c r="Q100" s="14"/>
      <c r="R100" s="32">
        <f>IF(P$12=0,0,P100/P$12)</f>
        <v>6.5703239389272375E-2</v>
      </c>
      <c r="S100" s="14"/>
      <c r="T100" s="31">
        <f>+T96-T98</f>
        <v>102583.58794905758</v>
      </c>
      <c r="U100" s="14"/>
      <c r="V100" s="32">
        <f>IF(T$12=0,0,T100/T$12)</f>
        <v>9.5689182360018263E-2</v>
      </c>
      <c r="W100" s="15"/>
      <c r="X100" s="31">
        <f>P100-T100</f>
        <v>-36834.697949057532</v>
      </c>
      <c r="Y100" s="15"/>
      <c r="Z100" s="32">
        <f>IF(T100=0,0,X100/T100)</f>
        <v>-0.35907008796913431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3">
        <f>SUM(D100:D102)</f>
        <v>22540.990000000013</v>
      </c>
      <c r="E103" s="14"/>
      <c r="F103" s="30">
        <f>IF(D$12=0,0,D103/D$12)</f>
        <v>0.14606684344687326</v>
      </c>
      <c r="G103" s="14"/>
      <c r="H103" s="33">
        <f>SUM(H100:H102)</f>
        <v>30922.329456076928</v>
      </c>
      <c r="I103" s="14"/>
      <c r="J103" s="30">
        <f>IF(H$12=0,0,H103/H$12)</f>
        <v>0.1777145371038904</v>
      </c>
      <c r="K103" s="15"/>
      <c r="L103" s="33">
        <f>+D103-H103</f>
        <v>-8381.3394560769157</v>
      </c>
      <c r="M103" s="15"/>
      <c r="N103" s="30">
        <f>IF(H103=0,0,L103/H103)</f>
        <v>-0.27104489226731898</v>
      </c>
      <c r="O103" s="29"/>
      <c r="P103" s="33">
        <f>SUM(P100:P102)</f>
        <v>65748.890000000043</v>
      </c>
      <c r="Q103" s="14"/>
      <c r="R103" s="30">
        <f>IF(P$12=0,0,P103/P$12)</f>
        <v>6.5703239389272375E-2</v>
      </c>
      <c r="S103" s="14"/>
      <c r="T103" s="33">
        <f>SUM(T100:T102)</f>
        <v>102583.58794905758</v>
      </c>
      <c r="U103" s="14"/>
      <c r="V103" s="30">
        <f>IF(T$12=0,0,T103/T$12)</f>
        <v>9.5689182360018263E-2</v>
      </c>
      <c r="W103" s="15"/>
      <c r="X103" s="33">
        <f>+P103-T103</f>
        <v>-36834.697949057532</v>
      </c>
      <c r="Y103" s="15"/>
      <c r="Z103" s="30">
        <f>IF(T103=0,0,X103/T103)</f>
        <v>-0.35907008796913431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9">
        <v>43908.495233449074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3" t="s">
        <v>314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7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","423", " - ", "Contract Revenue")</f>
        <v>Department 423 - Contract Revenue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D12-D14</f>
        <v>0</v>
      </c>
      <c r="E17" s="14"/>
      <c r="F17" s="22">
        <f>IF(D$12=0,0,D17/D$12)</f>
        <v>0</v>
      </c>
      <c r="G17" s="14"/>
      <c r="H17" s="21">
        <f>H12-H14</f>
        <v>0</v>
      </c>
      <c r="I17" s="14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9"/>
      <c r="P17" s="21">
        <f>P12-P14</f>
        <v>805.48</v>
      </c>
      <c r="Q17" s="14"/>
      <c r="R17" s="22">
        <f>IF(P$12=0,0,P17/P$12)</f>
        <v>0</v>
      </c>
      <c r="S17" s="14"/>
      <c r="T17" s="21">
        <f>T12-T14</f>
        <v>0</v>
      </c>
      <c r="U17" s="14"/>
      <c r="V17" s="22">
        <f>IF(T$12=0,0,T17/T$12)</f>
        <v>0</v>
      </c>
      <c r="W17" s="15"/>
      <c r="X17" s="21">
        <f>+P17-T17</f>
        <v>805.48</v>
      </c>
      <c r="Y17" s="15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9262.1</v>
      </c>
      <c r="E19" s="20"/>
      <c r="F19" s="34">
        <f t="shared" ref="F19:F29" si="8">IF(D$12=0,0,D19/D$12)</f>
        <v>0</v>
      </c>
      <c r="G19" s="20"/>
      <c r="H19" s="20">
        <f>SUM(OSRRefH22x_0)</f>
        <v>6331.7953308384567</v>
      </c>
      <c r="I19" s="20"/>
      <c r="J19" s="34">
        <f t="shared" ref="J19:J29" si="9">IF(H$12=0,0,H19/H$12)</f>
        <v>0</v>
      </c>
      <c r="K19" s="4"/>
      <c r="L19" s="20">
        <f t="shared" ref="L19:L29" si="10">+D19-H19</f>
        <v>2930.3046691615436</v>
      </c>
      <c r="M19" s="4"/>
      <c r="N19" s="34">
        <f t="shared" ref="N19:N29" si="11">IF(H19=0,0,L19/H19)</f>
        <v>0.46279207018738439</v>
      </c>
      <c r="O19" s="10"/>
      <c r="P19" s="20">
        <f>SUM(OSRRefP22x_0)</f>
        <v>87121.62</v>
      </c>
      <c r="Q19" s="20"/>
      <c r="R19" s="34">
        <f t="shared" ref="R19:R29" si="12">IF(P$12=0,0,P19/P$12)</f>
        <v>0</v>
      </c>
      <c r="S19" s="20"/>
      <c r="T19" s="20">
        <f>SUM(OSRRefT22x_0)</f>
        <v>58783.58414483651</v>
      </c>
      <c r="U19" s="20"/>
      <c r="V19" s="34">
        <f t="shared" ref="V19:V29" si="13">IF(T$12=0,0,T19/T$12)</f>
        <v>0</v>
      </c>
      <c r="W19" s="4"/>
      <c r="X19" s="20">
        <f t="shared" ref="X19:X29" si="14">+P19-T19</f>
        <v>28338.035855163485</v>
      </c>
      <c r="Y19" s="4"/>
      <c r="Z19" s="34">
        <f t="shared" ref="Z19:Z29" si="15">IF(T19=0,0,X19/T19)</f>
        <v>0.48207397128663632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2789.3199999999997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649.18905377692272</v>
      </c>
      <c r="M20" s="1"/>
      <c r="N20" s="5">
        <f t="shared" si="11"/>
        <v>0.30334080955308723</v>
      </c>
      <c r="O20" s="13"/>
      <c r="P20" s="1">
        <f>SUM(OSRRefP22_0x_0)</f>
        <v>33315.369999999995</v>
      </c>
      <c r="Q20" s="1"/>
      <c r="R20" s="5">
        <f t="shared" si="12"/>
        <v>0</v>
      </c>
      <c r="S20" s="1"/>
      <c r="T20" s="1">
        <f>SUM(OSRRefT22_0x_0)</f>
        <v>18095.770779451923</v>
      </c>
      <c r="U20" s="1"/>
      <c r="V20" s="5">
        <f t="shared" si="13"/>
        <v>0</v>
      </c>
      <c r="W20" s="1"/>
      <c r="X20" s="1">
        <f t="shared" si="14"/>
        <v>15219.599220548072</v>
      </c>
      <c r="Y20" s="1"/>
      <c r="Z20" s="5">
        <f t="shared" si="15"/>
        <v>0.84105835590215394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384.92</v>
      </c>
      <c r="E21" s="2"/>
      <c r="F21" s="7">
        <f t="shared" si="8"/>
        <v>0</v>
      </c>
      <c r="G21" s="2"/>
      <c r="H21" s="6">
        <v>350.05369483846198</v>
      </c>
      <c r="I21" s="2"/>
      <c r="J21" s="7">
        <f t="shared" si="9"/>
        <v>0</v>
      </c>
      <c r="K21" s="2"/>
      <c r="L21" s="6">
        <f t="shared" si="10"/>
        <v>34.866305161538037</v>
      </c>
      <c r="M21" s="2"/>
      <c r="N21" s="7">
        <f t="shared" si="11"/>
        <v>9.9602734310882401E-2</v>
      </c>
      <c r="O21" s="11"/>
      <c r="P21" s="6">
        <v>4559.1499999999996</v>
      </c>
      <c r="Q21" s="2"/>
      <c r="R21" s="7">
        <f t="shared" si="12"/>
        <v>0</v>
      </c>
      <c r="S21" s="2"/>
      <c r="T21" s="6">
        <v>3062.9698298365411</v>
      </c>
      <c r="U21" s="2"/>
      <c r="V21" s="7">
        <f t="shared" si="13"/>
        <v>0</v>
      </c>
      <c r="W21" s="2"/>
      <c r="X21" s="6">
        <f t="shared" si="14"/>
        <v>1496.1801701634586</v>
      </c>
      <c r="Y21" s="2"/>
      <c r="Z21" s="7">
        <f t="shared" si="15"/>
        <v>0.48847368837560634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17.11</v>
      </c>
      <c r="E22" s="2"/>
      <c r="F22" s="7">
        <f t="shared" si="8"/>
        <v>0</v>
      </c>
      <c r="G22" s="2"/>
      <c r="H22" s="6">
        <v>86.907359230769202</v>
      </c>
      <c r="I22" s="2"/>
      <c r="J22" s="7">
        <f t="shared" si="9"/>
        <v>0</v>
      </c>
      <c r="K22" s="2"/>
      <c r="L22" s="6">
        <f t="shared" si="10"/>
        <v>-69.797359230769203</v>
      </c>
      <c r="M22" s="2"/>
      <c r="N22" s="7">
        <f t="shared" si="11"/>
        <v>-0.80312369226906311</v>
      </c>
      <c r="O22" s="11"/>
      <c r="P22" s="6">
        <v>159.32</v>
      </c>
      <c r="Q22" s="2"/>
      <c r="R22" s="7">
        <f t="shared" si="12"/>
        <v>0</v>
      </c>
      <c r="S22" s="2"/>
      <c r="T22" s="6">
        <v>760.43939326923203</v>
      </c>
      <c r="U22" s="2"/>
      <c r="V22" s="7">
        <f t="shared" si="13"/>
        <v>0</v>
      </c>
      <c r="W22" s="2"/>
      <c r="X22" s="6">
        <f t="shared" si="14"/>
        <v>-601.11939326923198</v>
      </c>
      <c r="Y22" s="2"/>
      <c r="Z22" s="7">
        <f t="shared" si="15"/>
        <v>-0.79048954931824111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1016.65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326.14999999999998</v>
      </c>
      <c r="M23" s="2"/>
      <c r="N23" s="7">
        <f t="shared" si="11"/>
        <v>0.47233888486603909</v>
      </c>
      <c r="O23" s="11"/>
      <c r="P23" s="6">
        <v>8101.88</v>
      </c>
      <c r="Q23" s="2"/>
      <c r="R23" s="7">
        <f t="shared" si="12"/>
        <v>0</v>
      </c>
      <c r="S23" s="2"/>
      <c r="T23" s="6">
        <v>5524</v>
      </c>
      <c r="U23" s="2"/>
      <c r="V23" s="7">
        <f t="shared" si="13"/>
        <v>0</v>
      </c>
      <c r="W23" s="2"/>
      <c r="X23" s="6">
        <f t="shared" si="14"/>
        <v>2577.88</v>
      </c>
      <c r="Y23" s="2"/>
      <c r="Z23" s="7">
        <f t="shared" si="15"/>
        <v>0.46666908037653876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13.08</v>
      </c>
      <c r="E24" s="2"/>
      <c r="F24" s="7">
        <f t="shared" si="8"/>
        <v>0</v>
      </c>
      <c r="G24" s="2"/>
      <c r="H24" s="6">
        <v>11.892586</v>
      </c>
      <c r="I24" s="2"/>
      <c r="J24" s="7">
        <f t="shared" si="9"/>
        <v>0</v>
      </c>
      <c r="K24" s="2"/>
      <c r="L24" s="6">
        <f t="shared" si="10"/>
        <v>1.1874140000000004</v>
      </c>
      <c r="M24" s="2"/>
      <c r="N24" s="7">
        <f t="shared" si="11"/>
        <v>9.9844894962289987E-2</v>
      </c>
      <c r="O24" s="11"/>
      <c r="P24" s="6">
        <v>134.31</v>
      </c>
      <c r="Q24" s="2"/>
      <c r="R24" s="7">
        <f t="shared" si="12"/>
        <v>0</v>
      </c>
      <c r="S24" s="2"/>
      <c r="T24" s="6">
        <v>104.06012749999999</v>
      </c>
      <c r="U24" s="2"/>
      <c r="V24" s="7">
        <f t="shared" si="13"/>
        <v>0</v>
      </c>
      <c r="W24" s="2"/>
      <c r="X24" s="6">
        <f t="shared" si="14"/>
        <v>30.249872500000009</v>
      </c>
      <c r="Y24" s="2"/>
      <c r="Z24" s="7">
        <f t="shared" si="15"/>
        <v>0.29069609298720117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514.27</v>
      </c>
      <c r="E25" s="2"/>
      <c r="F25" s="7">
        <f t="shared" si="8"/>
        <v>0</v>
      </c>
      <c r="G25" s="2"/>
      <c r="H25" s="6">
        <v>393.37015230769197</v>
      </c>
      <c r="I25" s="2"/>
      <c r="J25" s="7">
        <f t="shared" si="9"/>
        <v>0</v>
      </c>
      <c r="K25" s="2"/>
      <c r="L25" s="6">
        <f t="shared" si="10"/>
        <v>120.89984769230801</v>
      </c>
      <c r="M25" s="2"/>
      <c r="N25" s="7">
        <f t="shared" si="11"/>
        <v>0.3073437244362679</v>
      </c>
      <c r="O25" s="11"/>
      <c r="P25" s="6">
        <v>5280.61</v>
      </c>
      <c r="Q25" s="2"/>
      <c r="R25" s="7">
        <f t="shared" si="12"/>
        <v>0</v>
      </c>
      <c r="S25" s="2"/>
      <c r="T25" s="6">
        <v>3441.9888326923051</v>
      </c>
      <c r="U25" s="2"/>
      <c r="V25" s="7">
        <f t="shared" si="13"/>
        <v>0</v>
      </c>
      <c r="W25" s="2"/>
      <c r="X25" s="6">
        <f t="shared" si="14"/>
        <v>1838.6211673076946</v>
      </c>
      <c r="Y25" s="2"/>
      <c r="Z25" s="7">
        <f t="shared" si="15"/>
        <v>0.53417406525097144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464.78</v>
      </c>
      <c r="E27" s="2"/>
      <c r="F27" s="7">
        <f t="shared" si="8"/>
        <v>0</v>
      </c>
      <c r="G27" s="2"/>
      <c r="H27" s="6">
        <v>457.40715384615396</v>
      </c>
      <c r="I27" s="2"/>
      <c r="J27" s="7">
        <f t="shared" si="9"/>
        <v>0</v>
      </c>
      <c r="K27" s="2"/>
      <c r="L27" s="6">
        <f t="shared" si="10"/>
        <v>7.3728461538460124</v>
      </c>
      <c r="M27" s="2"/>
      <c r="N27" s="7">
        <f t="shared" si="11"/>
        <v>1.6118781903279596E-2</v>
      </c>
      <c r="O27" s="11"/>
      <c r="P27" s="6">
        <v>5313.37</v>
      </c>
      <c r="Q27" s="2"/>
      <c r="R27" s="7">
        <f t="shared" si="12"/>
        <v>0</v>
      </c>
      <c r="S27" s="2"/>
      <c r="T27" s="6">
        <v>4002.3125961538462</v>
      </c>
      <c r="U27" s="2"/>
      <c r="V27" s="7">
        <f t="shared" si="13"/>
        <v>0</v>
      </c>
      <c r="W27" s="2"/>
      <c r="X27" s="6">
        <f t="shared" si="14"/>
        <v>1311.0574038461536</v>
      </c>
      <c r="Y27" s="2"/>
      <c r="Z27" s="7">
        <f t="shared" si="15"/>
        <v>0.32757496381118689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232.08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232.08</v>
      </c>
      <c r="M28" s="2"/>
      <c r="N28" s="7">
        <f t="shared" si="11"/>
        <v>0</v>
      </c>
      <c r="O28" s="11"/>
      <c r="P28" s="6">
        <v>8584.1200000000008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8584.1200000000008</v>
      </c>
      <c r="Y28" s="2"/>
      <c r="Z28" s="7">
        <f t="shared" si="15"/>
        <v>0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146.43</v>
      </c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-3.5699999999999932</v>
      </c>
      <c r="M29" s="2"/>
      <c r="N29" s="7">
        <f t="shared" si="11"/>
        <v>-2.3799999999999953E-2</v>
      </c>
      <c r="O29" s="11"/>
      <c r="P29" s="6">
        <v>1182.6099999999999</v>
      </c>
      <c r="Q29" s="2"/>
      <c r="R29" s="7">
        <f t="shared" si="12"/>
        <v>0</v>
      </c>
      <c r="S29" s="2"/>
      <c r="T29" s="6">
        <v>1200</v>
      </c>
      <c r="U29" s="2"/>
      <c r="V29" s="7">
        <f t="shared" si="13"/>
        <v>0</v>
      </c>
      <c r="W29" s="2"/>
      <c r="X29" s="6">
        <f t="shared" si="14"/>
        <v>-17.3900000000001</v>
      </c>
      <c r="Y29" s="2"/>
      <c r="Z29" s="7">
        <f t="shared" si="15"/>
        <v>-1.449166666666675E-2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6540.5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2423.8356153846198</v>
      </c>
      <c r="M30" s="1"/>
      <c r="N30" s="5">
        <f t="shared" ref="N30:N40" si="19">IF(H30=0,0,L30/H30)</f>
        <v>0.58878630583607283</v>
      </c>
      <c r="O30" s="13"/>
      <c r="P30" s="1">
        <f>SUM(OSRRefP22_1x_0)</f>
        <v>39954.380000000005</v>
      </c>
      <c r="Q30" s="1"/>
      <c r="R30" s="5">
        <f t="shared" ref="R30:R40" si="20">IF(P$12=0,0,P30/P$12)</f>
        <v>0</v>
      </c>
      <c r="S30" s="1"/>
      <c r="T30" s="1">
        <f>SUM(OSRRefT22_1x_0)</f>
        <v>36020.813365384587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3933.5666346154176</v>
      </c>
      <c r="Y30" s="1"/>
      <c r="Z30" s="5">
        <f t="shared" ref="Z30:Z40" si="23">IF(T30=0,0,X30/T30)</f>
        <v>0.10920260446965672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6540.5</v>
      </c>
      <c r="E31" s="2"/>
      <c r="F31" s="7">
        <f t="shared" si="16"/>
        <v>0</v>
      </c>
      <c r="G31" s="2"/>
      <c r="H31" s="6">
        <v>4116.6643846153802</v>
      </c>
      <c r="I31" s="2"/>
      <c r="J31" s="7">
        <f t="shared" si="17"/>
        <v>0</v>
      </c>
      <c r="K31" s="2"/>
      <c r="L31" s="6">
        <f t="shared" si="18"/>
        <v>2423.8356153846198</v>
      </c>
      <c r="M31" s="2"/>
      <c r="N31" s="7">
        <f t="shared" si="19"/>
        <v>0.58878630583607283</v>
      </c>
      <c r="O31" s="11"/>
      <c r="P31" s="6">
        <v>39954.380000000005</v>
      </c>
      <c r="Q31" s="2"/>
      <c r="R31" s="7">
        <f t="shared" si="20"/>
        <v>0</v>
      </c>
      <c r="S31" s="2"/>
      <c r="T31" s="6">
        <v>36020.813365384587</v>
      </c>
      <c r="U31" s="2"/>
      <c r="V31" s="7">
        <f t="shared" si="21"/>
        <v>0</v>
      </c>
      <c r="W31" s="2"/>
      <c r="X31" s="6">
        <f t="shared" si="22"/>
        <v>3933.5666346154176</v>
      </c>
      <c r="Y31" s="2"/>
      <c r="Z31" s="7">
        <f t="shared" si="23"/>
        <v>0.10920260446965672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7" customFormat="1" outlineLevel="1" collapsed="1" x14ac:dyDescent="0.25">
      <c r="A41" s="26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48" si="24">IF(D$12=0,0,D41/D$12)</f>
        <v>0</v>
      </c>
      <c r="G41" s="1"/>
      <c r="H41" s="1">
        <f>SUM(OSRRefH22_2x_0)</f>
        <v>0</v>
      </c>
      <c r="I41" s="1"/>
      <c r="J41" s="5">
        <f t="shared" ref="J41:J48" si="25">IF(H$12=0,0,H41/H$12)</f>
        <v>0</v>
      </c>
      <c r="K41" s="1"/>
      <c r="L41" s="1">
        <f t="shared" ref="L41:L48" si="26">+D41-H41</f>
        <v>0</v>
      </c>
      <c r="M41" s="1"/>
      <c r="N41" s="5">
        <f t="shared" ref="N41:N48" si="27">IF(H41=0,0,L41/H41)</f>
        <v>0</v>
      </c>
      <c r="O41" s="13"/>
      <c r="P41" s="1">
        <f>SUM(OSRRefP22_2x_0)</f>
        <v>2443.65</v>
      </c>
      <c r="Q41" s="1"/>
      <c r="R41" s="5">
        <f t="shared" ref="R41:R48" si="28">IF(P$12=0,0,P41/P$12)</f>
        <v>0</v>
      </c>
      <c r="S41" s="1"/>
      <c r="T41" s="1">
        <f>SUM(OSRRefT22_2x_0)</f>
        <v>2500</v>
      </c>
      <c r="U41" s="1"/>
      <c r="V41" s="5">
        <f t="shared" ref="V41:V48" si="29">IF(T$12=0,0,T41/T$12)</f>
        <v>0</v>
      </c>
      <c r="W41" s="1"/>
      <c r="X41" s="1">
        <f t="shared" ref="X41:X48" si="30">+P41-T41</f>
        <v>-56.349999999999909</v>
      </c>
      <c r="Y41" s="1"/>
      <c r="Z41" s="5">
        <f t="shared" ref="Z41:Z48" si="31">IF(T41=0,0,X41/T41)</f>
        <v>-2.2539999999999963E-2</v>
      </c>
    </row>
    <row r="42" spans="1:26" s="24" customFormat="1" hidden="1" outlineLevel="2" x14ac:dyDescent="0.25">
      <c r="A42" s="25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2443.65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-56.349999999999909</v>
      </c>
      <c r="Y42" s="2"/>
      <c r="Z42" s="7">
        <f t="shared" si="31"/>
        <v>-2.2539999999999963E-2</v>
      </c>
    </row>
    <row r="43" spans="1:26" s="27" customFormat="1" outlineLevel="1" collapsed="1" x14ac:dyDescent="0.25">
      <c r="A43" s="26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5"/>
      <c r="B44" s="11" t="str">
        <f>CONCATENATE("          ", "6254", " - ", "ROYALTY &amp; COMMISSIONS")</f>
        <v xml:space="preserve">          6254 - ROYALTY &amp; COMMISSIONS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10393.31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9276.31</v>
      </c>
      <c r="Y44" s="2"/>
      <c r="Z44" s="7">
        <f t="shared" si="31"/>
        <v>8.3046642793196064</v>
      </c>
    </row>
    <row r="45" spans="1:26" s="27" customFormat="1" outlineLevel="1" collapsed="1" x14ac:dyDescent="0.25">
      <c r="A45" s="26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-4.07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-4.07</v>
      </c>
      <c r="M45" s="1"/>
      <c r="N45" s="5">
        <f t="shared" si="27"/>
        <v>0</v>
      </c>
      <c r="O45" s="13"/>
      <c r="P45" s="1">
        <f>SUM(OSRRefP22_4x_0)</f>
        <v>72.86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72.86</v>
      </c>
      <c r="Y45" s="1"/>
      <c r="Z45" s="5">
        <f t="shared" si="31"/>
        <v>0</v>
      </c>
    </row>
    <row r="46" spans="1:26" s="24" customFormat="1" hidden="1" outlineLevel="2" x14ac:dyDescent="0.25">
      <c r="A46" s="25"/>
      <c r="B46" s="11" t="str">
        <f>CONCATENATE("          ", "6241", " - ", "OFFICE EXPENSE")</f>
        <v xml:space="preserve">          6241 - OFFICE EXPENSE</v>
      </c>
      <c r="C46" s="11"/>
      <c r="D46" s="6">
        <v>-4.07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-4.07</v>
      </c>
      <c r="M46" s="2"/>
      <c r="N46" s="7">
        <f t="shared" si="27"/>
        <v>0</v>
      </c>
      <c r="O46" s="11"/>
      <c r="P46" s="6">
        <v>72.86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72.86</v>
      </c>
      <c r="Y46" s="2"/>
      <c r="Z46" s="7">
        <f t="shared" si="31"/>
        <v>0</v>
      </c>
    </row>
    <row r="47" spans="1:26" s="27" customFormat="1" outlineLevel="1" collapsed="1" x14ac:dyDescent="0.25">
      <c r="A47" s="26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-63.65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-138.65</v>
      </c>
      <c r="M47" s="1"/>
      <c r="N47" s="5">
        <f t="shared" si="27"/>
        <v>-1.8486666666666667</v>
      </c>
      <c r="O47" s="13"/>
      <c r="P47" s="1">
        <f>SUM(OSRRefP22_5x_0)</f>
        <v>942.05</v>
      </c>
      <c r="Q47" s="1"/>
      <c r="R47" s="5">
        <f t="shared" si="28"/>
        <v>0</v>
      </c>
      <c r="S47" s="1"/>
      <c r="T47" s="1">
        <f>SUM(OSRRefT22_5x_0)</f>
        <v>1050</v>
      </c>
      <c r="U47" s="1"/>
      <c r="V47" s="5">
        <f t="shared" si="29"/>
        <v>0</v>
      </c>
      <c r="W47" s="1"/>
      <c r="X47" s="1">
        <f t="shared" si="30"/>
        <v>-107.95000000000005</v>
      </c>
      <c r="Y47" s="1"/>
      <c r="Z47" s="5">
        <f t="shared" si="31"/>
        <v>-0.10280952380952385</v>
      </c>
    </row>
    <row r="48" spans="1:26" s="24" customFormat="1" hidden="1" outlineLevel="2" x14ac:dyDescent="0.25">
      <c r="A48" s="25"/>
      <c r="B48" s="11" t="str">
        <f>CONCATENATE("          ", "6309", " - ", "TELEPHONE")</f>
        <v xml:space="preserve">          6309 - TELEPHONE</v>
      </c>
      <c r="C48" s="11"/>
      <c r="D48" s="6">
        <v>-63.65</v>
      </c>
      <c r="E48" s="2"/>
      <c r="F48" s="7">
        <f t="shared" si="24"/>
        <v>0</v>
      </c>
      <c r="G48" s="2"/>
      <c r="H48" s="6">
        <v>75</v>
      </c>
      <c r="I48" s="2"/>
      <c r="J48" s="7">
        <f t="shared" si="25"/>
        <v>0</v>
      </c>
      <c r="K48" s="2"/>
      <c r="L48" s="6">
        <f t="shared" si="26"/>
        <v>-138.65</v>
      </c>
      <c r="M48" s="2"/>
      <c r="N48" s="7">
        <f t="shared" si="27"/>
        <v>-1.8486666666666667</v>
      </c>
      <c r="O48" s="11"/>
      <c r="P48" s="6">
        <v>942.05</v>
      </c>
      <c r="Q48" s="2"/>
      <c r="R48" s="7">
        <f t="shared" si="28"/>
        <v>0</v>
      </c>
      <c r="S48" s="2"/>
      <c r="T48" s="6">
        <v>1050</v>
      </c>
      <c r="U48" s="2"/>
      <c r="V48" s="7">
        <f t="shared" si="29"/>
        <v>0</v>
      </c>
      <c r="W48" s="2"/>
      <c r="X48" s="6">
        <f t="shared" si="30"/>
        <v>-107.95000000000005</v>
      </c>
      <c r="Y48" s="2"/>
      <c r="Z48" s="7">
        <f t="shared" si="31"/>
        <v>-0.10280952380952385</v>
      </c>
    </row>
    <row r="49" spans="1:26" s="53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collapsed="1" x14ac:dyDescent="0.25">
      <c r="A50" s="10"/>
      <c r="B50" s="29" t="s">
        <v>0</v>
      </c>
      <c r="C50" s="10"/>
      <c r="D50" s="4">
        <f>SUM(OSRRefD25x_0)</f>
        <v>5937.18</v>
      </c>
      <c r="E50" s="4"/>
      <c r="F50" s="12">
        <f t="shared" ref="F50:F51" si="32">IF(D$12=0,0,D50/D$12)</f>
        <v>0</v>
      </c>
      <c r="G50" s="4"/>
      <c r="H50" s="4">
        <f>SUM(OSRRefH25x_0)</f>
        <v>10297</v>
      </c>
      <c r="I50" s="4"/>
      <c r="J50" s="12">
        <f t="shared" ref="J50:J51" si="33">IF(H$12=0,0,H50/H$12)</f>
        <v>0</v>
      </c>
      <c r="K50" s="4"/>
      <c r="L50" s="4">
        <f t="shared" ref="L50:L51" si="34">+D50-H50</f>
        <v>-4359.82</v>
      </c>
      <c r="M50" s="4"/>
      <c r="N50" s="12">
        <f t="shared" ref="N50:N51" si="35">IF(H50=0,0,L50/H50)</f>
        <v>-0.42340681751966591</v>
      </c>
      <c r="O50" s="10"/>
      <c r="P50" s="4">
        <f>SUM(OSRRefP25x_0)</f>
        <v>120332.8</v>
      </c>
      <c r="Q50" s="4"/>
      <c r="R50" s="12">
        <f t="shared" ref="R50:R51" si="36">IF(P$12=0,0,P50/P$12)</f>
        <v>0</v>
      </c>
      <c r="S50" s="4"/>
      <c r="T50" s="4">
        <f>SUM(OSRRefT25x_0)</f>
        <v>132920</v>
      </c>
      <c r="U50" s="4"/>
      <c r="V50" s="12">
        <f t="shared" ref="V50:V51" si="37">IF(T$12=0,0,T50/T$12)</f>
        <v>0</v>
      </c>
      <c r="W50" s="4"/>
      <c r="X50" s="4">
        <f t="shared" ref="X50:X51" si="38">+P50-T50</f>
        <v>-12587.199999999997</v>
      </c>
      <c r="Y50" s="4"/>
      <c r="Z50" s="12">
        <f t="shared" ref="Z50:Z51" si="39">IF(T50=0,0,X50/T50)</f>
        <v>-9.4697562443575065E-2</v>
      </c>
    </row>
    <row r="51" spans="1:26" s="24" customFormat="1" hidden="1" outlineLevel="1" x14ac:dyDescent="0.25">
      <c r="A51" s="44"/>
      <c r="B51" s="11" t="str">
        <f>CONCATENATE("          ", "9150", " - ", "MISC. INCOME")</f>
        <v xml:space="preserve">          9150 - MISC. INCOME</v>
      </c>
      <c r="C51" s="11"/>
      <c r="D51" s="2">
        <f>--5937.18</f>
        <v>5937.18</v>
      </c>
      <c r="E51" s="2"/>
      <c r="F51" s="19">
        <f t="shared" si="32"/>
        <v>0</v>
      </c>
      <c r="G51" s="2"/>
      <c r="H51" s="2">
        <v>10297</v>
      </c>
      <c r="I51" s="2"/>
      <c r="J51" s="19">
        <f t="shared" si="33"/>
        <v>0</v>
      </c>
      <c r="K51" s="2"/>
      <c r="L51" s="2">
        <f t="shared" si="34"/>
        <v>-4359.82</v>
      </c>
      <c r="M51" s="2"/>
      <c r="N51" s="19">
        <f t="shared" si="35"/>
        <v>-0.42340681751966591</v>
      </c>
      <c r="O51" s="11"/>
      <c r="P51" s="2">
        <f>--120332.8</f>
        <v>120332.8</v>
      </c>
      <c r="Q51" s="2"/>
      <c r="R51" s="19">
        <f t="shared" si="36"/>
        <v>0</v>
      </c>
      <c r="S51" s="2"/>
      <c r="T51" s="2">
        <v>132920</v>
      </c>
      <c r="U51" s="2"/>
      <c r="V51" s="19">
        <f t="shared" si="37"/>
        <v>0</v>
      </c>
      <c r="W51" s="2"/>
      <c r="X51" s="2">
        <f t="shared" si="38"/>
        <v>-12587.199999999997</v>
      </c>
      <c r="Y51" s="2"/>
      <c r="Z51" s="19">
        <f t="shared" si="39"/>
        <v>-9.4697562443575065E-2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3</v>
      </c>
      <c r="C53" s="28"/>
      <c r="D53" s="21">
        <f>+D17-D19+D50</f>
        <v>-3324.92</v>
      </c>
      <c r="E53" s="14"/>
      <c r="F53" s="22">
        <f>IF(D$12=0,0,D53/D$12)</f>
        <v>0</v>
      </c>
      <c r="G53" s="14"/>
      <c r="H53" s="21">
        <f>+H17-H19+H50</f>
        <v>3965.2046691615433</v>
      </c>
      <c r="I53" s="14"/>
      <c r="J53" s="22">
        <f>IF(H$12=0,0,H53/H$12)</f>
        <v>0</v>
      </c>
      <c r="K53" s="15"/>
      <c r="L53" s="21">
        <f>+D53-H53</f>
        <v>-7290.1246691615434</v>
      </c>
      <c r="M53" s="15"/>
      <c r="N53" s="22">
        <f>IF(H53=0,0,L53/H53)</f>
        <v>-1.8385241815785176</v>
      </c>
      <c r="O53" s="29"/>
      <c r="P53" s="21">
        <f>+P17-P19+P50</f>
        <v>34016.660000000003</v>
      </c>
      <c r="Q53" s="14"/>
      <c r="R53" s="22">
        <f>IF(P$12=0,0,P53/P$12)</f>
        <v>0</v>
      </c>
      <c r="S53" s="14"/>
      <c r="T53" s="21">
        <f>+T17-T19+T50</f>
        <v>74136.41585516349</v>
      </c>
      <c r="U53" s="14"/>
      <c r="V53" s="22">
        <f>IF(T$12=0,0,T53/T$12)</f>
        <v>0</v>
      </c>
      <c r="W53" s="15"/>
      <c r="X53" s="21">
        <f>+P53-T53</f>
        <v>-40119.755855163487</v>
      </c>
      <c r="Y53" s="15"/>
      <c r="Z53" s="22">
        <f>IF(T53=0,0,X53/T53)</f>
        <v>-0.54116125513193669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4</v>
      </c>
      <c r="C57" s="28"/>
      <c r="D57" s="31">
        <f>+D53-D55</f>
        <v>-3324.92</v>
      </c>
      <c r="E57" s="14"/>
      <c r="F57" s="32">
        <f>IF(D$12=0,0,D57/D$12)</f>
        <v>0</v>
      </c>
      <c r="G57" s="14"/>
      <c r="H57" s="31">
        <f>+H53-H55</f>
        <v>3965.2046691615433</v>
      </c>
      <c r="I57" s="14"/>
      <c r="J57" s="32">
        <f>IF(H$12=0,0,H57/H$12)</f>
        <v>0</v>
      </c>
      <c r="K57" s="15"/>
      <c r="L57" s="31">
        <f>D57-H57</f>
        <v>-7290.1246691615434</v>
      </c>
      <c r="M57" s="15"/>
      <c r="N57" s="32">
        <f>IF(H57=0,0,L57/H57)</f>
        <v>-1.8385241815785176</v>
      </c>
      <c r="O57" s="29"/>
      <c r="P57" s="31">
        <f>+P53-P55</f>
        <v>34016.660000000003</v>
      </c>
      <c r="Q57" s="14"/>
      <c r="R57" s="32">
        <f>IF(P$12=0,0,P57/P$12)</f>
        <v>0</v>
      </c>
      <c r="S57" s="14"/>
      <c r="T57" s="31">
        <f>+T53-T55</f>
        <v>74136.41585516349</v>
      </c>
      <c r="U57" s="14"/>
      <c r="V57" s="32">
        <f>IF(T$12=0,0,T57/T$12)</f>
        <v>0</v>
      </c>
      <c r="W57" s="15"/>
      <c r="X57" s="31">
        <f>P57-T57</f>
        <v>-40119.755855163487</v>
      </c>
      <c r="Y57" s="15"/>
      <c r="Z57" s="32">
        <f>IF(T57=0,0,X57/T57)</f>
        <v>-0.54116125513193669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5</v>
      </c>
      <c r="C60" s="28"/>
      <c r="D60" s="33">
        <f>SUM(D57:D59)</f>
        <v>-3324.92</v>
      </c>
      <c r="E60" s="14"/>
      <c r="F60" s="30">
        <f>IF(D$12=0,0,D60/D$12)</f>
        <v>0</v>
      </c>
      <c r="G60" s="14"/>
      <c r="H60" s="33">
        <f>SUM(H57:H59)</f>
        <v>3965.2046691615433</v>
      </c>
      <c r="I60" s="14"/>
      <c r="J60" s="30">
        <f>IF(H$12=0,0,H60/H$12)</f>
        <v>0</v>
      </c>
      <c r="K60" s="15"/>
      <c r="L60" s="33">
        <f>+D60-H60</f>
        <v>-7290.1246691615434</v>
      </c>
      <c r="M60" s="15"/>
      <c r="N60" s="30">
        <f>IF(H60=0,0,L60/H60)</f>
        <v>-1.8385241815785176</v>
      </c>
      <c r="O60" s="29"/>
      <c r="P60" s="33">
        <f>SUM(P57:P59)</f>
        <v>34016.660000000003</v>
      </c>
      <c r="Q60" s="14"/>
      <c r="R60" s="30">
        <f>IF(P$12=0,0,P60/P$12)</f>
        <v>0</v>
      </c>
      <c r="S60" s="14"/>
      <c r="T60" s="33">
        <f>SUM(T57:T59)</f>
        <v>74136.41585516349</v>
      </c>
      <c r="U60" s="14"/>
      <c r="V60" s="30">
        <f>IF(T$12=0,0,T60/T$12)</f>
        <v>0</v>
      </c>
      <c r="W60" s="15"/>
      <c r="X60" s="33">
        <f>+P60-T60</f>
        <v>-40119.755855163487</v>
      </c>
      <c r="Y60" s="15"/>
      <c r="Z60" s="30">
        <f>IF(T60=0,0,X60/T60)</f>
        <v>-0.54116125513193669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9">
        <v>43908.495275266207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63" t="s">
        <v>314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7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25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108527.24</v>
      </c>
      <c r="E12" s="4"/>
      <c r="F12" s="12"/>
      <c r="G12" s="4"/>
      <c r="H12" s="4">
        <f>SUM(OSRRefH13x_0)</f>
        <v>27000</v>
      </c>
      <c r="I12" s="4"/>
      <c r="J12" s="12"/>
      <c r="K12" s="4"/>
      <c r="L12" s="4">
        <f t="shared" ref="L12:L16" si="0">+D12-H12</f>
        <v>81527.240000000005</v>
      </c>
      <c r="M12" s="4"/>
      <c r="N12" s="12">
        <f t="shared" ref="N12:N16" si="1">IF(H12=0,0,L12/H12)</f>
        <v>3.0195274074074074</v>
      </c>
      <c r="O12" s="10"/>
      <c r="P12" s="4">
        <f>SUM(OSRRefP13x_0)</f>
        <v>128379.11</v>
      </c>
      <c r="Q12" s="4"/>
      <c r="R12" s="12"/>
      <c r="S12" s="4"/>
      <c r="T12" s="4">
        <f>SUM(OSRRefT13x_0)</f>
        <v>47000</v>
      </c>
      <c r="U12" s="4"/>
      <c r="V12" s="12"/>
      <c r="W12" s="4"/>
      <c r="X12" s="4">
        <f t="shared" ref="X12:X16" si="2">+P12-T12</f>
        <v>81379.11</v>
      </c>
      <c r="Y12" s="4"/>
      <c r="Z12" s="12">
        <f t="shared" ref="Z12:Z16" si="3">IF(T12=0,0,X12/T12)</f>
        <v>1.7314704255319149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6750</v>
      </c>
      <c r="I13" s="2"/>
      <c r="J13" s="19"/>
      <c r="K13" s="2"/>
      <c r="L13" s="2">
        <f t="shared" si="0"/>
        <v>-6750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11750</v>
      </c>
      <c r="U13" s="2"/>
      <c r="V13" s="19"/>
      <c r="W13" s="2"/>
      <c r="X13" s="2">
        <f t="shared" si="2"/>
        <v>-11750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--108721.53</f>
        <v>108721.53</v>
      </c>
      <c r="E14" s="2"/>
      <c r="F14" s="19"/>
      <c r="G14" s="2"/>
      <c r="H14" s="2"/>
      <c r="I14" s="2"/>
      <c r="J14" s="19"/>
      <c r="K14" s="2"/>
      <c r="L14" s="2">
        <f t="shared" si="0"/>
        <v>108721.53</v>
      </c>
      <c r="M14" s="2"/>
      <c r="N14" s="19">
        <f t="shared" si="1"/>
        <v>0</v>
      </c>
      <c r="O14" s="11"/>
      <c r="P14" s="2">
        <f>--128573.4</f>
        <v>128573.4</v>
      </c>
      <c r="Q14" s="2"/>
      <c r="R14" s="19"/>
      <c r="S14" s="2"/>
      <c r="T14" s="2"/>
      <c r="U14" s="2"/>
      <c r="V14" s="19"/>
      <c r="W14" s="2"/>
      <c r="X14" s="2">
        <f t="shared" si="2"/>
        <v>128573.4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20250</v>
      </c>
      <c r="I15" s="2"/>
      <c r="J15" s="19"/>
      <c r="K15" s="2"/>
      <c r="L15" s="2">
        <f t="shared" si="0"/>
        <v>-20250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35250</v>
      </c>
      <c r="U15" s="2"/>
      <c r="V15" s="19"/>
      <c r="W15" s="2"/>
      <c r="X15" s="2">
        <f t="shared" si="2"/>
        <v>-35250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-194.29</f>
        <v>-194.29</v>
      </c>
      <c r="E16" s="2"/>
      <c r="F16" s="19"/>
      <c r="G16" s="2"/>
      <c r="H16" s="2"/>
      <c r="I16" s="2"/>
      <c r="J16" s="19"/>
      <c r="K16" s="2"/>
      <c r="L16" s="2">
        <f t="shared" si="0"/>
        <v>-194.29</v>
      </c>
      <c r="M16" s="2"/>
      <c r="N16" s="19">
        <f t="shared" si="1"/>
        <v>0</v>
      </c>
      <c r="O16" s="11"/>
      <c r="P16" s="2">
        <f>-194.29</f>
        <v>-194.29</v>
      </c>
      <c r="Q16" s="2"/>
      <c r="R16" s="19"/>
      <c r="S16" s="2"/>
      <c r="T16" s="2"/>
      <c r="U16" s="2"/>
      <c r="V16" s="19"/>
      <c r="W16" s="2"/>
      <c r="X16" s="2">
        <f t="shared" si="2"/>
        <v>-194.29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22288.809999999998</v>
      </c>
      <c r="E18" s="4"/>
      <c r="F18" s="12">
        <f t="shared" ref="F18:F21" si="4">IF(D$12=0,0,D18/D$12)</f>
        <v>0.2053752587829562</v>
      </c>
      <c r="G18" s="4"/>
      <c r="H18" s="4">
        <f>SUM(OSRRefH16x_0)</f>
        <v>6750</v>
      </c>
      <c r="I18" s="4"/>
      <c r="J18" s="12">
        <f t="shared" ref="J18:J21" si="5">IF(H$12=0,0,H18/H$12)</f>
        <v>0.25</v>
      </c>
      <c r="K18" s="4"/>
      <c r="L18" s="4">
        <f t="shared" ref="L18:L21" si="6">+D18-H18</f>
        <v>15538.809999999998</v>
      </c>
      <c r="M18" s="4"/>
      <c r="N18" s="12">
        <f t="shared" ref="N18:N21" si="7">IF(H18=0,0,L18/H18)</f>
        <v>2.3020459259259254</v>
      </c>
      <c r="O18" s="10"/>
      <c r="P18" s="4">
        <f>SUM(OSRRefP16x_0)</f>
        <v>31933.760000000002</v>
      </c>
      <c r="Q18" s="4"/>
      <c r="R18" s="12">
        <f t="shared" ref="R18:R21" si="8">IF(P$12=0,0,P18/P$12)</f>
        <v>0.24874576556886865</v>
      </c>
      <c r="S18" s="4"/>
      <c r="T18" s="4">
        <f>SUM(OSRRefT16x_0)</f>
        <v>11750</v>
      </c>
      <c r="U18" s="4"/>
      <c r="V18" s="12">
        <f t="shared" ref="V18:V21" si="9">IF(T$12=0,0,T18/T$12)</f>
        <v>0.25</v>
      </c>
      <c r="W18" s="4"/>
      <c r="X18" s="4">
        <f t="shared" ref="X18:X21" si="10">+P18-T18</f>
        <v>20183.760000000002</v>
      </c>
      <c r="Y18" s="4"/>
      <c r="Z18" s="12">
        <f t="shared" ref="Z18:Z21" si="11">IF(T18=0,0,X18/T18)</f>
        <v>1.7177668085106386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6750</v>
      </c>
      <c r="I19" s="2"/>
      <c r="J19" s="19">
        <f t="shared" si="5"/>
        <v>0.25</v>
      </c>
      <c r="K19" s="2"/>
      <c r="L19" s="2">
        <f t="shared" si="6"/>
        <v>-6750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11750</v>
      </c>
      <c r="U19" s="2"/>
      <c r="V19" s="19">
        <f t="shared" si="9"/>
        <v>0.25</v>
      </c>
      <c r="W19" s="2"/>
      <c r="X19" s="2">
        <f t="shared" si="10"/>
        <v>-11750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23187.809999999998</v>
      </c>
      <c r="E20" s="2"/>
      <c r="F20" s="19">
        <f t="shared" si="4"/>
        <v>0.213658893380132</v>
      </c>
      <c r="G20" s="2"/>
      <c r="H20" s="2"/>
      <c r="I20" s="2"/>
      <c r="J20" s="19">
        <f t="shared" si="5"/>
        <v>0</v>
      </c>
      <c r="K20" s="2"/>
      <c r="L20" s="2">
        <f t="shared" si="6"/>
        <v>23187.809999999998</v>
      </c>
      <c r="M20" s="2"/>
      <c r="N20" s="19">
        <f t="shared" si="7"/>
        <v>0</v>
      </c>
      <c r="O20" s="11"/>
      <c r="P20" s="2">
        <v>40395.760000000002</v>
      </c>
      <c r="Q20" s="2"/>
      <c r="R20" s="19">
        <f t="shared" si="8"/>
        <v>0.31465991624338258</v>
      </c>
      <c r="S20" s="2"/>
      <c r="T20" s="2"/>
      <c r="U20" s="2"/>
      <c r="V20" s="19">
        <f t="shared" si="9"/>
        <v>0</v>
      </c>
      <c r="W20" s="2"/>
      <c r="X20" s="2">
        <f t="shared" si="10"/>
        <v>40395.760000000002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-899</v>
      </c>
      <c r="E21" s="2"/>
      <c r="F21" s="19">
        <f t="shared" si="4"/>
        <v>-8.2836345971757878E-3</v>
      </c>
      <c r="G21" s="2"/>
      <c r="H21" s="2"/>
      <c r="I21" s="2"/>
      <c r="J21" s="19">
        <f t="shared" si="5"/>
        <v>0</v>
      </c>
      <c r="K21" s="2"/>
      <c r="L21" s="2">
        <f t="shared" si="6"/>
        <v>-899</v>
      </c>
      <c r="M21" s="2"/>
      <c r="N21" s="19">
        <f t="shared" si="7"/>
        <v>0</v>
      </c>
      <c r="O21" s="11"/>
      <c r="P21" s="2">
        <v>-8462</v>
      </c>
      <c r="Q21" s="2"/>
      <c r="R21" s="19">
        <f t="shared" si="8"/>
        <v>-6.5914150674513949E-2</v>
      </c>
      <c r="S21" s="2"/>
      <c r="T21" s="2"/>
      <c r="U21" s="2"/>
      <c r="V21" s="19">
        <f t="shared" si="9"/>
        <v>0</v>
      </c>
      <c r="W21" s="2"/>
      <c r="X21" s="2">
        <f t="shared" si="10"/>
        <v>-8462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86238.430000000008</v>
      </c>
      <c r="E23" s="14"/>
      <c r="F23" s="22">
        <f>IF(D$12=0,0,D23/D$12)</f>
        <v>0.79462474121704374</v>
      </c>
      <c r="G23" s="14"/>
      <c r="H23" s="21">
        <f>H12-H18</f>
        <v>20250</v>
      </c>
      <c r="I23" s="14"/>
      <c r="J23" s="22">
        <f>IF(H$12=0,0,H23/H$12)</f>
        <v>0.75</v>
      </c>
      <c r="K23" s="15"/>
      <c r="L23" s="21">
        <f>+D23-H23</f>
        <v>65988.430000000008</v>
      </c>
      <c r="M23" s="15"/>
      <c r="N23" s="22">
        <f>IF(H23=0,0,L23/H23)</f>
        <v>3.2586879012345684</v>
      </c>
      <c r="O23" s="29"/>
      <c r="P23" s="21">
        <f>P12-P18</f>
        <v>96445.35</v>
      </c>
      <c r="Q23" s="14"/>
      <c r="R23" s="22">
        <f>IF(P$12=0,0,P23/P$12)</f>
        <v>0.75125423443113137</v>
      </c>
      <c r="S23" s="14"/>
      <c r="T23" s="21">
        <f>T12-T18</f>
        <v>35250</v>
      </c>
      <c r="U23" s="14"/>
      <c r="V23" s="22">
        <f>IF(T$12=0,0,T23/T$12)</f>
        <v>0.75</v>
      </c>
      <c r="W23" s="15"/>
      <c r="X23" s="21">
        <f>+P23-T23</f>
        <v>61195.350000000006</v>
      </c>
      <c r="Y23" s="15"/>
      <c r="Z23" s="22">
        <f>IF(T23=0,0,X23/T23)</f>
        <v>1.7360382978723405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46575.41</v>
      </c>
      <c r="E25" s="20"/>
      <c r="F25" s="34">
        <f t="shared" ref="F25:F34" si="12">IF(D$12=0,0,D25/D$12)</f>
        <v>0.42915870706746068</v>
      </c>
      <c r="G25" s="20"/>
      <c r="H25" s="20">
        <f>SUM(OSRRefH22x_0)</f>
        <v>18041.821499999998</v>
      </c>
      <c r="I25" s="20"/>
      <c r="J25" s="34">
        <f t="shared" ref="J25:J34" si="13">IF(H$12=0,0,H25/H$12)</f>
        <v>0.66821561111111105</v>
      </c>
      <c r="K25" s="4"/>
      <c r="L25" s="20">
        <f t="shared" ref="L25:L34" si="14">+D25-H25</f>
        <v>28533.588500000005</v>
      </c>
      <c r="M25" s="4"/>
      <c r="N25" s="34">
        <f t="shared" ref="N25:N34" si="15">IF(H25=0,0,L25/H25)</f>
        <v>1.58152481998561</v>
      </c>
      <c r="O25" s="10"/>
      <c r="P25" s="20">
        <f>SUM(OSRRefP22x_0)</f>
        <v>69247.060000000012</v>
      </c>
      <c r="Q25" s="20"/>
      <c r="R25" s="34">
        <f t="shared" ref="R25:R34" si="16">IF(P$12=0,0,P25/P$12)</f>
        <v>0.53939507759478944</v>
      </c>
      <c r="S25" s="20"/>
      <c r="T25" s="20">
        <f>SUM(OSRRefT22x_0)</f>
        <v>48379.702700000002</v>
      </c>
      <c r="U25" s="20"/>
      <c r="V25" s="34">
        <f t="shared" ref="V25:V34" si="17">IF(T$12=0,0,T25/T$12)</f>
        <v>1.0293553765957446</v>
      </c>
      <c r="W25" s="4"/>
      <c r="X25" s="20">
        <f t="shared" ref="X25:X34" si="18">+P25-T25</f>
        <v>20867.357300000011</v>
      </c>
      <c r="Y25" s="4"/>
      <c r="Z25" s="34">
        <f t="shared" ref="Z25:Z34" si="19">IF(T25=0,0,X25/T25)</f>
        <v>0.43132462862364818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402.64</v>
      </c>
      <c r="E26" s="1"/>
      <c r="F26" s="5">
        <f t="shared" si="12"/>
        <v>3.7100363005638029E-3</v>
      </c>
      <c r="G26" s="1"/>
      <c r="H26" s="1">
        <f>SUM(OSRRefH22_0x_0)</f>
        <v>241.32149999999999</v>
      </c>
      <c r="I26" s="1"/>
      <c r="J26" s="5">
        <f t="shared" si="13"/>
        <v>8.9378333333333324E-3</v>
      </c>
      <c r="K26" s="1"/>
      <c r="L26" s="1">
        <f t="shared" si="14"/>
        <v>161.3185</v>
      </c>
      <c r="M26" s="1"/>
      <c r="N26" s="5">
        <f t="shared" si="15"/>
        <v>0.66847960086440705</v>
      </c>
      <c r="O26" s="13"/>
      <c r="P26" s="1">
        <f>SUM(OSRRefP22_0x_0)</f>
        <v>783.71</v>
      </c>
      <c r="Q26" s="1"/>
      <c r="R26" s="5">
        <f t="shared" si="16"/>
        <v>6.104653630952887E-3</v>
      </c>
      <c r="S26" s="1"/>
      <c r="T26" s="1">
        <f>SUM(OSRRefT22_0x_0)</f>
        <v>931.20269999999994</v>
      </c>
      <c r="U26" s="1"/>
      <c r="V26" s="5">
        <f t="shared" si="17"/>
        <v>1.9812823404255317E-2</v>
      </c>
      <c r="W26" s="1"/>
      <c r="X26" s="1">
        <f t="shared" si="18"/>
        <v>-147.4926999999999</v>
      </c>
      <c r="Y26" s="1"/>
      <c r="Z26" s="5">
        <f t="shared" si="19"/>
        <v>-0.15838946772813256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402.64</v>
      </c>
      <c r="E27" s="2"/>
      <c r="F27" s="7">
        <f t="shared" si="12"/>
        <v>3.7100363005638029E-3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402.64</v>
      </c>
      <c r="M27" s="2"/>
      <c r="N27" s="7">
        <f t="shared" si="15"/>
        <v>0</v>
      </c>
      <c r="O27" s="11"/>
      <c r="P27" s="6">
        <v>794.11</v>
      </c>
      <c r="Q27" s="2"/>
      <c r="R27" s="7">
        <f t="shared" si="16"/>
        <v>6.1856636955965813E-3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794.11</v>
      </c>
      <c r="Y27" s="2"/>
      <c r="Z27" s="7">
        <f t="shared" si="19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>
        <v>-10.4</v>
      </c>
      <c r="Q28" s="2"/>
      <c r="R28" s="7">
        <f t="shared" si="16"/>
        <v>-8.101006464369476E-5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-10.4</v>
      </c>
      <c r="Y28" s="2"/>
      <c r="Z28" s="7">
        <f t="shared" si="19"/>
        <v>0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2"/>
        <v>0</v>
      </c>
      <c r="G30" s="2"/>
      <c r="H30" s="6">
        <v>19.246500000000001</v>
      </c>
      <c r="I30" s="2"/>
      <c r="J30" s="7">
        <f t="shared" si="13"/>
        <v>7.1283333333333333E-4</v>
      </c>
      <c r="K30" s="2"/>
      <c r="L30" s="6">
        <f t="shared" si="14"/>
        <v>-19.246500000000001</v>
      </c>
      <c r="M30" s="2"/>
      <c r="N30" s="7">
        <f t="shared" si="15"/>
        <v>-1</v>
      </c>
      <c r="O30" s="11"/>
      <c r="P30" s="6"/>
      <c r="Q30" s="2"/>
      <c r="R30" s="7">
        <f t="shared" si="16"/>
        <v>0</v>
      </c>
      <c r="S30" s="2"/>
      <c r="T30" s="6">
        <v>74.267700000000005</v>
      </c>
      <c r="U30" s="2"/>
      <c r="V30" s="7">
        <f t="shared" si="17"/>
        <v>1.5801638297872342E-3</v>
      </c>
      <c r="W30" s="2"/>
      <c r="X30" s="6">
        <f t="shared" si="18"/>
        <v>-74.267700000000005</v>
      </c>
      <c r="Y30" s="2"/>
      <c r="Z30" s="7">
        <f t="shared" si="19"/>
        <v>-1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2"/>
        <v>0</v>
      </c>
      <c r="G34" s="2"/>
      <c r="H34" s="6">
        <v>222.07499999999999</v>
      </c>
      <c r="I34" s="2"/>
      <c r="J34" s="7">
        <f t="shared" si="13"/>
        <v>8.2249999999999997E-3</v>
      </c>
      <c r="K34" s="2"/>
      <c r="L34" s="6">
        <f t="shared" si="14"/>
        <v>-222.07499999999999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856.93499999999995</v>
      </c>
      <c r="U34" s="2"/>
      <c r="V34" s="7">
        <f t="shared" si="17"/>
        <v>1.8232659574468082E-2</v>
      </c>
      <c r="W34" s="2"/>
      <c r="X34" s="6">
        <f t="shared" si="18"/>
        <v>-856.93499999999995</v>
      </c>
      <c r="Y34" s="2"/>
      <c r="Z34" s="7">
        <f t="shared" si="19"/>
        <v>-1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15794.020000000002</v>
      </c>
      <c r="E35" s="1"/>
      <c r="F35" s="5">
        <f t="shared" ref="F35:F45" si="20">IF(D$12=0,0,D35/D$12)</f>
        <v>0.14553046774247647</v>
      </c>
      <c r="G35" s="1"/>
      <c r="H35" s="1">
        <f>SUM(OSRRefH22_1x_0)</f>
        <v>7402.5</v>
      </c>
      <c r="I35" s="1"/>
      <c r="J35" s="5">
        <f t="shared" ref="J35:J45" si="21">IF(H$12=0,0,H35/H$12)</f>
        <v>0.27416666666666667</v>
      </c>
      <c r="K35" s="1"/>
      <c r="L35" s="1">
        <f t="shared" ref="L35:L45" si="22">+D35-H35</f>
        <v>8391.5200000000023</v>
      </c>
      <c r="M35" s="1"/>
      <c r="N35" s="5">
        <f t="shared" ref="N35:N45" si="23">IF(H35=0,0,L35/H35)</f>
        <v>1.1336062141168528</v>
      </c>
      <c r="O35" s="13"/>
      <c r="P35" s="1">
        <f>SUM(OSRRefP22_1x_0)</f>
        <v>21867.68</v>
      </c>
      <c r="Q35" s="1"/>
      <c r="R35" s="5">
        <f t="shared" ref="R35:R45" si="24">IF(P$12=0,0,P35/P$12)</f>
        <v>0.17033674715457991</v>
      </c>
      <c r="S35" s="1"/>
      <c r="T35" s="1">
        <f>SUM(OSRRefT22_1x_0)</f>
        <v>28564.5</v>
      </c>
      <c r="U35" s="1"/>
      <c r="V35" s="5">
        <f t="shared" ref="V35:V45" si="25">IF(T$12=0,0,T35/T$12)</f>
        <v>0.60775531914893621</v>
      </c>
      <c r="W35" s="1"/>
      <c r="X35" s="1">
        <f t="shared" ref="X35:X45" si="26">+P35-T35</f>
        <v>-6696.82</v>
      </c>
      <c r="Y35" s="1"/>
      <c r="Z35" s="5">
        <f t="shared" ref="Z35:Z45" si="27">IF(T35=0,0,X35/T35)</f>
        <v>-0.2344455530466138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1516.47</v>
      </c>
      <c r="E39" s="2"/>
      <c r="F39" s="7">
        <f t="shared" si="20"/>
        <v>1.3973173923892288E-2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1516.47</v>
      </c>
      <c r="M39" s="2"/>
      <c r="N39" s="7">
        <f t="shared" si="23"/>
        <v>0</v>
      </c>
      <c r="O39" s="11"/>
      <c r="P39" s="6">
        <v>1729.41</v>
      </c>
      <c r="Q39" s="2"/>
      <c r="R39" s="7">
        <f t="shared" si="24"/>
        <v>1.3471116913024246E-2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1729.41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3507.25</v>
      </c>
      <c r="E40" s="2"/>
      <c r="F40" s="7">
        <f t="shared" si="20"/>
        <v>3.2316771346990854E-2</v>
      </c>
      <c r="G40" s="2"/>
      <c r="H40" s="6">
        <v>2362.5</v>
      </c>
      <c r="I40" s="2"/>
      <c r="J40" s="7">
        <f t="shared" si="21"/>
        <v>8.7499999999999994E-2</v>
      </c>
      <c r="K40" s="2"/>
      <c r="L40" s="6">
        <f t="shared" si="22"/>
        <v>1144.75</v>
      </c>
      <c r="M40" s="2"/>
      <c r="N40" s="7">
        <f t="shared" si="23"/>
        <v>0.48455026455026456</v>
      </c>
      <c r="O40" s="11"/>
      <c r="P40" s="6">
        <v>6173.06</v>
      </c>
      <c r="Q40" s="2"/>
      <c r="R40" s="7">
        <f t="shared" si="24"/>
        <v>4.8084614389365996E-2</v>
      </c>
      <c r="S40" s="2"/>
      <c r="T40" s="6">
        <v>15148.5</v>
      </c>
      <c r="U40" s="2"/>
      <c r="V40" s="7">
        <f t="shared" si="25"/>
        <v>0.32230851063829785</v>
      </c>
      <c r="W40" s="2"/>
      <c r="X40" s="6">
        <f t="shared" si="26"/>
        <v>-8975.4399999999987</v>
      </c>
      <c r="Y40" s="2"/>
      <c r="Z40" s="7">
        <f t="shared" si="27"/>
        <v>-0.59249694689243149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247.5</v>
      </c>
      <c r="Q41" s="2"/>
      <c r="R41" s="7">
        <f t="shared" si="24"/>
        <v>1.9278837499340819E-3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247.5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9515.5400000000009</v>
      </c>
      <c r="E42" s="2"/>
      <c r="F42" s="7">
        <f t="shared" si="20"/>
        <v>8.7678816857408332E-2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9515.5400000000009</v>
      </c>
      <c r="M42" s="2"/>
      <c r="N42" s="7">
        <f t="shared" si="23"/>
        <v>0</v>
      </c>
      <c r="O42" s="11"/>
      <c r="P42" s="6">
        <v>11829.95</v>
      </c>
      <c r="Q42" s="2"/>
      <c r="R42" s="7">
        <f t="shared" si="24"/>
        <v>9.2148559060738156E-2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11829.95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1254.76</v>
      </c>
      <c r="E43" s="2"/>
      <c r="F43" s="7">
        <f t="shared" si="20"/>
        <v>1.1561705614184972E-2</v>
      </c>
      <c r="G43" s="2"/>
      <c r="H43" s="6">
        <v>5040</v>
      </c>
      <c r="I43" s="2"/>
      <c r="J43" s="7">
        <f t="shared" si="21"/>
        <v>0.18666666666666668</v>
      </c>
      <c r="K43" s="2"/>
      <c r="L43" s="6">
        <f t="shared" si="22"/>
        <v>-3785.24</v>
      </c>
      <c r="M43" s="2"/>
      <c r="N43" s="7">
        <f t="shared" si="23"/>
        <v>-0.75103968253968245</v>
      </c>
      <c r="O43" s="11"/>
      <c r="P43" s="6">
        <v>1887.76</v>
      </c>
      <c r="Q43" s="2"/>
      <c r="R43" s="7">
        <f t="shared" si="24"/>
        <v>1.4704573041517423E-2</v>
      </c>
      <c r="S43" s="2"/>
      <c r="T43" s="6">
        <v>13416</v>
      </c>
      <c r="U43" s="2"/>
      <c r="V43" s="7">
        <f t="shared" si="25"/>
        <v>0.28544680851063831</v>
      </c>
      <c r="W43" s="2"/>
      <c r="X43" s="6">
        <f t="shared" si="26"/>
        <v>-11528.24</v>
      </c>
      <c r="Y43" s="2"/>
      <c r="Z43" s="7">
        <f t="shared" si="27"/>
        <v>-0.8592903995229576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205.76</v>
      </c>
      <c r="E46" s="1"/>
      <c r="F46" s="5">
        <f t="shared" ref="F46:F58" si="28">IF(D$12=0,0,D46/D$12)</f>
        <v>1.8959295380588318E-3</v>
      </c>
      <c r="G46" s="1"/>
      <c r="H46" s="1">
        <f>SUM(OSRRefH22_2x_0)</f>
        <v>100</v>
      </c>
      <c r="I46" s="1"/>
      <c r="J46" s="5">
        <f t="shared" ref="J46:J58" si="29">IF(H$12=0,0,H46/H$12)</f>
        <v>3.7037037037037038E-3</v>
      </c>
      <c r="K46" s="1"/>
      <c r="L46" s="1">
        <f t="shared" ref="L46:L58" si="30">+D46-H46</f>
        <v>105.75999999999999</v>
      </c>
      <c r="M46" s="1"/>
      <c r="N46" s="5">
        <f t="shared" ref="N46:N58" si="31">IF(H46=0,0,L46/H46)</f>
        <v>1.0575999999999999</v>
      </c>
      <c r="O46" s="13"/>
      <c r="P46" s="1">
        <f>SUM(OSRRefP22_2x_0)</f>
        <v>2283.64</v>
      </c>
      <c r="Q46" s="1"/>
      <c r="R46" s="5">
        <f t="shared" ref="R46:R58" si="32">IF(P$12=0,0,P46/P$12)</f>
        <v>1.7788252309896835E-2</v>
      </c>
      <c r="S46" s="1"/>
      <c r="T46" s="1">
        <f>SUM(OSRRefT22_2x_0)</f>
        <v>200</v>
      </c>
      <c r="U46" s="1"/>
      <c r="V46" s="5">
        <f t="shared" ref="V46:V58" si="33">IF(T$12=0,0,T46/T$12)</f>
        <v>4.2553191489361703E-3</v>
      </c>
      <c r="W46" s="1"/>
      <c r="X46" s="1">
        <f t="shared" ref="X46:X58" si="34">+P46-T46</f>
        <v>2083.64</v>
      </c>
      <c r="Y46" s="1"/>
      <c r="Z46" s="5">
        <f t="shared" ref="Z46:Z58" si="35">IF(T46=0,0,X46/T46)</f>
        <v>10.418199999999999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205.76</v>
      </c>
      <c r="E47" s="2"/>
      <c r="F47" s="7">
        <f t="shared" si="28"/>
        <v>1.8959295380588318E-3</v>
      </c>
      <c r="G47" s="2"/>
      <c r="H47" s="6">
        <v>100</v>
      </c>
      <c r="I47" s="2"/>
      <c r="J47" s="7">
        <f t="shared" si="29"/>
        <v>3.7037037037037038E-3</v>
      </c>
      <c r="K47" s="2"/>
      <c r="L47" s="6">
        <f t="shared" si="30"/>
        <v>105.75999999999999</v>
      </c>
      <c r="M47" s="2"/>
      <c r="N47" s="7">
        <f t="shared" si="31"/>
        <v>1.0575999999999999</v>
      </c>
      <c r="O47" s="11"/>
      <c r="P47" s="6">
        <v>2283.64</v>
      </c>
      <c r="Q47" s="2"/>
      <c r="R47" s="7">
        <f t="shared" si="32"/>
        <v>1.7788252309896835E-2</v>
      </c>
      <c r="S47" s="2"/>
      <c r="T47" s="6">
        <v>200</v>
      </c>
      <c r="U47" s="2"/>
      <c r="V47" s="7">
        <f t="shared" si="33"/>
        <v>4.2553191489361703E-3</v>
      </c>
      <c r="W47" s="2"/>
      <c r="X47" s="6">
        <f t="shared" si="34"/>
        <v>2083.64</v>
      </c>
      <c r="Y47" s="2"/>
      <c r="Z47" s="7">
        <f t="shared" si="35"/>
        <v>10.418199999999999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1.9</v>
      </c>
      <c r="E48" s="1"/>
      <c r="F48" s="5">
        <f t="shared" si="28"/>
        <v>1.7507125400037814E-5</v>
      </c>
      <c r="G48" s="1"/>
      <c r="H48" s="1">
        <f>SUM(OSRRefH22_3x_0)</f>
        <v>25</v>
      </c>
      <c r="I48" s="1"/>
      <c r="J48" s="5">
        <f t="shared" si="29"/>
        <v>9.2592592592592596E-4</v>
      </c>
      <c r="K48" s="1"/>
      <c r="L48" s="1">
        <f t="shared" si="30"/>
        <v>-23.1</v>
      </c>
      <c r="M48" s="1"/>
      <c r="N48" s="5">
        <f t="shared" si="31"/>
        <v>-0.92400000000000004</v>
      </c>
      <c r="O48" s="13"/>
      <c r="P48" s="1">
        <f>SUM(OSRRefP22_3x_0)</f>
        <v>3.75</v>
      </c>
      <c r="Q48" s="1"/>
      <c r="R48" s="5">
        <f t="shared" si="32"/>
        <v>2.9210359847486091E-5</v>
      </c>
      <c r="S48" s="1"/>
      <c r="T48" s="1">
        <f>SUM(OSRRefT22_3x_0)</f>
        <v>50</v>
      </c>
      <c r="U48" s="1"/>
      <c r="V48" s="5">
        <f t="shared" si="33"/>
        <v>1.0638297872340426E-3</v>
      </c>
      <c r="W48" s="1"/>
      <c r="X48" s="1">
        <f t="shared" si="34"/>
        <v>-46.25</v>
      </c>
      <c r="Y48" s="1"/>
      <c r="Z48" s="5">
        <f t="shared" si="35"/>
        <v>-0.92500000000000004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1.9</v>
      </c>
      <c r="E49" s="2"/>
      <c r="F49" s="7">
        <f t="shared" si="28"/>
        <v>1.7507125400037814E-5</v>
      </c>
      <c r="G49" s="2"/>
      <c r="H49" s="6">
        <v>25</v>
      </c>
      <c r="I49" s="2"/>
      <c r="J49" s="7">
        <f t="shared" si="29"/>
        <v>9.2592592592592596E-4</v>
      </c>
      <c r="K49" s="2"/>
      <c r="L49" s="6">
        <f t="shared" si="30"/>
        <v>-23.1</v>
      </c>
      <c r="M49" s="2"/>
      <c r="N49" s="7">
        <f t="shared" si="31"/>
        <v>-0.92400000000000004</v>
      </c>
      <c r="O49" s="11"/>
      <c r="P49" s="6">
        <v>3.75</v>
      </c>
      <c r="Q49" s="2"/>
      <c r="R49" s="7">
        <f t="shared" si="32"/>
        <v>2.9210359847486091E-5</v>
      </c>
      <c r="S49" s="2"/>
      <c r="T49" s="6">
        <v>50</v>
      </c>
      <c r="U49" s="2"/>
      <c r="V49" s="7">
        <f t="shared" si="33"/>
        <v>1.0638297872340426E-3</v>
      </c>
      <c r="W49" s="2"/>
      <c r="X49" s="6">
        <f t="shared" si="34"/>
        <v>-46.25</v>
      </c>
      <c r="Y49" s="2"/>
      <c r="Z49" s="7">
        <f t="shared" si="35"/>
        <v>-0.92500000000000004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2463.54</v>
      </c>
      <c r="E50" s="1"/>
      <c r="F50" s="5">
        <f t="shared" si="28"/>
        <v>2.2699738793689032E-2</v>
      </c>
      <c r="G50" s="1"/>
      <c r="H50" s="1">
        <f>SUM(OSRRefH22_4x_0)</f>
        <v>100</v>
      </c>
      <c r="I50" s="1"/>
      <c r="J50" s="5">
        <f t="shared" si="29"/>
        <v>3.7037037037037038E-3</v>
      </c>
      <c r="K50" s="1"/>
      <c r="L50" s="1">
        <f t="shared" si="30"/>
        <v>2363.54</v>
      </c>
      <c r="M50" s="1"/>
      <c r="N50" s="5">
        <f t="shared" si="31"/>
        <v>23.635400000000001</v>
      </c>
      <c r="O50" s="13"/>
      <c r="P50" s="1">
        <f>SUM(OSRRefP22_4x_0)</f>
        <v>2812.09</v>
      </c>
      <c r="Q50" s="1"/>
      <c r="R50" s="5">
        <f t="shared" si="32"/>
        <v>2.1904576219604576E-2</v>
      </c>
      <c r="S50" s="1"/>
      <c r="T50" s="1">
        <f>SUM(OSRRefT22_4x_0)</f>
        <v>250</v>
      </c>
      <c r="U50" s="1"/>
      <c r="V50" s="5">
        <f t="shared" si="33"/>
        <v>5.3191489361702126E-3</v>
      </c>
      <c r="W50" s="1"/>
      <c r="X50" s="1">
        <f t="shared" si="34"/>
        <v>2562.09</v>
      </c>
      <c r="Y50" s="1"/>
      <c r="Z50" s="5">
        <f t="shared" si="35"/>
        <v>10.24836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2463.54</v>
      </c>
      <c r="E51" s="2"/>
      <c r="F51" s="7">
        <f t="shared" si="28"/>
        <v>2.2699738793689032E-2</v>
      </c>
      <c r="G51" s="2"/>
      <c r="H51" s="6">
        <v>100</v>
      </c>
      <c r="I51" s="2"/>
      <c r="J51" s="7">
        <f t="shared" si="29"/>
        <v>3.7037037037037038E-3</v>
      </c>
      <c r="K51" s="2"/>
      <c r="L51" s="6">
        <f t="shared" si="30"/>
        <v>2363.54</v>
      </c>
      <c r="M51" s="2"/>
      <c r="N51" s="7">
        <f t="shared" si="31"/>
        <v>23.635400000000001</v>
      </c>
      <c r="O51" s="11"/>
      <c r="P51" s="6">
        <v>2812.09</v>
      </c>
      <c r="Q51" s="2"/>
      <c r="R51" s="7">
        <f t="shared" si="32"/>
        <v>2.1904576219604576E-2</v>
      </c>
      <c r="S51" s="2"/>
      <c r="T51" s="6">
        <v>250</v>
      </c>
      <c r="U51" s="2"/>
      <c r="V51" s="7">
        <f t="shared" si="33"/>
        <v>5.3191489361702126E-3</v>
      </c>
      <c r="W51" s="2"/>
      <c r="X51" s="6">
        <f t="shared" si="34"/>
        <v>2562.09</v>
      </c>
      <c r="Y51" s="2"/>
      <c r="Z51" s="7">
        <f t="shared" si="35"/>
        <v>10.24836</v>
      </c>
    </row>
    <row r="52" spans="1:26" s="27" customFormat="1" outlineLevel="1" collapsed="1" x14ac:dyDescent="0.25">
      <c r="A52" s="26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SUM(OSRRefD22_5x_0)</f>
        <v>113.93</v>
      </c>
      <c r="E52" s="1"/>
      <c r="F52" s="5">
        <f t="shared" si="28"/>
        <v>1.0497825246454254E-3</v>
      </c>
      <c r="G52" s="1"/>
      <c r="H52" s="1">
        <f>SUM(OSRRefH22_5x_0)</f>
        <v>0</v>
      </c>
      <c r="I52" s="1"/>
      <c r="J52" s="5">
        <f t="shared" si="29"/>
        <v>0</v>
      </c>
      <c r="K52" s="1"/>
      <c r="L52" s="1">
        <f t="shared" si="30"/>
        <v>113.93</v>
      </c>
      <c r="M52" s="1"/>
      <c r="N52" s="5">
        <f t="shared" si="31"/>
        <v>0</v>
      </c>
      <c r="O52" s="13"/>
      <c r="P52" s="1">
        <f>SUM(OSRRefP22_5x_0)</f>
        <v>307.2</v>
      </c>
      <c r="Q52" s="1"/>
      <c r="R52" s="5">
        <f t="shared" si="32"/>
        <v>2.3929126787060606E-3</v>
      </c>
      <c r="S52" s="1"/>
      <c r="T52" s="1">
        <f>SUM(OSRRefT22_5x_0)</f>
        <v>100</v>
      </c>
      <c r="U52" s="1"/>
      <c r="V52" s="5">
        <f t="shared" si="33"/>
        <v>2.1276595744680851E-3</v>
      </c>
      <c r="W52" s="1"/>
      <c r="X52" s="1">
        <f t="shared" si="34"/>
        <v>207.2</v>
      </c>
      <c r="Y52" s="1"/>
      <c r="Z52" s="5">
        <f t="shared" si="35"/>
        <v>2.0720000000000001</v>
      </c>
    </row>
    <row r="53" spans="1:26" s="24" customFormat="1" hidden="1" outlineLevel="2" x14ac:dyDescent="0.25">
      <c r="A53" s="25"/>
      <c r="B53" s="11" t="str">
        <f>CONCATENATE("          ", "6277", " - ", "EMPLOYEE APPRECIATION")</f>
        <v xml:space="preserve">          6277 - EMPLOYEE APPRECIATION</v>
      </c>
      <c r="C53" s="11"/>
      <c r="D53" s="6">
        <v>113.93</v>
      </c>
      <c r="E53" s="2"/>
      <c r="F53" s="7">
        <f t="shared" si="28"/>
        <v>1.0497825246454254E-3</v>
      </c>
      <c r="G53" s="2"/>
      <c r="H53" s="6"/>
      <c r="I53" s="2"/>
      <c r="J53" s="7">
        <f t="shared" si="29"/>
        <v>0</v>
      </c>
      <c r="K53" s="2"/>
      <c r="L53" s="6">
        <f t="shared" si="30"/>
        <v>113.93</v>
      </c>
      <c r="M53" s="2"/>
      <c r="N53" s="7">
        <f t="shared" si="31"/>
        <v>0</v>
      </c>
      <c r="O53" s="11"/>
      <c r="P53" s="6">
        <v>307.2</v>
      </c>
      <c r="Q53" s="2"/>
      <c r="R53" s="7">
        <f t="shared" si="32"/>
        <v>2.3929126787060606E-3</v>
      </c>
      <c r="S53" s="2"/>
      <c r="T53" s="6">
        <v>100</v>
      </c>
      <c r="U53" s="2"/>
      <c r="V53" s="7">
        <f t="shared" si="33"/>
        <v>2.1276595744680851E-3</v>
      </c>
      <c r="W53" s="2"/>
      <c r="X53" s="6">
        <f t="shared" si="34"/>
        <v>207.2</v>
      </c>
      <c r="Y53" s="2"/>
      <c r="Z53" s="7">
        <f t="shared" si="35"/>
        <v>2.0720000000000001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SUM(OSRRefD22_6x_0)</f>
        <v>985.04</v>
      </c>
      <c r="E54" s="1"/>
      <c r="F54" s="5">
        <f t="shared" si="28"/>
        <v>9.0764309495017098E-3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985.04</v>
      </c>
      <c r="M54" s="1"/>
      <c r="N54" s="5">
        <f t="shared" si="31"/>
        <v>0</v>
      </c>
      <c r="O54" s="13"/>
      <c r="P54" s="1">
        <f>SUM(OSRRefP22_6x_0)</f>
        <v>4398.99</v>
      </c>
      <c r="Q54" s="1"/>
      <c r="R54" s="5">
        <f t="shared" si="32"/>
        <v>3.4265621564131418E-2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4398.99</v>
      </c>
      <c r="Y54" s="1"/>
      <c r="Z54" s="5">
        <f t="shared" si="35"/>
        <v>0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6">
        <v>985.04</v>
      </c>
      <c r="E55" s="2"/>
      <c r="F55" s="7">
        <f t="shared" si="28"/>
        <v>9.0764309495017098E-3</v>
      </c>
      <c r="G55" s="2"/>
      <c r="H55" s="6"/>
      <c r="I55" s="2"/>
      <c r="J55" s="7">
        <f t="shared" si="29"/>
        <v>0</v>
      </c>
      <c r="K55" s="2"/>
      <c r="L55" s="6">
        <f t="shared" si="30"/>
        <v>985.04</v>
      </c>
      <c r="M55" s="2"/>
      <c r="N55" s="7">
        <f t="shared" si="31"/>
        <v>0</v>
      </c>
      <c r="O55" s="11"/>
      <c r="P55" s="6">
        <v>4398.99</v>
      </c>
      <c r="Q55" s="2"/>
      <c r="R55" s="7">
        <f t="shared" si="32"/>
        <v>3.4265621564131418E-2</v>
      </c>
      <c r="S55" s="2"/>
      <c r="T55" s="6"/>
      <c r="U55" s="2"/>
      <c r="V55" s="7">
        <f t="shared" si="33"/>
        <v>0</v>
      </c>
      <c r="W55" s="2"/>
      <c r="X55" s="6">
        <f t="shared" si="34"/>
        <v>4398.99</v>
      </c>
      <c r="Y55" s="2"/>
      <c r="Z55" s="7">
        <f t="shared" si="35"/>
        <v>0</v>
      </c>
    </row>
    <row r="56" spans="1:26" s="27" customFormat="1" outlineLevel="1" collapsed="1" x14ac:dyDescent="0.25">
      <c r="A56" s="26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SUM(OSRRefD22_7x_0)</f>
        <v>382.5</v>
      </c>
      <c r="E56" s="1"/>
      <c r="F56" s="5">
        <f t="shared" si="28"/>
        <v>3.5244607713234019E-3</v>
      </c>
      <c r="G56" s="1"/>
      <c r="H56" s="1">
        <f>SUM(OSRRefH22_7x_0)</f>
        <v>3500</v>
      </c>
      <c r="I56" s="1"/>
      <c r="J56" s="5">
        <f t="shared" si="29"/>
        <v>0.12962962962962962</v>
      </c>
      <c r="K56" s="1"/>
      <c r="L56" s="1">
        <f t="shared" si="30"/>
        <v>-3117.5</v>
      </c>
      <c r="M56" s="1"/>
      <c r="N56" s="5">
        <f t="shared" si="31"/>
        <v>-0.89071428571428568</v>
      </c>
      <c r="O56" s="13"/>
      <c r="P56" s="1">
        <f>SUM(OSRRefP22_7x_0)</f>
        <v>817.22</v>
      </c>
      <c r="Q56" s="1"/>
      <c r="R56" s="5">
        <f t="shared" si="32"/>
        <v>6.3656774065500221E-3</v>
      </c>
      <c r="S56" s="1"/>
      <c r="T56" s="1">
        <f>SUM(OSRRefT22_7x_0)</f>
        <v>5000</v>
      </c>
      <c r="U56" s="1"/>
      <c r="V56" s="5">
        <f t="shared" si="33"/>
        <v>0.10638297872340426</v>
      </c>
      <c r="W56" s="1"/>
      <c r="X56" s="1">
        <f t="shared" si="34"/>
        <v>-4182.78</v>
      </c>
      <c r="Y56" s="1"/>
      <c r="Z56" s="5">
        <f t="shared" si="35"/>
        <v>-0.83655599999999997</v>
      </c>
    </row>
    <row r="57" spans="1:26" s="24" customFormat="1" hidden="1" outlineLevel="2" x14ac:dyDescent="0.25">
      <c r="A57" s="25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296.64</v>
      </c>
      <c r="Q57" s="2"/>
      <c r="R57" s="7">
        <f t="shared" si="32"/>
        <v>2.3106563053755394E-3</v>
      </c>
      <c r="S57" s="2"/>
      <c r="T57" s="6"/>
      <c r="U57" s="2"/>
      <c r="V57" s="7">
        <f t="shared" si="33"/>
        <v>0</v>
      </c>
      <c r="W57" s="2"/>
      <c r="X57" s="6">
        <f t="shared" si="34"/>
        <v>296.64</v>
      </c>
      <c r="Y57" s="2"/>
      <c r="Z57" s="7">
        <f t="shared" si="35"/>
        <v>0</v>
      </c>
    </row>
    <row r="58" spans="1:26" s="24" customFormat="1" hidden="1" outlineLevel="2" x14ac:dyDescent="0.25">
      <c r="A58" s="25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382.5</v>
      </c>
      <c r="E58" s="2"/>
      <c r="F58" s="7">
        <f t="shared" si="28"/>
        <v>3.5244607713234019E-3</v>
      </c>
      <c r="G58" s="2"/>
      <c r="H58" s="6">
        <v>3500</v>
      </c>
      <c r="I58" s="2"/>
      <c r="J58" s="7">
        <f t="shared" si="29"/>
        <v>0.12962962962962962</v>
      </c>
      <c r="K58" s="2"/>
      <c r="L58" s="6">
        <f t="shared" si="30"/>
        <v>-3117.5</v>
      </c>
      <c r="M58" s="2"/>
      <c r="N58" s="7">
        <f t="shared" si="31"/>
        <v>-0.89071428571428568</v>
      </c>
      <c r="O58" s="11"/>
      <c r="P58" s="6">
        <v>520.58000000000004</v>
      </c>
      <c r="Q58" s="2"/>
      <c r="R58" s="7">
        <f t="shared" si="32"/>
        <v>4.0550211011744827E-3</v>
      </c>
      <c r="S58" s="2"/>
      <c r="T58" s="6">
        <v>5000</v>
      </c>
      <c r="U58" s="2"/>
      <c r="V58" s="7">
        <f t="shared" si="33"/>
        <v>0.10638297872340426</v>
      </c>
      <c r="W58" s="2"/>
      <c r="X58" s="6">
        <f t="shared" si="34"/>
        <v>-4479.42</v>
      </c>
      <c r="Y58" s="2"/>
      <c r="Z58" s="7">
        <f t="shared" si="35"/>
        <v>-0.89588400000000001</v>
      </c>
    </row>
    <row r="59" spans="1:26" s="27" customFormat="1" outlineLevel="1" collapsed="1" x14ac:dyDescent="0.25">
      <c r="A59" s="26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SUM(OSRRefD22_8x_0)</f>
        <v>21705.439999999999</v>
      </c>
      <c r="E59" s="1"/>
      <c r="F59" s="5">
        <f t="shared" ref="F59:F62" si="36">IF(D$12=0,0,D59/D$12)</f>
        <v>0.19999992628578778</v>
      </c>
      <c r="G59" s="1"/>
      <c r="H59" s="1">
        <f>SUM(OSRRefH22_8x_0)</f>
        <v>5400</v>
      </c>
      <c r="I59" s="1"/>
      <c r="J59" s="5">
        <f t="shared" ref="J59:J62" si="37">IF(H$12=0,0,H59/H$12)</f>
        <v>0.2</v>
      </c>
      <c r="K59" s="1"/>
      <c r="L59" s="1">
        <f t="shared" ref="L59:L62" si="38">+D59-H59</f>
        <v>16305.439999999999</v>
      </c>
      <c r="M59" s="1"/>
      <c r="N59" s="5">
        <f t="shared" ref="N59:N62" si="39">IF(H59=0,0,L59/H59)</f>
        <v>3.0195259259259255</v>
      </c>
      <c r="O59" s="13"/>
      <c r="P59" s="1">
        <f>SUM(OSRRefP22_8x_0)</f>
        <v>28301.32</v>
      </c>
      <c r="Q59" s="1"/>
      <c r="R59" s="5">
        <f t="shared" ref="R59:R62" si="40">IF(P$12=0,0,P59/P$12)</f>
        <v>0.220451131029028</v>
      </c>
      <c r="S59" s="1"/>
      <c r="T59" s="1">
        <f>SUM(OSRRefT22_8x_0)</f>
        <v>9400</v>
      </c>
      <c r="U59" s="1"/>
      <c r="V59" s="5">
        <f t="shared" ref="V59:V62" si="41">IF(T$12=0,0,T59/T$12)</f>
        <v>0.2</v>
      </c>
      <c r="W59" s="1"/>
      <c r="X59" s="1">
        <f t="shared" ref="X59:X62" si="42">+P59-T59</f>
        <v>18901.32</v>
      </c>
      <c r="Y59" s="1"/>
      <c r="Z59" s="5">
        <f t="shared" ref="Z59:Z62" si="43">IF(T59=0,0,X59/T59)</f>
        <v>2.0107787234042553</v>
      </c>
    </row>
    <row r="60" spans="1:26" s="24" customFormat="1" hidden="1" outlineLevel="2" x14ac:dyDescent="0.25">
      <c r="A60" s="25"/>
      <c r="B60" s="11" t="str">
        <f>CONCATENATE("          ", "6252", " - ", "ROYALTY DUE CSTV")</f>
        <v xml:space="preserve">          6252 - ROYALTY DUE CSTV</v>
      </c>
      <c r="C60" s="11"/>
      <c r="D60" s="6"/>
      <c r="E60" s="2"/>
      <c r="F60" s="7">
        <f t="shared" si="36"/>
        <v>0</v>
      </c>
      <c r="G60" s="2"/>
      <c r="H60" s="6">
        <v>5400</v>
      </c>
      <c r="I60" s="2"/>
      <c r="J60" s="7">
        <f t="shared" si="37"/>
        <v>0.2</v>
      </c>
      <c r="K60" s="2"/>
      <c r="L60" s="6">
        <f t="shared" si="38"/>
        <v>-5400</v>
      </c>
      <c r="M60" s="2"/>
      <c r="N60" s="7">
        <f t="shared" si="39"/>
        <v>-1</v>
      </c>
      <c r="O60" s="11"/>
      <c r="P60" s="6"/>
      <c r="Q60" s="2"/>
      <c r="R60" s="7">
        <f t="shared" si="40"/>
        <v>0</v>
      </c>
      <c r="S60" s="2"/>
      <c r="T60" s="6">
        <v>5400</v>
      </c>
      <c r="U60" s="2"/>
      <c r="V60" s="7">
        <f t="shared" si="41"/>
        <v>0.1148936170212766</v>
      </c>
      <c r="W60" s="2"/>
      <c r="X60" s="6">
        <f t="shared" si="42"/>
        <v>-5400</v>
      </c>
      <c r="Y60" s="2"/>
      <c r="Z60" s="7">
        <f t="shared" si="43"/>
        <v>-1</v>
      </c>
    </row>
    <row r="61" spans="1:26" s="24" customFormat="1" hidden="1" outlineLevel="2" x14ac:dyDescent="0.25">
      <c r="A61" s="25"/>
      <c r="B61" s="11" t="str">
        <f>CONCATENATE("          ", "6253", " - ", "ROYALTY DUE ATHLETICS-LRG")</f>
        <v xml:space="preserve">          6253 - ROYALTY DUE ATHLETICS-LRG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/>
      <c r="Q61" s="2"/>
      <c r="R61" s="7">
        <f t="shared" si="40"/>
        <v>0</v>
      </c>
      <c r="S61" s="2"/>
      <c r="T61" s="6">
        <v>4000</v>
      </c>
      <c r="U61" s="2"/>
      <c r="V61" s="7">
        <f t="shared" si="41"/>
        <v>8.5106382978723402E-2</v>
      </c>
      <c r="W61" s="2"/>
      <c r="X61" s="6">
        <f t="shared" si="42"/>
        <v>-4000</v>
      </c>
      <c r="Y61" s="2"/>
      <c r="Z61" s="7">
        <f t="shared" si="43"/>
        <v>-1</v>
      </c>
    </row>
    <row r="62" spans="1:26" s="24" customFormat="1" hidden="1" outlineLevel="2" x14ac:dyDescent="0.25">
      <c r="A62" s="25"/>
      <c r="B62" s="11" t="str">
        <f>CONCATENATE("          ", "6254", " - ", "ROYALTY &amp; COMMISSIONS")</f>
        <v xml:space="preserve">          6254 - ROYALTY &amp; COMMISSIONS</v>
      </c>
      <c r="C62" s="11"/>
      <c r="D62" s="6">
        <v>21705.439999999999</v>
      </c>
      <c r="E62" s="2"/>
      <c r="F62" s="7">
        <f t="shared" si="36"/>
        <v>0.19999992628578778</v>
      </c>
      <c r="G62" s="2"/>
      <c r="H62" s="6"/>
      <c r="I62" s="2"/>
      <c r="J62" s="7">
        <f t="shared" si="37"/>
        <v>0</v>
      </c>
      <c r="K62" s="2"/>
      <c r="L62" s="6">
        <f t="shared" si="38"/>
        <v>21705.439999999999</v>
      </c>
      <c r="M62" s="2"/>
      <c r="N62" s="7">
        <f t="shared" si="39"/>
        <v>0</v>
      </c>
      <c r="O62" s="11"/>
      <c r="P62" s="6">
        <v>28301.32</v>
      </c>
      <c r="Q62" s="2"/>
      <c r="R62" s="7">
        <f t="shared" si="40"/>
        <v>0.220451131029028</v>
      </c>
      <c r="S62" s="2"/>
      <c r="T62" s="6"/>
      <c r="U62" s="2"/>
      <c r="V62" s="7">
        <f t="shared" si="41"/>
        <v>0</v>
      </c>
      <c r="W62" s="2"/>
      <c r="X62" s="6">
        <f t="shared" si="42"/>
        <v>28301.32</v>
      </c>
      <c r="Y62" s="2"/>
      <c r="Z62" s="7">
        <f t="shared" si="43"/>
        <v>0</v>
      </c>
    </row>
    <row r="63" spans="1:26" s="27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SUM(OSRRefD22_9x_0)</f>
        <v>48.75</v>
      </c>
      <c r="E63" s="1"/>
      <c r="F63" s="5">
        <f t="shared" ref="F63:F70" si="44">IF(D$12=0,0,D63/D$12)</f>
        <v>4.4919598065886498E-4</v>
      </c>
      <c r="G63" s="1"/>
      <c r="H63" s="1">
        <f>SUM(OSRRefH22_9x_0)</f>
        <v>25</v>
      </c>
      <c r="I63" s="1"/>
      <c r="J63" s="5">
        <f t="shared" ref="J63:J70" si="45">IF(H$12=0,0,H63/H$12)</f>
        <v>9.2592592592592596E-4</v>
      </c>
      <c r="K63" s="1"/>
      <c r="L63" s="1">
        <f t="shared" ref="L63:L70" si="46">+D63-H63</f>
        <v>23.75</v>
      </c>
      <c r="M63" s="1"/>
      <c r="N63" s="5">
        <f t="shared" ref="N63:N70" si="47">IF(H63=0,0,L63/H63)</f>
        <v>0.95</v>
      </c>
      <c r="O63" s="13"/>
      <c r="P63" s="1">
        <f>SUM(OSRRefP22_9x_0)</f>
        <v>93.5</v>
      </c>
      <c r="Q63" s="1"/>
      <c r="R63" s="5">
        <f t="shared" ref="R63:R70" si="48">IF(P$12=0,0,P63/P$12)</f>
        <v>7.2831163886398649E-4</v>
      </c>
      <c r="S63" s="1"/>
      <c r="T63" s="1">
        <f>SUM(OSRRefT22_9x_0)</f>
        <v>50</v>
      </c>
      <c r="U63" s="1"/>
      <c r="V63" s="5">
        <f t="shared" ref="V63:V70" si="49">IF(T$12=0,0,T63/T$12)</f>
        <v>1.0638297872340426E-3</v>
      </c>
      <c r="W63" s="1"/>
      <c r="X63" s="1">
        <f t="shared" ref="X63:X70" si="50">+P63-T63</f>
        <v>43.5</v>
      </c>
      <c r="Y63" s="1"/>
      <c r="Z63" s="5">
        <f t="shared" ref="Z63:Z70" si="51">IF(T63=0,0,X63/T63)</f>
        <v>0.87</v>
      </c>
    </row>
    <row r="64" spans="1:26" s="24" customFormat="1" hidden="1" outlineLevel="2" x14ac:dyDescent="0.25">
      <c r="A64" s="25"/>
      <c r="B64" s="11" t="str">
        <f>CONCATENATE("          ", "6286", " - ", "LAUNDRY EXPENSE")</f>
        <v xml:space="preserve">          6286 - LAUNDRY EXPENSE</v>
      </c>
      <c r="C64" s="11"/>
      <c r="D64" s="6">
        <v>48.75</v>
      </c>
      <c r="E64" s="2"/>
      <c r="F64" s="7">
        <f t="shared" si="44"/>
        <v>4.4919598065886498E-4</v>
      </c>
      <c r="G64" s="2"/>
      <c r="H64" s="6">
        <v>25</v>
      </c>
      <c r="I64" s="2"/>
      <c r="J64" s="7">
        <f t="shared" si="45"/>
        <v>9.2592592592592596E-4</v>
      </c>
      <c r="K64" s="2"/>
      <c r="L64" s="6">
        <f t="shared" si="46"/>
        <v>23.75</v>
      </c>
      <c r="M64" s="2"/>
      <c r="N64" s="7">
        <f t="shared" si="47"/>
        <v>0.95</v>
      </c>
      <c r="O64" s="11"/>
      <c r="P64" s="6">
        <v>93.5</v>
      </c>
      <c r="Q64" s="2"/>
      <c r="R64" s="7">
        <f t="shared" si="48"/>
        <v>7.2831163886398649E-4</v>
      </c>
      <c r="S64" s="2"/>
      <c r="T64" s="6">
        <v>50</v>
      </c>
      <c r="U64" s="2"/>
      <c r="V64" s="7">
        <f t="shared" si="49"/>
        <v>1.0638297872340426E-3</v>
      </c>
      <c r="W64" s="2"/>
      <c r="X64" s="6">
        <f t="shared" si="50"/>
        <v>43.5</v>
      </c>
      <c r="Y64" s="2"/>
      <c r="Z64" s="7">
        <f t="shared" si="51"/>
        <v>0.87</v>
      </c>
    </row>
    <row r="65" spans="1:26" s="27" customFormat="1" outlineLevel="1" collapsed="1" x14ac:dyDescent="0.25">
      <c r="A65" s="26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4257.8799999999992</v>
      </c>
      <c r="E65" s="1"/>
      <c r="F65" s="5">
        <f t="shared" si="44"/>
        <v>3.9233283735954208E-2</v>
      </c>
      <c r="G65" s="1"/>
      <c r="H65" s="1">
        <f>SUM(OSRRefH22_10x_0)</f>
        <v>950</v>
      </c>
      <c r="I65" s="1"/>
      <c r="J65" s="5">
        <f t="shared" si="45"/>
        <v>3.5185185185185187E-2</v>
      </c>
      <c r="K65" s="1"/>
      <c r="L65" s="1">
        <f t="shared" si="46"/>
        <v>3307.8799999999992</v>
      </c>
      <c r="M65" s="1"/>
      <c r="N65" s="5">
        <f t="shared" si="47"/>
        <v>3.4819789473684204</v>
      </c>
      <c r="O65" s="13"/>
      <c r="P65" s="1">
        <f>SUM(OSRRefP22_10x_0)</f>
        <v>5865.89</v>
      </c>
      <c r="Q65" s="1"/>
      <c r="R65" s="5">
        <f t="shared" si="48"/>
        <v>4.5691935393538718E-2</v>
      </c>
      <c r="S65" s="1"/>
      <c r="T65" s="1">
        <f>SUM(OSRRefT22_10x_0)</f>
        <v>1450</v>
      </c>
      <c r="U65" s="1"/>
      <c r="V65" s="5">
        <f t="shared" si="49"/>
        <v>3.0851063829787233E-2</v>
      </c>
      <c r="W65" s="1"/>
      <c r="X65" s="1">
        <f t="shared" si="50"/>
        <v>4415.8900000000003</v>
      </c>
      <c r="Y65" s="1"/>
      <c r="Z65" s="5">
        <f t="shared" si="51"/>
        <v>3.0454413793103452</v>
      </c>
    </row>
    <row r="66" spans="1:26" s="24" customFormat="1" hidden="1" outlineLevel="2" x14ac:dyDescent="0.25">
      <c r="A66" s="25"/>
      <c r="B66" s="11" t="str">
        <f>CONCATENATE("          ", "6237", " - ", "JANITORIAL SUPPLIES")</f>
        <v xml:space="preserve">          6237 - JANITORIAL SUPPLIES</v>
      </c>
      <c r="C66" s="11"/>
      <c r="D66" s="6">
        <v>78.81</v>
      </c>
      <c r="E66" s="2"/>
      <c r="F66" s="7">
        <f t="shared" si="44"/>
        <v>7.2617713304051594E-4</v>
      </c>
      <c r="G66" s="2"/>
      <c r="H66" s="6"/>
      <c r="I66" s="2"/>
      <c r="J66" s="7">
        <f t="shared" si="45"/>
        <v>0</v>
      </c>
      <c r="K66" s="2"/>
      <c r="L66" s="6">
        <f t="shared" si="46"/>
        <v>78.81</v>
      </c>
      <c r="M66" s="2"/>
      <c r="N66" s="7">
        <f t="shared" si="47"/>
        <v>0</v>
      </c>
      <c r="O66" s="11"/>
      <c r="P66" s="6">
        <v>78.81</v>
      </c>
      <c r="Q66" s="2"/>
      <c r="R66" s="7">
        <f t="shared" si="48"/>
        <v>6.1388492255476769E-4</v>
      </c>
      <c r="S66" s="2"/>
      <c r="T66" s="6"/>
      <c r="U66" s="2"/>
      <c r="V66" s="7">
        <f t="shared" si="49"/>
        <v>0</v>
      </c>
      <c r="W66" s="2"/>
      <c r="X66" s="6">
        <f t="shared" si="50"/>
        <v>78.81</v>
      </c>
      <c r="Y66" s="2"/>
      <c r="Z66" s="7">
        <f t="shared" si="51"/>
        <v>0</v>
      </c>
    </row>
    <row r="67" spans="1:26" s="24" customFormat="1" hidden="1" outlineLevel="2" x14ac:dyDescent="0.25">
      <c r="A67" s="25"/>
      <c r="B67" s="11" t="str">
        <f>CONCATENATE("          ", "6239", " - ", "KITCHEN SUPPLIES")</f>
        <v xml:space="preserve">          6239 - KITCHEN SUPPLIES</v>
      </c>
      <c r="C67" s="11"/>
      <c r="D67" s="6">
        <v>3114.45</v>
      </c>
      <c r="E67" s="2"/>
      <c r="F67" s="7">
        <f t="shared" si="44"/>
        <v>2.8697403527446194E-2</v>
      </c>
      <c r="G67" s="2"/>
      <c r="H67" s="6">
        <v>200</v>
      </c>
      <c r="I67" s="2"/>
      <c r="J67" s="7">
        <f t="shared" si="45"/>
        <v>7.4074074074074077E-3</v>
      </c>
      <c r="K67" s="2"/>
      <c r="L67" s="6">
        <f t="shared" si="46"/>
        <v>2914.45</v>
      </c>
      <c r="M67" s="2"/>
      <c r="N67" s="7">
        <f t="shared" si="47"/>
        <v>14.572249999999999</v>
      </c>
      <c r="O67" s="11"/>
      <c r="P67" s="6">
        <v>3989.87</v>
      </c>
      <c r="Q67" s="2"/>
      <c r="R67" s="7">
        <f t="shared" si="48"/>
        <v>3.1078810251917152E-2</v>
      </c>
      <c r="S67" s="2"/>
      <c r="T67" s="6">
        <v>200</v>
      </c>
      <c r="U67" s="2"/>
      <c r="V67" s="7">
        <f t="shared" si="49"/>
        <v>4.2553191489361703E-3</v>
      </c>
      <c r="W67" s="2"/>
      <c r="X67" s="6">
        <f t="shared" si="50"/>
        <v>3789.87</v>
      </c>
      <c r="Y67" s="2"/>
      <c r="Z67" s="7">
        <f t="shared" si="51"/>
        <v>18.949349999999999</v>
      </c>
    </row>
    <row r="68" spans="1:26" s="24" customFormat="1" hidden="1" outlineLevel="2" x14ac:dyDescent="0.25">
      <c r="A68" s="25"/>
      <c r="B68" s="11" t="str">
        <f>CONCATENATE("          ", "6241", " - ", "OFFICE EXPENSE")</f>
        <v xml:space="preserve">          6241 - OFFICE EXPENSE</v>
      </c>
      <c r="C68" s="11"/>
      <c r="D68" s="6">
        <v>51.29</v>
      </c>
      <c r="E68" s="2"/>
      <c r="F68" s="7">
        <f t="shared" si="44"/>
        <v>4.7260024303575764E-4</v>
      </c>
      <c r="G68" s="2"/>
      <c r="H68" s="6">
        <v>250</v>
      </c>
      <c r="I68" s="2"/>
      <c r="J68" s="7">
        <f t="shared" si="45"/>
        <v>9.2592592592592587E-3</v>
      </c>
      <c r="K68" s="2"/>
      <c r="L68" s="6">
        <f t="shared" si="46"/>
        <v>-198.71</v>
      </c>
      <c r="M68" s="2"/>
      <c r="N68" s="7">
        <f t="shared" si="47"/>
        <v>-0.79483999999999999</v>
      </c>
      <c r="O68" s="11"/>
      <c r="P68" s="6">
        <v>84.35</v>
      </c>
      <c r="Q68" s="2"/>
      <c r="R68" s="7">
        <f t="shared" si="48"/>
        <v>6.570383608361204E-4</v>
      </c>
      <c r="S68" s="2"/>
      <c r="T68" s="6">
        <v>250</v>
      </c>
      <c r="U68" s="2"/>
      <c r="V68" s="7">
        <f t="shared" si="49"/>
        <v>5.3191489361702126E-3</v>
      </c>
      <c r="W68" s="2"/>
      <c r="X68" s="6">
        <f t="shared" si="50"/>
        <v>-165.65</v>
      </c>
      <c r="Y68" s="2"/>
      <c r="Z68" s="7">
        <f t="shared" si="51"/>
        <v>-0.66260000000000008</v>
      </c>
    </row>
    <row r="69" spans="1:26" s="24" customFormat="1" hidden="1" outlineLevel="2" x14ac:dyDescent="0.25">
      <c r="A69" s="25"/>
      <c r="B69" s="11" t="str">
        <f>CONCATENATE("          ", "6243", " - ", "PAPER SUPPLIES")</f>
        <v xml:space="preserve">          6243 - PAPER SUPPLIES</v>
      </c>
      <c r="C69" s="11"/>
      <c r="D69" s="6">
        <v>233.33</v>
      </c>
      <c r="E69" s="2"/>
      <c r="F69" s="7">
        <f t="shared" si="44"/>
        <v>2.149967141889907E-3</v>
      </c>
      <c r="G69" s="2"/>
      <c r="H69" s="6">
        <v>500</v>
      </c>
      <c r="I69" s="2"/>
      <c r="J69" s="7">
        <f t="shared" si="45"/>
        <v>1.8518518518518517E-2</v>
      </c>
      <c r="K69" s="2"/>
      <c r="L69" s="6">
        <f t="shared" si="46"/>
        <v>-266.66999999999996</v>
      </c>
      <c r="M69" s="2"/>
      <c r="N69" s="7">
        <f t="shared" si="47"/>
        <v>-0.53333999999999993</v>
      </c>
      <c r="O69" s="11"/>
      <c r="P69" s="6">
        <v>287.97000000000003</v>
      </c>
      <c r="Q69" s="2"/>
      <c r="R69" s="7">
        <f t="shared" si="48"/>
        <v>2.2431219534081522E-3</v>
      </c>
      <c r="S69" s="2"/>
      <c r="T69" s="6">
        <v>1000</v>
      </c>
      <c r="U69" s="2"/>
      <c r="V69" s="7">
        <f t="shared" si="49"/>
        <v>2.1276595744680851E-2</v>
      </c>
      <c r="W69" s="2"/>
      <c r="X69" s="6">
        <f t="shared" si="50"/>
        <v>-712.03</v>
      </c>
      <c r="Y69" s="2"/>
      <c r="Z69" s="7">
        <f t="shared" si="51"/>
        <v>-0.71202999999999994</v>
      </c>
    </row>
    <row r="70" spans="1:26" s="24" customFormat="1" hidden="1" outlineLevel="2" x14ac:dyDescent="0.25">
      <c r="A70" s="25"/>
      <c r="B70" s="11" t="str">
        <f>CONCATENATE("          ", "6247", " - ", "STORE SUPPLIES")</f>
        <v xml:space="preserve">          6247 - STORE SUPPLIES</v>
      </c>
      <c r="C70" s="11"/>
      <c r="D70" s="6">
        <v>780</v>
      </c>
      <c r="E70" s="2"/>
      <c r="F70" s="7">
        <f t="shared" si="44"/>
        <v>7.1871356905418397E-3</v>
      </c>
      <c r="G70" s="2"/>
      <c r="H70" s="6"/>
      <c r="I70" s="2"/>
      <c r="J70" s="7">
        <f t="shared" si="45"/>
        <v>0</v>
      </c>
      <c r="K70" s="2"/>
      <c r="L70" s="6">
        <f t="shared" si="46"/>
        <v>780</v>
      </c>
      <c r="M70" s="2"/>
      <c r="N70" s="7">
        <f t="shared" si="47"/>
        <v>0</v>
      </c>
      <c r="O70" s="11"/>
      <c r="P70" s="6">
        <v>1424.89</v>
      </c>
      <c r="Q70" s="2"/>
      <c r="R70" s="7">
        <f t="shared" si="48"/>
        <v>1.1099079904822522E-2</v>
      </c>
      <c r="S70" s="2"/>
      <c r="T70" s="6"/>
      <c r="U70" s="2"/>
      <c r="V70" s="7">
        <f t="shared" si="49"/>
        <v>0</v>
      </c>
      <c r="W70" s="2"/>
      <c r="X70" s="6">
        <f t="shared" si="50"/>
        <v>1424.89</v>
      </c>
      <c r="Y70" s="2"/>
      <c r="Z70" s="7">
        <f t="shared" si="51"/>
        <v>0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SUM(OSRRefD22_11x_0)</f>
        <v>214.01</v>
      </c>
      <c r="E71" s="1"/>
      <c r="F71" s="5">
        <f t="shared" ref="F71:F73" si="52">IF(D$12=0,0,D71/D$12)</f>
        <v>1.9719473194011014E-3</v>
      </c>
      <c r="G71" s="1"/>
      <c r="H71" s="1">
        <f>SUM(OSRRefH22_11x_0)</f>
        <v>298</v>
      </c>
      <c r="I71" s="1"/>
      <c r="J71" s="5">
        <f t="shared" ref="J71:J73" si="53">IF(H$12=0,0,H71/H$12)</f>
        <v>1.1037037037037036E-2</v>
      </c>
      <c r="K71" s="1"/>
      <c r="L71" s="1">
        <f t="shared" ref="L71:L73" si="54">+D71-H71</f>
        <v>-83.990000000000009</v>
      </c>
      <c r="M71" s="1"/>
      <c r="N71" s="5">
        <f t="shared" ref="N71:N73" si="55">IF(H71=0,0,L71/H71)</f>
        <v>-0.28184563758389264</v>
      </c>
      <c r="O71" s="13"/>
      <c r="P71" s="1">
        <f>SUM(OSRRefP22_11x_0)</f>
        <v>1712.07</v>
      </c>
      <c r="Q71" s="1"/>
      <c r="R71" s="5">
        <f t="shared" ref="R71:R73" si="56">IF(P$12=0,0,P71/P$12)</f>
        <v>1.3336048209089469E-2</v>
      </c>
      <c r="S71" s="1"/>
      <c r="T71" s="1">
        <f>SUM(OSRRefT22_11x_0)</f>
        <v>2384</v>
      </c>
      <c r="U71" s="1"/>
      <c r="V71" s="5">
        <f t="shared" ref="V71:V73" si="57">IF(T$12=0,0,T71/T$12)</f>
        <v>5.0723404255319147E-2</v>
      </c>
      <c r="W71" s="1"/>
      <c r="X71" s="1">
        <f t="shared" ref="X71:X73" si="58">+P71-T71</f>
        <v>-671.93000000000006</v>
      </c>
      <c r="Y71" s="1"/>
      <c r="Z71" s="5">
        <f t="shared" ref="Z71:Z73" si="59">IF(T71=0,0,X71/T71)</f>
        <v>-0.28184983221476512</v>
      </c>
    </row>
    <row r="72" spans="1:26" s="24" customFormat="1" hidden="1" outlineLevel="2" x14ac:dyDescent="0.25">
      <c r="A72" s="25"/>
      <c r="B72" s="11" t="str">
        <f>CONCATENATE("          ", "6303", " - ", "DATA PHONE LINES")</f>
        <v xml:space="preserve">          6303 - DATA PHONE LINES</v>
      </c>
      <c r="C72" s="11"/>
      <c r="D72" s="6"/>
      <c r="E72" s="2"/>
      <c r="F72" s="7">
        <f t="shared" si="52"/>
        <v>0</v>
      </c>
      <c r="G72" s="2"/>
      <c r="H72" s="6">
        <v>298</v>
      </c>
      <c r="I72" s="2"/>
      <c r="J72" s="7">
        <f t="shared" si="53"/>
        <v>1.1037037037037036E-2</v>
      </c>
      <c r="K72" s="2"/>
      <c r="L72" s="6">
        <f t="shared" si="54"/>
        <v>-298</v>
      </c>
      <c r="M72" s="2"/>
      <c r="N72" s="7">
        <f t="shared" si="55"/>
        <v>-1</v>
      </c>
      <c r="O72" s="11"/>
      <c r="P72" s="6"/>
      <c r="Q72" s="2"/>
      <c r="R72" s="7">
        <f t="shared" si="56"/>
        <v>0</v>
      </c>
      <c r="S72" s="2"/>
      <c r="T72" s="6">
        <v>2384</v>
      </c>
      <c r="U72" s="2"/>
      <c r="V72" s="7">
        <f t="shared" si="57"/>
        <v>5.0723404255319147E-2</v>
      </c>
      <c r="W72" s="2"/>
      <c r="X72" s="6">
        <f t="shared" si="58"/>
        <v>-2384</v>
      </c>
      <c r="Y72" s="2"/>
      <c r="Z72" s="7">
        <f t="shared" si="59"/>
        <v>-1</v>
      </c>
    </row>
    <row r="73" spans="1:26" s="24" customFormat="1" hidden="1" outlineLevel="2" x14ac:dyDescent="0.25">
      <c r="A73" s="25"/>
      <c r="B73" s="11" t="str">
        <f>CONCATENATE("          ", "6309", " - ", "TELEPHONE")</f>
        <v xml:space="preserve">          6309 - TELEPHONE</v>
      </c>
      <c r="C73" s="11"/>
      <c r="D73" s="6">
        <v>214.01</v>
      </c>
      <c r="E73" s="2"/>
      <c r="F73" s="7">
        <f t="shared" si="52"/>
        <v>1.9719473194011014E-3</v>
      </c>
      <c r="G73" s="2"/>
      <c r="H73" s="6"/>
      <c r="I73" s="2"/>
      <c r="J73" s="7">
        <f t="shared" si="53"/>
        <v>0</v>
      </c>
      <c r="K73" s="2"/>
      <c r="L73" s="6">
        <f t="shared" si="54"/>
        <v>214.01</v>
      </c>
      <c r="M73" s="2"/>
      <c r="N73" s="7">
        <f t="shared" si="55"/>
        <v>0</v>
      </c>
      <c r="O73" s="11"/>
      <c r="P73" s="6">
        <v>1712.07</v>
      </c>
      <c r="Q73" s="2"/>
      <c r="R73" s="7">
        <f t="shared" si="56"/>
        <v>1.3336048209089469E-2</v>
      </c>
      <c r="S73" s="2"/>
      <c r="T73" s="6"/>
      <c r="U73" s="2"/>
      <c r="V73" s="7">
        <f t="shared" si="57"/>
        <v>0</v>
      </c>
      <c r="W73" s="2"/>
      <c r="X73" s="6">
        <f t="shared" si="58"/>
        <v>1712.07</v>
      </c>
      <c r="Y73" s="2"/>
      <c r="Z73" s="7">
        <f t="shared" si="59"/>
        <v>0</v>
      </c>
    </row>
    <row r="74" spans="1:26" s="53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collapsed="1" x14ac:dyDescent="0.25">
      <c r="A75" s="10"/>
      <c r="B75" s="29" t="s">
        <v>0</v>
      </c>
      <c r="C75" s="10"/>
      <c r="D75" s="4">
        <f>SUM(OSRRefD25x_0)</f>
        <v>194.29</v>
      </c>
      <c r="E75" s="4"/>
      <c r="F75" s="12">
        <f t="shared" ref="F75:F76" si="60">IF(D$12=0,0,D75/D$12)</f>
        <v>1.7902417863017615E-3</v>
      </c>
      <c r="G75" s="4"/>
      <c r="H75" s="4">
        <f>SUM(OSRRefH25x_0)</f>
        <v>4500</v>
      </c>
      <c r="I75" s="4"/>
      <c r="J75" s="12">
        <f t="shared" ref="J75:J76" si="61">IF(H$12=0,0,H75/H$12)</f>
        <v>0.16666666666666666</v>
      </c>
      <c r="K75" s="4"/>
      <c r="L75" s="4">
        <f t="shared" ref="L75:L76" si="62">+D75-H75</f>
        <v>-4305.71</v>
      </c>
      <c r="M75" s="4"/>
      <c r="N75" s="12">
        <f t="shared" ref="N75:N76" si="63">IF(H75=0,0,L75/H75)</f>
        <v>-0.95682444444444448</v>
      </c>
      <c r="O75" s="10"/>
      <c r="P75" s="4">
        <f>SUM(OSRRefP25x_0)</f>
        <v>5688.93</v>
      </c>
      <c r="Q75" s="4"/>
      <c r="R75" s="12">
        <f t="shared" ref="R75:R76" si="64">IF(P$12=0,0,P75/P$12)</f>
        <v>4.431351798590908E-2</v>
      </c>
      <c r="S75" s="4"/>
      <c r="T75" s="4">
        <f>SUM(OSRRefT25x_0)</f>
        <v>4500</v>
      </c>
      <c r="U75" s="4"/>
      <c r="V75" s="12">
        <f t="shared" ref="V75:V76" si="65">IF(T$12=0,0,T75/T$12)</f>
        <v>9.5744680851063829E-2</v>
      </c>
      <c r="W75" s="4"/>
      <c r="X75" s="4">
        <f t="shared" ref="X75:X76" si="66">+P75-T75</f>
        <v>1188.9300000000003</v>
      </c>
      <c r="Y75" s="4"/>
      <c r="Z75" s="12">
        <f t="shared" ref="Z75:Z76" si="67">IF(T75=0,0,X75/T75)</f>
        <v>0.26420666666666676</v>
      </c>
    </row>
    <row r="76" spans="1:26" s="24" customFormat="1" hidden="1" outlineLevel="1" x14ac:dyDescent="0.25">
      <c r="A76" s="44"/>
      <c r="B76" s="11" t="str">
        <f>CONCATENATE("          ", "9150", " - ", "MISC. INCOME")</f>
        <v xml:space="preserve">          9150 - MISC. INCOME</v>
      </c>
      <c r="C76" s="11"/>
      <c r="D76" s="2">
        <f>--194.29</f>
        <v>194.29</v>
      </c>
      <c r="E76" s="2"/>
      <c r="F76" s="19">
        <f t="shared" si="60"/>
        <v>1.7902417863017615E-3</v>
      </c>
      <c r="G76" s="2"/>
      <c r="H76" s="2">
        <v>4500</v>
      </c>
      <c r="I76" s="2"/>
      <c r="J76" s="19">
        <f t="shared" si="61"/>
        <v>0.16666666666666666</v>
      </c>
      <c r="K76" s="2"/>
      <c r="L76" s="2">
        <f t="shared" si="62"/>
        <v>-4305.71</v>
      </c>
      <c r="M76" s="2"/>
      <c r="N76" s="19">
        <f t="shared" si="63"/>
        <v>-0.95682444444444448</v>
      </c>
      <c r="O76" s="11"/>
      <c r="P76" s="2">
        <f>--5688.93</f>
        <v>5688.93</v>
      </c>
      <c r="Q76" s="2"/>
      <c r="R76" s="19">
        <f t="shared" si="64"/>
        <v>4.431351798590908E-2</v>
      </c>
      <c r="S76" s="2"/>
      <c r="T76" s="2">
        <v>4500</v>
      </c>
      <c r="U76" s="2"/>
      <c r="V76" s="19">
        <f t="shared" si="65"/>
        <v>9.5744680851063829E-2</v>
      </c>
      <c r="W76" s="2"/>
      <c r="X76" s="2">
        <f t="shared" si="66"/>
        <v>1188.9300000000003</v>
      </c>
      <c r="Y76" s="2"/>
      <c r="Z76" s="19">
        <f t="shared" si="67"/>
        <v>0.26420666666666676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3</v>
      </c>
      <c r="C78" s="28"/>
      <c r="D78" s="21">
        <f>+D23-D25+D75</f>
        <v>39857.310000000005</v>
      </c>
      <c r="E78" s="14"/>
      <c r="F78" s="22">
        <f>IF(D$12=0,0,D78/D$12)</f>
        <v>0.36725627593588489</v>
      </c>
      <c r="G78" s="14"/>
      <c r="H78" s="21">
        <f>+H23-H25+H75</f>
        <v>6708.1785000000018</v>
      </c>
      <c r="I78" s="14"/>
      <c r="J78" s="22">
        <f>IF(H$12=0,0,H78/H$12)</f>
        <v>0.24845105555555563</v>
      </c>
      <c r="K78" s="15"/>
      <c r="L78" s="21">
        <f>+D78-H78</f>
        <v>33149.131500000003</v>
      </c>
      <c r="M78" s="15"/>
      <c r="N78" s="22">
        <f>IF(H78=0,0,L78/H78)</f>
        <v>4.9415994967933541</v>
      </c>
      <c r="O78" s="29"/>
      <c r="P78" s="21">
        <f>+P23-P25+P75</f>
        <v>32887.219999999994</v>
      </c>
      <c r="Q78" s="14"/>
      <c r="R78" s="22">
        <f>IF(P$12=0,0,P78/P$12)</f>
        <v>0.25617267482225103</v>
      </c>
      <c r="S78" s="14"/>
      <c r="T78" s="21">
        <f>+T23-T25+T75</f>
        <v>-8629.7027000000016</v>
      </c>
      <c r="U78" s="14"/>
      <c r="V78" s="22">
        <f>IF(T$12=0,0,T78/T$12)</f>
        <v>-0.18361069574468089</v>
      </c>
      <c r="W78" s="15"/>
      <c r="X78" s="21">
        <f>+P78-T78</f>
        <v>41516.922699999996</v>
      </c>
      <c r="Y78" s="15"/>
      <c r="Z78" s="22">
        <f>IF(T78=0,0,X78/T78)</f>
        <v>-4.8109331390987533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11014.1</v>
      </c>
      <c r="E80" s="4"/>
      <c r="F80" s="12">
        <f>IF(D$12=0,0,D80/D$12)</f>
        <v>0.10148696308871395</v>
      </c>
      <c r="G80" s="4"/>
      <c r="H80" s="4">
        <v>3189</v>
      </c>
      <c r="I80" s="4"/>
      <c r="J80" s="12">
        <f>IF(H$12=0,0,H80/H$12)</f>
        <v>0.11811111111111111</v>
      </c>
      <c r="K80" s="4"/>
      <c r="L80" s="4">
        <f>+D80-H80</f>
        <v>7825.1</v>
      </c>
      <c r="M80" s="4"/>
      <c r="N80" s="12">
        <f>IF(H80=0,0,L80/H80)</f>
        <v>2.4537786139855755</v>
      </c>
      <c r="O80" s="10"/>
      <c r="P80" s="4">
        <v>13084.37</v>
      </c>
      <c r="Q80" s="4"/>
      <c r="R80" s="12">
        <f>IF(P$12=0,0,P80/P$12)</f>
        <v>0.10191977495404042</v>
      </c>
      <c r="S80" s="4"/>
      <c r="T80" s="4">
        <v>5652</v>
      </c>
      <c r="U80" s="4"/>
      <c r="V80" s="12">
        <f>IF(T$12=0,0,T80/T$12)</f>
        <v>0.12025531914893617</v>
      </c>
      <c r="W80" s="4"/>
      <c r="X80" s="4">
        <f>+P80-T80</f>
        <v>7432.3700000000008</v>
      </c>
      <c r="Y80" s="4"/>
      <c r="Z80" s="12">
        <f>IF(T80=0,0,X80/T80)</f>
        <v>1.3149982307147914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4</v>
      </c>
      <c r="C82" s="28"/>
      <c r="D82" s="31">
        <f>+D78-D80</f>
        <v>28843.210000000006</v>
      </c>
      <c r="E82" s="14"/>
      <c r="F82" s="32">
        <f>IF(D$12=0,0,D82/D$12)</f>
        <v>0.26576931284717092</v>
      </c>
      <c r="G82" s="14"/>
      <c r="H82" s="31">
        <f>+H78-H80</f>
        <v>3519.1785000000018</v>
      </c>
      <c r="I82" s="14"/>
      <c r="J82" s="32">
        <f>IF(H$12=0,0,H82/H$12)</f>
        <v>0.13033994444444452</v>
      </c>
      <c r="K82" s="15"/>
      <c r="L82" s="31">
        <f>D82-H82</f>
        <v>25324.031500000005</v>
      </c>
      <c r="M82" s="15"/>
      <c r="N82" s="32">
        <f>IF(H82=0,0,L82/H82)</f>
        <v>7.1960065395943946</v>
      </c>
      <c r="O82" s="29"/>
      <c r="P82" s="31">
        <f>+P78-P80</f>
        <v>19802.849999999991</v>
      </c>
      <c r="Q82" s="14"/>
      <c r="R82" s="32">
        <f>IF(P$12=0,0,P82/P$12)</f>
        <v>0.15425289986821059</v>
      </c>
      <c r="S82" s="14"/>
      <c r="T82" s="31">
        <f>+T78-T80</f>
        <v>-14281.702700000002</v>
      </c>
      <c r="U82" s="14"/>
      <c r="V82" s="32">
        <f>IF(T$12=0,0,T82/T$12)</f>
        <v>-0.30386601489361703</v>
      </c>
      <c r="W82" s="15"/>
      <c r="X82" s="31">
        <f>P82-T82</f>
        <v>34084.552699999993</v>
      </c>
      <c r="Y82" s="15"/>
      <c r="Z82" s="32">
        <f>IF(T82=0,0,X82/T82)</f>
        <v>-2.3865888694070061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5</v>
      </c>
      <c r="C85" s="28"/>
      <c r="D85" s="33">
        <f>SUM(D82:D84)</f>
        <v>28843.210000000006</v>
      </c>
      <c r="E85" s="14"/>
      <c r="F85" s="30">
        <f>IF(D$12=0,0,D85/D$12)</f>
        <v>0.26576931284717092</v>
      </c>
      <c r="G85" s="14"/>
      <c r="H85" s="33">
        <f>SUM(H82:H84)</f>
        <v>3519.1785000000018</v>
      </c>
      <c r="I85" s="14"/>
      <c r="J85" s="30">
        <f>IF(H$12=0,0,H85/H$12)</f>
        <v>0.13033994444444452</v>
      </c>
      <c r="K85" s="15"/>
      <c r="L85" s="33">
        <f>+D85-H85</f>
        <v>25324.031500000005</v>
      </c>
      <c r="M85" s="15"/>
      <c r="N85" s="30">
        <f>IF(H85=0,0,L85/H85)</f>
        <v>7.1960065395943946</v>
      </c>
      <c r="O85" s="29"/>
      <c r="P85" s="33">
        <f>SUM(P82:P84)</f>
        <v>19802.849999999991</v>
      </c>
      <c r="Q85" s="14"/>
      <c r="R85" s="30">
        <f>IF(P$12=0,0,P85/P$12)</f>
        <v>0.15425289986821059</v>
      </c>
      <c r="S85" s="14"/>
      <c r="T85" s="33">
        <f>SUM(T82:T84)</f>
        <v>-14281.702700000002</v>
      </c>
      <c r="U85" s="14"/>
      <c r="V85" s="30">
        <f>IF(T$12=0,0,T85/T$12)</f>
        <v>-0.30386601489361703</v>
      </c>
      <c r="W85" s="15"/>
      <c r="X85" s="33">
        <f>+P85-T85</f>
        <v>34084.552699999993</v>
      </c>
      <c r="Y85" s="15"/>
      <c r="Z85" s="30">
        <f>IF(T85=0,0,X85/T85)</f>
        <v>-2.3865888694070061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9">
        <v>43908.495291238425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3" t="s">
        <v>314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7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88656.090000000011</v>
      </c>
      <c r="E12" s="4"/>
      <c r="F12" s="12"/>
      <c r="G12" s="4"/>
      <c r="H12" s="4">
        <f>SUM(OSRRefH13x_0)</f>
        <v>100000</v>
      </c>
      <c r="I12" s="4"/>
      <c r="J12" s="12"/>
      <c r="K12" s="4"/>
      <c r="L12" s="4">
        <f t="shared" ref="L12:L18" si="0">+D12-H12</f>
        <v>-11343.909999999989</v>
      </c>
      <c r="M12" s="4"/>
      <c r="N12" s="12">
        <f t="shared" ref="N12:N18" si="1">IF(H12=0,0,L12/H12)</f>
        <v>-0.11343909999999989</v>
      </c>
      <c r="O12" s="10"/>
      <c r="P12" s="4">
        <f>SUM(OSRRefP13x_0)</f>
        <v>377810.96000000008</v>
      </c>
      <c r="Q12" s="4"/>
      <c r="R12" s="12"/>
      <c r="S12" s="4"/>
      <c r="T12" s="4">
        <f>SUM(OSRRefT13x_0)</f>
        <v>410000</v>
      </c>
      <c r="U12" s="4"/>
      <c r="V12" s="12"/>
      <c r="W12" s="4"/>
      <c r="X12" s="4">
        <f t="shared" ref="X12:X18" si="2">+P12-T12</f>
        <v>-32189.039999999921</v>
      </c>
      <c r="Y12" s="4"/>
      <c r="Z12" s="12">
        <f t="shared" ref="Z12:Z18" si="3">IF(T12=0,0,X12/T12)</f>
        <v>-7.8509853658536397E-2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25000</v>
      </c>
      <c r="I13" s="2"/>
      <c r="J13" s="19"/>
      <c r="K13" s="2"/>
      <c r="L13" s="2">
        <f t="shared" si="0"/>
        <v>-25000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102500</v>
      </c>
      <c r="U13" s="2"/>
      <c r="V13" s="19"/>
      <c r="W13" s="2"/>
      <c r="X13" s="2">
        <f t="shared" si="2"/>
        <v>-102500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--70533.64</f>
        <v>70533.64</v>
      </c>
      <c r="E14" s="2"/>
      <c r="F14" s="19"/>
      <c r="G14" s="2"/>
      <c r="H14" s="2"/>
      <c r="I14" s="2"/>
      <c r="J14" s="19"/>
      <c r="K14" s="2"/>
      <c r="L14" s="2">
        <f t="shared" si="0"/>
        <v>70533.64</v>
      </c>
      <c r="M14" s="2"/>
      <c r="N14" s="19">
        <f t="shared" si="1"/>
        <v>0</v>
      </c>
      <c r="O14" s="11"/>
      <c r="P14" s="2">
        <f>--283667.07</f>
        <v>283667.07</v>
      </c>
      <c r="Q14" s="2"/>
      <c r="R14" s="19"/>
      <c r="S14" s="2"/>
      <c r="T14" s="2"/>
      <c r="U14" s="2"/>
      <c r="V14" s="19"/>
      <c r="W14" s="2"/>
      <c r="X14" s="2">
        <f t="shared" si="2"/>
        <v>283667.07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--17725.24</f>
        <v>17725.240000000002</v>
      </c>
      <c r="E15" s="2"/>
      <c r="F15" s="19"/>
      <c r="G15" s="2"/>
      <c r="H15" s="2"/>
      <c r="I15" s="2"/>
      <c r="J15" s="19"/>
      <c r="K15" s="2"/>
      <c r="L15" s="2">
        <f t="shared" si="0"/>
        <v>17725.240000000002</v>
      </c>
      <c r="M15" s="2"/>
      <c r="N15" s="19">
        <f t="shared" si="1"/>
        <v>0</v>
      </c>
      <c r="O15" s="11"/>
      <c r="P15" s="2">
        <f>--93746.6</f>
        <v>93746.6</v>
      </c>
      <c r="Q15" s="2"/>
      <c r="R15" s="19"/>
      <c r="S15" s="2"/>
      <c r="T15" s="2"/>
      <c r="U15" s="2"/>
      <c r="V15" s="19"/>
      <c r="W15" s="2"/>
      <c r="X15" s="2">
        <f t="shared" si="2"/>
        <v>93746.6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ref="D16:D17" si="4">0</f>
        <v>0</v>
      </c>
      <c r="E16" s="2"/>
      <c r="F16" s="19"/>
      <c r="G16" s="2"/>
      <c r="H16" s="2">
        <v>75000</v>
      </c>
      <c r="I16" s="2"/>
      <c r="J16" s="19"/>
      <c r="K16" s="2"/>
      <c r="L16" s="2">
        <f t="shared" si="0"/>
        <v>-75000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307500</v>
      </c>
      <c r="U16" s="2"/>
      <c r="V16" s="19"/>
      <c r="W16" s="2"/>
      <c r="X16" s="2">
        <f t="shared" si="2"/>
        <v>-307500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--0.08</f>
        <v>0.08</v>
      </c>
      <c r="Q17" s="2"/>
      <c r="R17" s="19"/>
      <c r="S17" s="2"/>
      <c r="T17" s="2"/>
      <c r="U17" s="2"/>
      <c r="V17" s="19"/>
      <c r="W17" s="2"/>
      <c r="X17" s="2">
        <f t="shared" si="2"/>
        <v>0.08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"4152", " - ", "NON-TAXABLE SALES-FOOD")</f>
        <v xml:space="preserve">          4152 - NON-TAXABLE SALES-FOOD</v>
      </c>
      <c r="C18" s="11"/>
      <c r="D18" s="2">
        <f>--397.21</f>
        <v>397.21</v>
      </c>
      <c r="E18" s="2"/>
      <c r="F18" s="19"/>
      <c r="G18" s="2"/>
      <c r="H18" s="2"/>
      <c r="I18" s="2"/>
      <c r="J18" s="19"/>
      <c r="K18" s="2"/>
      <c r="L18" s="2">
        <f t="shared" si="0"/>
        <v>397.21</v>
      </c>
      <c r="M18" s="2"/>
      <c r="N18" s="19">
        <f t="shared" si="1"/>
        <v>0</v>
      </c>
      <c r="O18" s="11"/>
      <c r="P18" s="2">
        <f>--397.21</f>
        <v>397.21</v>
      </c>
      <c r="Q18" s="2"/>
      <c r="R18" s="19"/>
      <c r="S18" s="2"/>
      <c r="T18" s="2"/>
      <c r="U18" s="2"/>
      <c r="V18" s="19"/>
      <c r="W18" s="2"/>
      <c r="X18" s="2">
        <f t="shared" si="2"/>
        <v>397.21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25972.2</v>
      </c>
      <c r="E20" s="4"/>
      <c r="F20" s="12">
        <f t="shared" ref="F20:F23" si="5">IF(D$12=0,0,D20/D$12)</f>
        <v>0.2929544941582693</v>
      </c>
      <c r="G20" s="4"/>
      <c r="H20" s="4">
        <f>SUM(OSRRefH16x_0)</f>
        <v>23000</v>
      </c>
      <c r="I20" s="4"/>
      <c r="J20" s="12">
        <f t="shared" ref="J20:J23" si="6">IF(H$12=0,0,H20/H$12)</f>
        <v>0.23</v>
      </c>
      <c r="K20" s="4"/>
      <c r="L20" s="4">
        <f t="shared" ref="L20:L23" si="7">+D20-H20</f>
        <v>2972.2000000000007</v>
      </c>
      <c r="M20" s="4"/>
      <c r="N20" s="12">
        <f t="shared" ref="N20:N23" si="8">IF(H20=0,0,L20/H20)</f>
        <v>0.12922608695652177</v>
      </c>
      <c r="O20" s="10"/>
      <c r="P20" s="4">
        <f>SUM(OSRRefP16x_0)</f>
        <v>98969.78</v>
      </c>
      <c r="Q20" s="4"/>
      <c r="R20" s="12">
        <f t="shared" ref="R20:R23" si="9">IF(P$12=0,0,P20/P$12)</f>
        <v>0.26195582044523003</v>
      </c>
      <c r="S20" s="4"/>
      <c r="T20" s="4">
        <f>SUM(OSRRefT16x_0)</f>
        <v>94300</v>
      </c>
      <c r="U20" s="4"/>
      <c r="V20" s="12">
        <f t="shared" ref="V20:V23" si="10">IF(T$12=0,0,T20/T$12)</f>
        <v>0.23</v>
      </c>
      <c r="W20" s="4"/>
      <c r="X20" s="4">
        <f t="shared" ref="X20:X23" si="11">+P20-T20</f>
        <v>4669.7799999999988</v>
      </c>
      <c r="Y20" s="4"/>
      <c r="Z20" s="12">
        <f t="shared" ref="Z20:Z23" si="12">IF(T20=0,0,X20/T20)</f>
        <v>4.9520466595970293E-2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23000</v>
      </c>
      <c r="I21" s="2"/>
      <c r="J21" s="19">
        <f t="shared" si="6"/>
        <v>0.23</v>
      </c>
      <c r="K21" s="2"/>
      <c r="L21" s="2">
        <f t="shared" si="7"/>
        <v>-23000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94300</v>
      </c>
      <c r="U21" s="2"/>
      <c r="V21" s="19">
        <f t="shared" si="10"/>
        <v>0.23</v>
      </c>
      <c r="W21" s="2"/>
      <c r="X21" s="2">
        <f t="shared" si="11"/>
        <v>-94300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22578.2</v>
      </c>
      <c r="E22" s="2"/>
      <c r="F22" s="19">
        <f t="shared" si="5"/>
        <v>0.25467173208292854</v>
      </c>
      <c r="G22" s="2"/>
      <c r="H22" s="2"/>
      <c r="I22" s="2"/>
      <c r="J22" s="19">
        <f t="shared" si="6"/>
        <v>0</v>
      </c>
      <c r="K22" s="2"/>
      <c r="L22" s="2">
        <f t="shared" si="7"/>
        <v>22578.2</v>
      </c>
      <c r="M22" s="2"/>
      <c r="N22" s="19">
        <f t="shared" si="8"/>
        <v>0</v>
      </c>
      <c r="O22" s="11"/>
      <c r="P22" s="2">
        <v>109239.78</v>
      </c>
      <c r="Q22" s="2"/>
      <c r="R22" s="19">
        <f t="shared" si="9"/>
        <v>0.28913872694428977</v>
      </c>
      <c r="S22" s="2"/>
      <c r="T22" s="2"/>
      <c r="U22" s="2"/>
      <c r="V22" s="19">
        <f t="shared" si="10"/>
        <v>0</v>
      </c>
      <c r="W22" s="2"/>
      <c r="X22" s="2">
        <f t="shared" si="11"/>
        <v>109239.78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3394</v>
      </c>
      <c r="E23" s="2"/>
      <c r="F23" s="19">
        <f t="shared" si="5"/>
        <v>3.8282762075340787E-2</v>
      </c>
      <c r="G23" s="2"/>
      <c r="H23" s="2"/>
      <c r="I23" s="2"/>
      <c r="J23" s="19">
        <f t="shared" si="6"/>
        <v>0</v>
      </c>
      <c r="K23" s="2"/>
      <c r="L23" s="2">
        <f t="shared" si="7"/>
        <v>3394</v>
      </c>
      <c r="M23" s="2"/>
      <c r="N23" s="19">
        <f t="shared" si="8"/>
        <v>0</v>
      </c>
      <c r="O23" s="11"/>
      <c r="P23" s="2">
        <v>-10270</v>
      </c>
      <c r="Q23" s="2"/>
      <c r="R23" s="19">
        <f t="shared" si="9"/>
        <v>-2.7182906499059734E-2</v>
      </c>
      <c r="S23" s="2"/>
      <c r="T23" s="2"/>
      <c r="U23" s="2"/>
      <c r="V23" s="19">
        <f t="shared" si="10"/>
        <v>0</v>
      </c>
      <c r="W23" s="2"/>
      <c r="X23" s="2">
        <f t="shared" si="11"/>
        <v>-10270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1">
        <f>D12-D20</f>
        <v>62683.890000000014</v>
      </c>
      <c r="E25" s="14"/>
      <c r="F25" s="22">
        <f>IF(D$12=0,0,D25/D$12)</f>
        <v>0.70704550584173076</v>
      </c>
      <c r="G25" s="14"/>
      <c r="H25" s="21">
        <f>H12-H20</f>
        <v>77000</v>
      </c>
      <c r="I25" s="14"/>
      <c r="J25" s="22">
        <f>IF(H$12=0,0,H25/H$12)</f>
        <v>0.77</v>
      </c>
      <c r="K25" s="15"/>
      <c r="L25" s="21">
        <f>+D25-H25</f>
        <v>-14316.109999999986</v>
      </c>
      <c r="M25" s="15"/>
      <c r="N25" s="22">
        <f>IF(H25=0,0,L25/H25)</f>
        <v>-0.18592350649350631</v>
      </c>
      <c r="O25" s="29"/>
      <c r="P25" s="21">
        <f>P12-P20</f>
        <v>278841.18000000005</v>
      </c>
      <c r="Q25" s="14"/>
      <c r="R25" s="22">
        <f>IF(P$12=0,0,P25/P$12)</f>
        <v>0.73804417955476986</v>
      </c>
      <c r="S25" s="14"/>
      <c r="T25" s="21">
        <f>T12-T20</f>
        <v>315700</v>
      </c>
      <c r="U25" s="14"/>
      <c r="V25" s="22">
        <f>IF(T$12=0,0,T25/T$12)</f>
        <v>0.77</v>
      </c>
      <c r="W25" s="15"/>
      <c r="X25" s="21">
        <f>+P25-T25</f>
        <v>-36858.819999999949</v>
      </c>
      <c r="Y25" s="15"/>
      <c r="Z25" s="22">
        <f>IF(T25=0,0,X25/T25)</f>
        <v>-0.11675267659170081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0">
        <f>SUM(OSRRefD22x_0)</f>
        <v>49224.079999999994</v>
      </c>
      <c r="E27" s="20"/>
      <c r="F27" s="34">
        <f t="shared" ref="F27:F38" si="13">IF(D$12=0,0,D27/D$12)</f>
        <v>0.55522502740646451</v>
      </c>
      <c r="G27" s="20"/>
      <c r="H27" s="20">
        <f>SUM(OSRRefH22x_0)</f>
        <v>59781.029924999995</v>
      </c>
      <c r="I27" s="20"/>
      <c r="J27" s="34">
        <f t="shared" ref="J27:J38" si="14">IF(H$12=0,0,H27/H$12)</f>
        <v>0.59781029924999995</v>
      </c>
      <c r="K27" s="4"/>
      <c r="L27" s="20">
        <f t="shared" ref="L27:L38" si="15">+D27-H27</f>
        <v>-10556.949925000001</v>
      </c>
      <c r="M27" s="4"/>
      <c r="N27" s="34">
        <f t="shared" ref="N27:N38" si="16">IF(H27=0,0,L27/H27)</f>
        <v>-0.17659364414170389</v>
      </c>
      <c r="O27" s="10"/>
      <c r="P27" s="20">
        <f>SUM(OSRRefP22x_0)</f>
        <v>278033.42000000004</v>
      </c>
      <c r="Q27" s="20"/>
      <c r="R27" s="34">
        <f t="shared" ref="R27:R38" si="17">IF(P$12=0,0,P27/P$12)</f>
        <v>0.73590617911137357</v>
      </c>
      <c r="S27" s="20"/>
      <c r="T27" s="20">
        <f>SUM(OSRRefT22x_0)</f>
        <v>220457.386925</v>
      </c>
      <c r="U27" s="20"/>
      <c r="V27" s="34">
        <f t="shared" ref="V27:V38" si="18">IF(T$12=0,0,T27/T$12)</f>
        <v>0.53770094371951216</v>
      </c>
      <c r="W27" s="4"/>
      <c r="X27" s="20">
        <f t="shared" ref="X27:X38" si="19">+P27-T27</f>
        <v>57576.033075000043</v>
      </c>
      <c r="Y27" s="4"/>
      <c r="Z27" s="34">
        <f t="shared" ref="Z27:Z38" si="20">IF(T27=0,0,X27/T27)</f>
        <v>0.26116626835728357</v>
      </c>
    </row>
    <row r="28" spans="1:26" s="27" customFormat="1" outlineLevel="1" collapsed="1" x14ac:dyDescent="0.25">
      <c r="A28" s="26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4480.46</v>
      </c>
      <c r="E28" s="1"/>
      <c r="F28" s="5">
        <f t="shared" si="13"/>
        <v>5.0537532165021035E-2</v>
      </c>
      <c r="G28" s="1"/>
      <c r="H28" s="1">
        <f>SUM(OSRRefH22_0x_0)</f>
        <v>3203.6837711538469</v>
      </c>
      <c r="I28" s="1"/>
      <c r="J28" s="5">
        <f t="shared" si="14"/>
        <v>3.2036837711538473E-2</v>
      </c>
      <c r="K28" s="1"/>
      <c r="L28" s="1">
        <f t="shared" si="15"/>
        <v>1276.7762288461531</v>
      </c>
      <c r="M28" s="1"/>
      <c r="N28" s="5">
        <f t="shared" si="16"/>
        <v>0.39853378799191097</v>
      </c>
      <c r="O28" s="13"/>
      <c r="P28" s="1">
        <f>SUM(OSRRefP22_0x_0)</f>
        <v>25353.609999999997</v>
      </c>
      <c r="Q28" s="1"/>
      <c r="R28" s="5">
        <f t="shared" si="17"/>
        <v>6.7106602730635428E-2</v>
      </c>
      <c r="S28" s="1"/>
      <c r="T28" s="1">
        <f>SUM(OSRRefT22_0x_0)</f>
        <v>24366.733078846162</v>
      </c>
      <c r="U28" s="1"/>
      <c r="V28" s="5">
        <f t="shared" si="18"/>
        <v>5.9431056289868688E-2</v>
      </c>
      <c r="W28" s="1"/>
      <c r="X28" s="1">
        <f t="shared" si="19"/>
        <v>986.8769211538347</v>
      </c>
      <c r="Y28" s="1"/>
      <c r="Z28" s="5">
        <f t="shared" si="20"/>
        <v>4.0500994448475582E-2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6">
        <v>915.74</v>
      </c>
      <c r="E29" s="2"/>
      <c r="F29" s="7">
        <f t="shared" si="13"/>
        <v>1.0329126854116846E-2</v>
      </c>
      <c r="G29" s="2"/>
      <c r="H29" s="6">
        <v>649.57780961538504</v>
      </c>
      <c r="I29" s="2"/>
      <c r="J29" s="7">
        <f t="shared" si="14"/>
        <v>6.4957780961538503E-3</v>
      </c>
      <c r="K29" s="2"/>
      <c r="L29" s="6">
        <f t="shared" si="15"/>
        <v>266.16219038461497</v>
      </c>
      <c r="M29" s="2"/>
      <c r="N29" s="7">
        <f t="shared" si="16"/>
        <v>0.40974643290572005</v>
      </c>
      <c r="O29" s="11"/>
      <c r="P29" s="6">
        <v>6087.78</v>
      </c>
      <c r="Q29" s="2"/>
      <c r="R29" s="7">
        <f t="shared" si="17"/>
        <v>1.6113296448573112E-2</v>
      </c>
      <c r="S29" s="2"/>
      <c r="T29" s="6">
        <v>4714.7925403846184</v>
      </c>
      <c r="U29" s="2"/>
      <c r="V29" s="7">
        <f t="shared" si="18"/>
        <v>1.1499494000938094E-2</v>
      </c>
      <c r="W29" s="2"/>
      <c r="X29" s="6">
        <f t="shared" si="19"/>
        <v>1372.9874596153813</v>
      </c>
      <c r="Y29" s="2"/>
      <c r="Z29" s="7">
        <f t="shared" si="20"/>
        <v>0.29120845675711898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6">
        <v>1241.1199999999999</v>
      </c>
      <c r="E30" s="2"/>
      <c r="F30" s="7">
        <f t="shared" si="13"/>
        <v>1.3999263897155849E-2</v>
      </c>
      <c r="G30" s="2"/>
      <c r="H30" s="6">
        <v>433.21692307692297</v>
      </c>
      <c r="I30" s="2"/>
      <c r="J30" s="7">
        <f t="shared" si="14"/>
        <v>4.3321692307692295E-3</v>
      </c>
      <c r="K30" s="2"/>
      <c r="L30" s="6">
        <f t="shared" si="15"/>
        <v>807.90307692307692</v>
      </c>
      <c r="M30" s="2"/>
      <c r="N30" s="7">
        <f t="shared" si="16"/>
        <v>1.8648926989854084</v>
      </c>
      <c r="O30" s="11"/>
      <c r="P30" s="6">
        <v>4481.67</v>
      </c>
      <c r="Q30" s="2"/>
      <c r="R30" s="7">
        <f t="shared" si="17"/>
        <v>1.1862202197628145E-2</v>
      </c>
      <c r="S30" s="2"/>
      <c r="T30" s="6">
        <v>2846.0620769230768</v>
      </c>
      <c r="U30" s="2"/>
      <c r="V30" s="7">
        <f t="shared" si="18"/>
        <v>6.9416148217636021E-3</v>
      </c>
      <c r="W30" s="2"/>
      <c r="X30" s="6">
        <f t="shared" si="19"/>
        <v>1635.6079230769233</v>
      </c>
      <c r="Y30" s="2"/>
      <c r="Z30" s="7">
        <f t="shared" si="20"/>
        <v>0.57469158397458608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6">
        <v>733.11</v>
      </c>
      <c r="E31" s="2"/>
      <c r="F31" s="7">
        <f t="shared" si="13"/>
        <v>8.2691442855194718E-3</v>
      </c>
      <c r="G31" s="2"/>
      <c r="H31" s="6">
        <v>663</v>
      </c>
      <c r="I31" s="2"/>
      <c r="J31" s="7">
        <f t="shared" si="14"/>
        <v>6.6299999999999996E-3</v>
      </c>
      <c r="K31" s="2"/>
      <c r="L31" s="6">
        <f t="shared" si="15"/>
        <v>70.110000000000014</v>
      </c>
      <c r="M31" s="2"/>
      <c r="N31" s="7">
        <f t="shared" si="16"/>
        <v>0.10574660633484165</v>
      </c>
      <c r="O31" s="11"/>
      <c r="P31" s="6">
        <v>5655.42</v>
      </c>
      <c r="Q31" s="2"/>
      <c r="R31" s="7">
        <f t="shared" si="17"/>
        <v>1.496891461274707E-2</v>
      </c>
      <c r="S31" s="2"/>
      <c r="T31" s="6">
        <v>5304</v>
      </c>
      <c r="U31" s="2"/>
      <c r="V31" s="7">
        <f t="shared" si="18"/>
        <v>1.2936585365853659E-2</v>
      </c>
      <c r="W31" s="2"/>
      <c r="X31" s="6">
        <f t="shared" si="19"/>
        <v>351.42000000000007</v>
      </c>
      <c r="Y31" s="2"/>
      <c r="Z31" s="7">
        <f t="shared" si="20"/>
        <v>6.6255656108597294E-2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6">
        <v>83.17</v>
      </c>
      <c r="E32" s="2"/>
      <c r="F32" s="7">
        <f t="shared" si="13"/>
        <v>9.381194230424553E-4</v>
      </c>
      <c r="G32" s="2"/>
      <c r="H32" s="6">
        <v>35.172499999999999</v>
      </c>
      <c r="I32" s="2"/>
      <c r="J32" s="7">
        <f t="shared" si="14"/>
        <v>3.51725E-4</v>
      </c>
      <c r="K32" s="2"/>
      <c r="L32" s="6">
        <f t="shared" si="15"/>
        <v>47.997500000000002</v>
      </c>
      <c r="M32" s="2"/>
      <c r="N32" s="7">
        <f t="shared" si="16"/>
        <v>1.3646314592366195</v>
      </c>
      <c r="O32" s="11"/>
      <c r="P32" s="6">
        <v>373.77</v>
      </c>
      <c r="Q32" s="2"/>
      <c r="R32" s="7">
        <f t="shared" si="17"/>
        <v>9.8930428063812633E-4</v>
      </c>
      <c r="S32" s="2"/>
      <c r="T32" s="6">
        <v>225.64</v>
      </c>
      <c r="U32" s="2"/>
      <c r="V32" s="7">
        <f t="shared" si="18"/>
        <v>5.5034146341463412E-4</v>
      </c>
      <c r="W32" s="2"/>
      <c r="X32" s="6">
        <f t="shared" si="19"/>
        <v>148.13</v>
      </c>
      <c r="Y32" s="2"/>
      <c r="Z32" s="7">
        <f t="shared" si="20"/>
        <v>0.65648821131005142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6">
        <v>320.99</v>
      </c>
      <c r="E33" s="2"/>
      <c r="F33" s="7">
        <f t="shared" si="13"/>
        <v>3.6206198581507482E-3</v>
      </c>
      <c r="G33" s="2"/>
      <c r="H33" s="6">
        <v>395.20307692307699</v>
      </c>
      <c r="I33" s="2"/>
      <c r="J33" s="7">
        <f t="shared" si="14"/>
        <v>3.9520307692307698E-3</v>
      </c>
      <c r="K33" s="2"/>
      <c r="L33" s="6">
        <f t="shared" si="15"/>
        <v>-74.213076923076983</v>
      </c>
      <c r="M33" s="2"/>
      <c r="N33" s="7">
        <f t="shared" si="16"/>
        <v>-0.18778466377558581</v>
      </c>
      <c r="O33" s="11"/>
      <c r="P33" s="6">
        <v>2728.41</v>
      </c>
      <c r="Q33" s="2"/>
      <c r="R33" s="7">
        <f t="shared" si="17"/>
        <v>7.2216274509347197E-3</v>
      </c>
      <c r="S33" s="2"/>
      <c r="T33" s="6">
        <v>3458.0269230769231</v>
      </c>
      <c r="U33" s="2"/>
      <c r="V33" s="7">
        <f t="shared" si="18"/>
        <v>8.4342120075046913E-3</v>
      </c>
      <c r="W33" s="2"/>
      <c r="X33" s="6">
        <f t="shared" si="19"/>
        <v>-729.61692307692329</v>
      </c>
      <c r="Y33" s="2"/>
      <c r="Z33" s="7">
        <f t="shared" si="20"/>
        <v>-0.2109922621503815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5"/>
      <c r="B35" s="11" t="str">
        <f>CONCATENATE("          ", "6117", " - ", "RETIREMENT STAFF HOURLY")</f>
        <v xml:space="preserve">          6117 - RETIREMENT STAFF HOURLY</v>
      </c>
      <c r="C35" s="11"/>
      <c r="D35" s="6">
        <v>126.87</v>
      </c>
      <c r="E35" s="2"/>
      <c r="F35" s="7">
        <f t="shared" si="13"/>
        <v>1.4310353637296657E-3</v>
      </c>
      <c r="G35" s="2"/>
      <c r="H35" s="6"/>
      <c r="I35" s="2"/>
      <c r="J35" s="7">
        <f t="shared" si="14"/>
        <v>0</v>
      </c>
      <c r="K35" s="2"/>
      <c r="L35" s="6">
        <f t="shared" si="15"/>
        <v>126.87</v>
      </c>
      <c r="M35" s="2"/>
      <c r="N35" s="7">
        <f t="shared" si="16"/>
        <v>0</v>
      </c>
      <c r="O35" s="11"/>
      <c r="P35" s="6">
        <v>236.85</v>
      </c>
      <c r="Q35" s="2"/>
      <c r="R35" s="7">
        <f t="shared" si="17"/>
        <v>6.2690081833518001E-4</v>
      </c>
      <c r="S35" s="2"/>
      <c r="T35" s="6"/>
      <c r="U35" s="2"/>
      <c r="V35" s="7">
        <f t="shared" si="18"/>
        <v>0</v>
      </c>
      <c r="W35" s="2"/>
      <c r="X35" s="6">
        <f t="shared" si="19"/>
        <v>236.85</v>
      </c>
      <c r="Y35" s="2"/>
      <c r="Z35" s="7">
        <f t="shared" si="20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>
        <v>340.16</v>
      </c>
      <c r="E36" s="2"/>
      <c r="F36" s="7">
        <f t="shared" si="13"/>
        <v>3.8368486586764653E-3</v>
      </c>
      <c r="G36" s="2"/>
      <c r="H36" s="6">
        <v>229.769230769231</v>
      </c>
      <c r="I36" s="2"/>
      <c r="J36" s="7">
        <f t="shared" si="14"/>
        <v>2.29769230769231E-3</v>
      </c>
      <c r="K36" s="2"/>
      <c r="L36" s="6">
        <f t="shared" si="15"/>
        <v>110.39076923076902</v>
      </c>
      <c r="M36" s="2"/>
      <c r="N36" s="7">
        <f t="shared" si="16"/>
        <v>0.48044191496484628</v>
      </c>
      <c r="O36" s="11"/>
      <c r="P36" s="6">
        <v>1856.6</v>
      </c>
      <c r="Q36" s="2"/>
      <c r="R36" s="7">
        <f t="shared" si="17"/>
        <v>4.9140977805408282E-3</v>
      </c>
      <c r="S36" s="2"/>
      <c r="T36" s="6">
        <v>2010.4807692307718</v>
      </c>
      <c r="U36" s="2"/>
      <c r="V36" s="7">
        <f t="shared" si="18"/>
        <v>4.903611632270175E-3</v>
      </c>
      <c r="W36" s="2"/>
      <c r="X36" s="6">
        <f t="shared" si="19"/>
        <v>-153.88076923077188</v>
      </c>
      <c r="Y36" s="2"/>
      <c r="Z36" s="7">
        <f t="shared" si="20"/>
        <v>-7.6539289301259056E-2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>
        <v>407.54</v>
      </c>
      <c r="E37" s="2"/>
      <c r="F37" s="7">
        <f t="shared" si="13"/>
        <v>4.5968641296948685E-3</v>
      </c>
      <c r="G37" s="2"/>
      <c r="H37" s="6">
        <v>497.74423076923097</v>
      </c>
      <c r="I37" s="2"/>
      <c r="J37" s="7">
        <f t="shared" si="14"/>
        <v>4.9774423076923095E-3</v>
      </c>
      <c r="K37" s="2"/>
      <c r="L37" s="6">
        <f t="shared" si="15"/>
        <v>-90.204230769230946</v>
      </c>
      <c r="M37" s="2"/>
      <c r="N37" s="7">
        <f t="shared" si="16"/>
        <v>-0.1812260699231536</v>
      </c>
      <c r="O37" s="11"/>
      <c r="P37" s="6">
        <v>2286.66</v>
      </c>
      <c r="Q37" s="2"/>
      <c r="R37" s="7">
        <f t="shared" si="17"/>
        <v>6.0523919157877241E-3</v>
      </c>
      <c r="S37" s="2"/>
      <c r="T37" s="6">
        <v>3407.7307692307709</v>
      </c>
      <c r="U37" s="2"/>
      <c r="V37" s="7">
        <f t="shared" si="18"/>
        <v>8.3115384615384657E-3</v>
      </c>
      <c r="W37" s="2"/>
      <c r="X37" s="6">
        <f t="shared" si="19"/>
        <v>-1121.070769230771</v>
      </c>
      <c r="Y37" s="2"/>
      <c r="Z37" s="7">
        <f t="shared" si="20"/>
        <v>-0.32897867969887512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>
        <v>311.76</v>
      </c>
      <c r="E38" s="2"/>
      <c r="F38" s="7">
        <f t="shared" si="13"/>
        <v>3.516509694934662E-3</v>
      </c>
      <c r="G38" s="2"/>
      <c r="H38" s="6">
        <v>300</v>
      </c>
      <c r="I38" s="2"/>
      <c r="J38" s="7">
        <f t="shared" si="14"/>
        <v>3.0000000000000001E-3</v>
      </c>
      <c r="K38" s="2"/>
      <c r="L38" s="6">
        <f t="shared" si="15"/>
        <v>11.759999999999991</v>
      </c>
      <c r="M38" s="2"/>
      <c r="N38" s="7">
        <f t="shared" si="16"/>
        <v>3.9199999999999971E-2</v>
      </c>
      <c r="O38" s="11"/>
      <c r="P38" s="6">
        <v>1646.45</v>
      </c>
      <c r="Q38" s="2"/>
      <c r="R38" s="7">
        <f t="shared" si="17"/>
        <v>4.3578672254505259E-3</v>
      </c>
      <c r="S38" s="2"/>
      <c r="T38" s="6">
        <v>2400</v>
      </c>
      <c r="U38" s="2"/>
      <c r="V38" s="7">
        <f t="shared" si="18"/>
        <v>5.8536585365853658E-3</v>
      </c>
      <c r="W38" s="2"/>
      <c r="X38" s="6">
        <f t="shared" si="19"/>
        <v>-753.55</v>
      </c>
      <c r="Y38" s="2"/>
      <c r="Z38" s="7">
        <f t="shared" si="20"/>
        <v>-0.31397916666666664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21807</v>
      </c>
      <c r="E39" s="1"/>
      <c r="F39" s="5">
        <f t="shared" ref="F39:F49" si="21">IF(D$12=0,0,D39/D$12)</f>
        <v>0.2459729500816018</v>
      </c>
      <c r="G39" s="1"/>
      <c r="H39" s="1">
        <f>SUM(OSRRefH22_1x_0)</f>
        <v>13068.346153846149</v>
      </c>
      <c r="I39" s="1"/>
      <c r="J39" s="5">
        <f t="shared" ref="J39:J49" si="22">IF(H$12=0,0,H39/H$12)</f>
        <v>0.1306834615384615</v>
      </c>
      <c r="K39" s="1"/>
      <c r="L39" s="1">
        <f t="shared" ref="L39:L49" si="23">+D39-H39</f>
        <v>8738.6538461538512</v>
      </c>
      <c r="M39" s="1"/>
      <c r="N39" s="5">
        <f t="shared" ref="N39:N49" si="24">IF(H39=0,0,L39/H39)</f>
        <v>0.66868858103991802</v>
      </c>
      <c r="O39" s="13"/>
      <c r="P39" s="1">
        <f>SUM(OSRRefP22_1x_0)</f>
        <v>119487.82</v>
      </c>
      <c r="Q39" s="1"/>
      <c r="R39" s="5">
        <f t="shared" ref="R39:R49" si="25">IF(P$12=0,0,P39/P$12)</f>
        <v>0.31626350913695034</v>
      </c>
      <c r="S39" s="1"/>
      <c r="T39" s="1">
        <f>SUM(OSRRefT22_1x_0)</f>
        <v>82763.653846153815</v>
      </c>
      <c r="U39" s="1"/>
      <c r="V39" s="5">
        <f t="shared" ref="V39:V49" si="26">IF(T$12=0,0,T39/T$12)</f>
        <v>0.20186257035647273</v>
      </c>
      <c r="W39" s="1"/>
      <c r="X39" s="1">
        <f t="shared" ref="X39:X49" si="27">+P39-T39</f>
        <v>36724.166153846192</v>
      </c>
      <c r="Y39" s="1"/>
      <c r="Z39" s="5">
        <f t="shared" ref="Z39:Z49" si="28">IF(T39=0,0,X39/T39)</f>
        <v>0.44372335496583243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4595.38</v>
      </c>
      <c r="E41" s="2"/>
      <c r="F41" s="7">
        <f t="shared" si="21"/>
        <v>5.1833777014077653E-2</v>
      </c>
      <c r="G41" s="2"/>
      <c r="H41" s="6">
        <v>4135.8461538461497</v>
      </c>
      <c r="I41" s="2"/>
      <c r="J41" s="7">
        <f t="shared" si="22"/>
        <v>4.1358461538461497E-2</v>
      </c>
      <c r="K41" s="2"/>
      <c r="L41" s="6">
        <f t="shared" si="23"/>
        <v>459.53384615385039</v>
      </c>
      <c r="M41" s="2"/>
      <c r="N41" s="7">
        <f t="shared" si="24"/>
        <v>0.11110999516423131</v>
      </c>
      <c r="O41" s="11"/>
      <c r="P41" s="6">
        <v>39290.65</v>
      </c>
      <c r="Q41" s="2"/>
      <c r="R41" s="7">
        <f t="shared" si="25"/>
        <v>0.10399552728697969</v>
      </c>
      <c r="S41" s="2"/>
      <c r="T41" s="6">
        <v>36188.653846153822</v>
      </c>
      <c r="U41" s="2"/>
      <c r="V41" s="7">
        <f t="shared" si="26"/>
        <v>8.8265009380862985E-2</v>
      </c>
      <c r="W41" s="2"/>
      <c r="X41" s="6">
        <f t="shared" si="27"/>
        <v>3101.9961538461794</v>
      </c>
      <c r="Y41" s="2"/>
      <c r="Z41" s="7">
        <f t="shared" si="28"/>
        <v>8.5717367853290941E-2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3135.62</v>
      </c>
      <c r="E43" s="2"/>
      <c r="F43" s="7">
        <f t="shared" si="21"/>
        <v>3.5368354277748988E-2</v>
      </c>
      <c r="G43" s="2"/>
      <c r="H43" s="6">
        <v>2362.5</v>
      </c>
      <c r="I43" s="2"/>
      <c r="J43" s="7">
        <f t="shared" si="22"/>
        <v>2.3625E-2</v>
      </c>
      <c r="K43" s="2"/>
      <c r="L43" s="6">
        <f t="shared" si="23"/>
        <v>773.11999999999989</v>
      </c>
      <c r="M43" s="2"/>
      <c r="N43" s="7">
        <f t="shared" si="24"/>
        <v>0.32724656084656079</v>
      </c>
      <c r="O43" s="11"/>
      <c r="P43" s="6">
        <v>6156.63</v>
      </c>
      <c r="Q43" s="2"/>
      <c r="R43" s="7">
        <f t="shared" si="25"/>
        <v>1.6295530441996702E-2</v>
      </c>
      <c r="S43" s="2"/>
      <c r="T43" s="6">
        <v>11775</v>
      </c>
      <c r="U43" s="2"/>
      <c r="V43" s="7">
        <f t="shared" si="26"/>
        <v>2.8719512195121952E-2</v>
      </c>
      <c r="W43" s="2"/>
      <c r="X43" s="6">
        <f t="shared" si="27"/>
        <v>-5618.37</v>
      </c>
      <c r="Y43" s="2"/>
      <c r="Z43" s="7">
        <f t="shared" si="28"/>
        <v>-0.47714394904458596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4369.32</v>
      </c>
      <c r="E44" s="2"/>
      <c r="F44" s="7">
        <f t="shared" si="21"/>
        <v>4.9283923980856806E-2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4369.32</v>
      </c>
      <c r="M44" s="2"/>
      <c r="N44" s="7">
        <f t="shared" si="24"/>
        <v>0</v>
      </c>
      <c r="O44" s="11"/>
      <c r="P44" s="6">
        <v>25996.63</v>
      </c>
      <c r="Q44" s="2"/>
      <c r="R44" s="7">
        <f t="shared" si="25"/>
        <v>6.8808565002984545E-2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25996.63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303.38</v>
      </c>
      <c r="Q45" s="2"/>
      <c r="R45" s="7">
        <f t="shared" si="25"/>
        <v>8.0299417465284732E-4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303.38</v>
      </c>
      <c r="Y45" s="2"/>
      <c r="Z45" s="7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8204.7900000000009</v>
      </c>
      <c r="E46" s="2"/>
      <c r="F46" s="7">
        <f t="shared" si="21"/>
        <v>9.2546265011236112E-2</v>
      </c>
      <c r="G46" s="2"/>
      <c r="H46" s="6">
        <v>1530</v>
      </c>
      <c r="I46" s="2"/>
      <c r="J46" s="7">
        <f t="shared" si="22"/>
        <v>1.5299999999999999E-2</v>
      </c>
      <c r="K46" s="2"/>
      <c r="L46" s="6">
        <f t="shared" si="23"/>
        <v>6674.7900000000009</v>
      </c>
      <c r="M46" s="2"/>
      <c r="N46" s="7">
        <f t="shared" si="24"/>
        <v>4.3626078431372557</v>
      </c>
      <c r="O46" s="11"/>
      <c r="P46" s="6">
        <v>42289.64</v>
      </c>
      <c r="Q46" s="2"/>
      <c r="R46" s="7">
        <f t="shared" si="25"/>
        <v>0.11193333300865595</v>
      </c>
      <c r="S46" s="2"/>
      <c r="T46" s="6">
        <v>9622.5</v>
      </c>
      <c r="U46" s="2"/>
      <c r="V46" s="7">
        <f t="shared" si="26"/>
        <v>2.3469512195121951E-2</v>
      </c>
      <c r="W46" s="2"/>
      <c r="X46" s="6">
        <f t="shared" si="27"/>
        <v>32667.14</v>
      </c>
      <c r="Y46" s="2"/>
      <c r="Z46" s="7">
        <f t="shared" si="28"/>
        <v>3.3948703559366069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>
        <v>1501.89</v>
      </c>
      <c r="E47" s="2"/>
      <c r="F47" s="7">
        <f t="shared" si="21"/>
        <v>1.6940629797682256E-2</v>
      </c>
      <c r="G47" s="2"/>
      <c r="H47" s="6">
        <v>5040</v>
      </c>
      <c r="I47" s="2"/>
      <c r="J47" s="7">
        <f t="shared" si="22"/>
        <v>5.04E-2</v>
      </c>
      <c r="K47" s="2"/>
      <c r="L47" s="6">
        <f t="shared" si="23"/>
        <v>-3538.1099999999997</v>
      </c>
      <c r="M47" s="2"/>
      <c r="N47" s="7">
        <f t="shared" si="24"/>
        <v>-0.70200595238095231</v>
      </c>
      <c r="O47" s="11"/>
      <c r="P47" s="6">
        <v>5450.89</v>
      </c>
      <c r="Q47" s="2"/>
      <c r="R47" s="7">
        <f t="shared" si="25"/>
        <v>1.4427559221680597E-2</v>
      </c>
      <c r="S47" s="2"/>
      <c r="T47" s="6">
        <v>25177.5</v>
      </c>
      <c r="U47" s="2"/>
      <c r="V47" s="7">
        <f t="shared" si="26"/>
        <v>6.1408536585365853E-2</v>
      </c>
      <c r="W47" s="2"/>
      <c r="X47" s="6">
        <f t="shared" si="27"/>
        <v>-19726.61</v>
      </c>
      <c r="Y47" s="2"/>
      <c r="Z47" s="7">
        <f t="shared" si="28"/>
        <v>-0.78350153907258469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8" si="29">IF(D$12=0,0,D50/D$12)</f>
        <v>0</v>
      </c>
      <c r="G50" s="1"/>
      <c r="H50" s="1">
        <f>SUM(OSRRefH22_2x_0)</f>
        <v>50</v>
      </c>
      <c r="I50" s="1"/>
      <c r="J50" s="5">
        <f t="shared" ref="J50:J58" si="30">IF(H$12=0,0,H50/H$12)</f>
        <v>5.0000000000000001E-4</v>
      </c>
      <c r="K50" s="1"/>
      <c r="L50" s="1">
        <f t="shared" ref="L50:L58" si="31">+D50-H50</f>
        <v>-50</v>
      </c>
      <c r="M50" s="1"/>
      <c r="N50" s="5">
        <f t="shared" ref="N50:N58" si="32">IF(H50=0,0,L50/H50)</f>
        <v>-1</v>
      </c>
      <c r="O50" s="13"/>
      <c r="P50" s="1">
        <f>SUM(OSRRefP22_2x_0)</f>
        <v>1868.45</v>
      </c>
      <c r="Q50" s="1"/>
      <c r="R50" s="5">
        <f t="shared" ref="R50:R58" si="33">IF(P$12=0,0,P50/P$12)</f>
        <v>4.9454626726551281E-3</v>
      </c>
      <c r="S50" s="1"/>
      <c r="T50" s="1">
        <f>SUM(OSRRefT22_2x_0)</f>
        <v>1675</v>
      </c>
      <c r="U50" s="1"/>
      <c r="V50" s="5">
        <f t="shared" ref="V50:V58" si="34">IF(T$12=0,0,T50/T$12)</f>
        <v>4.0853658536585367E-3</v>
      </c>
      <c r="W50" s="1"/>
      <c r="X50" s="1">
        <f t="shared" ref="X50:X58" si="35">+P50-T50</f>
        <v>193.45000000000005</v>
      </c>
      <c r="Y50" s="1"/>
      <c r="Z50" s="5">
        <f t="shared" ref="Z50:Z58" si="36">IF(T50=0,0,X50/T50)</f>
        <v>0.11549253731343287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9"/>
        <v>0</v>
      </c>
      <c r="G51" s="2"/>
      <c r="H51" s="6">
        <v>50</v>
      </c>
      <c r="I51" s="2"/>
      <c r="J51" s="7">
        <f t="shared" si="30"/>
        <v>5.0000000000000001E-4</v>
      </c>
      <c r="K51" s="2"/>
      <c r="L51" s="6">
        <f t="shared" si="31"/>
        <v>-50</v>
      </c>
      <c r="M51" s="2"/>
      <c r="N51" s="7">
        <f t="shared" si="32"/>
        <v>-1</v>
      </c>
      <c r="O51" s="11"/>
      <c r="P51" s="6">
        <v>1868.45</v>
      </c>
      <c r="Q51" s="2"/>
      <c r="R51" s="7">
        <f t="shared" si="33"/>
        <v>4.9454626726551281E-3</v>
      </c>
      <c r="S51" s="2"/>
      <c r="T51" s="6">
        <v>1675</v>
      </c>
      <c r="U51" s="2"/>
      <c r="V51" s="7">
        <f t="shared" si="34"/>
        <v>4.0853658536585367E-3</v>
      </c>
      <c r="W51" s="2"/>
      <c r="X51" s="6">
        <f t="shared" si="35"/>
        <v>193.45000000000005</v>
      </c>
      <c r="Y51" s="2"/>
      <c r="Z51" s="7">
        <f t="shared" si="36"/>
        <v>0.11549253731343287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36.65</v>
      </c>
      <c r="E52" s="1"/>
      <c r="F52" s="5">
        <f t="shared" si="29"/>
        <v>4.1339517680060101E-4</v>
      </c>
      <c r="G52" s="1"/>
      <c r="H52" s="1">
        <f>SUM(OSRRefH22_3x_0)</f>
        <v>50</v>
      </c>
      <c r="I52" s="1"/>
      <c r="J52" s="5">
        <f t="shared" si="30"/>
        <v>5.0000000000000001E-4</v>
      </c>
      <c r="K52" s="1"/>
      <c r="L52" s="1">
        <f t="shared" si="31"/>
        <v>-13.350000000000001</v>
      </c>
      <c r="M52" s="1"/>
      <c r="N52" s="5">
        <f t="shared" si="32"/>
        <v>-0.26700000000000002</v>
      </c>
      <c r="O52" s="13"/>
      <c r="P52" s="1">
        <f>SUM(OSRRefP22_3x_0)</f>
        <v>-143.46</v>
      </c>
      <c r="Q52" s="1"/>
      <c r="R52" s="5">
        <f t="shared" si="33"/>
        <v>-3.7971370655843329E-4</v>
      </c>
      <c r="S52" s="1"/>
      <c r="T52" s="1">
        <f>SUM(OSRRefT22_3x_0)</f>
        <v>400</v>
      </c>
      <c r="U52" s="1"/>
      <c r="V52" s="5">
        <f t="shared" si="34"/>
        <v>9.7560975609756097E-4</v>
      </c>
      <c r="W52" s="1"/>
      <c r="X52" s="1">
        <f t="shared" si="35"/>
        <v>-543.46</v>
      </c>
      <c r="Y52" s="1"/>
      <c r="Z52" s="5">
        <f t="shared" si="36"/>
        <v>-1.3586500000000001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36.65</v>
      </c>
      <c r="E53" s="2"/>
      <c r="F53" s="7">
        <f t="shared" si="29"/>
        <v>4.1339517680060101E-4</v>
      </c>
      <c r="G53" s="2"/>
      <c r="H53" s="6">
        <v>50</v>
      </c>
      <c r="I53" s="2"/>
      <c r="J53" s="7">
        <f t="shared" si="30"/>
        <v>5.0000000000000001E-4</v>
      </c>
      <c r="K53" s="2"/>
      <c r="L53" s="6">
        <f t="shared" si="31"/>
        <v>-13.350000000000001</v>
      </c>
      <c r="M53" s="2"/>
      <c r="N53" s="7">
        <f t="shared" si="32"/>
        <v>-0.26700000000000002</v>
      </c>
      <c r="O53" s="11"/>
      <c r="P53" s="6">
        <v>-143.46</v>
      </c>
      <c r="Q53" s="2"/>
      <c r="R53" s="7">
        <f t="shared" si="33"/>
        <v>-3.7971370655843329E-4</v>
      </c>
      <c r="S53" s="2"/>
      <c r="T53" s="6">
        <v>400</v>
      </c>
      <c r="U53" s="2"/>
      <c r="V53" s="7">
        <f t="shared" si="34"/>
        <v>9.7560975609756097E-4</v>
      </c>
      <c r="W53" s="2"/>
      <c r="X53" s="6">
        <f t="shared" si="35"/>
        <v>-543.46</v>
      </c>
      <c r="Y53" s="2"/>
      <c r="Z53" s="7">
        <f t="shared" si="36"/>
        <v>-1.3586500000000001</v>
      </c>
    </row>
    <row r="54" spans="1:26" s="27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1176.8499999999999</v>
      </c>
      <c r="E54" s="1"/>
      <c r="F54" s="5">
        <f t="shared" si="29"/>
        <v>1.3274327798575368E-2</v>
      </c>
      <c r="G54" s="1"/>
      <c r="H54" s="1">
        <f>SUM(OSRRefH22_4x_0)</f>
        <v>800</v>
      </c>
      <c r="I54" s="1"/>
      <c r="J54" s="5">
        <f t="shared" si="30"/>
        <v>8.0000000000000002E-3</v>
      </c>
      <c r="K54" s="1"/>
      <c r="L54" s="1">
        <f t="shared" si="31"/>
        <v>376.84999999999991</v>
      </c>
      <c r="M54" s="1"/>
      <c r="N54" s="5">
        <f t="shared" si="32"/>
        <v>0.47106249999999988</v>
      </c>
      <c r="O54" s="13"/>
      <c r="P54" s="1">
        <f>SUM(OSRRefP22_4x_0)</f>
        <v>7303.98</v>
      </c>
      <c r="Q54" s="1"/>
      <c r="R54" s="5">
        <f t="shared" si="33"/>
        <v>1.9332366641772378E-2</v>
      </c>
      <c r="S54" s="1"/>
      <c r="T54" s="1">
        <f>SUM(OSRRefT22_4x_0)</f>
        <v>3900</v>
      </c>
      <c r="U54" s="1"/>
      <c r="V54" s="5">
        <f t="shared" si="34"/>
        <v>9.5121951219512193E-3</v>
      </c>
      <c r="W54" s="1"/>
      <c r="X54" s="1">
        <f t="shared" si="35"/>
        <v>3403.9799999999996</v>
      </c>
      <c r="Y54" s="1"/>
      <c r="Z54" s="5">
        <f t="shared" si="36"/>
        <v>0.87281538461538455</v>
      </c>
    </row>
    <row r="55" spans="1:26" s="24" customFormat="1" hidden="1" outlineLevel="2" x14ac:dyDescent="0.25">
      <c r="A55" s="25"/>
      <c r="B55" s="11" t="str">
        <f>CONCATENATE("          ", "6381", " - ", "BANK/CREDIT CARD FEES")</f>
        <v xml:space="preserve">          6381 - BANK/CREDIT CARD FEES</v>
      </c>
      <c r="C55" s="11"/>
      <c r="D55" s="6">
        <v>1176.8499999999999</v>
      </c>
      <c r="E55" s="2"/>
      <c r="F55" s="7">
        <f t="shared" si="29"/>
        <v>1.3274327798575368E-2</v>
      </c>
      <c r="G55" s="2"/>
      <c r="H55" s="6">
        <v>800</v>
      </c>
      <c r="I55" s="2"/>
      <c r="J55" s="7">
        <f t="shared" si="30"/>
        <v>8.0000000000000002E-3</v>
      </c>
      <c r="K55" s="2"/>
      <c r="L55" s="6">
        <f t="shared" si="31"/>
        <v>376.84999999999991</v>
      </c>
      <c r="M55" s="2"/>
      <c r="N55" s="7">
        <f t="shared" si="32"/>
        <v>0.47106249999999988</v>
      </c>
      <c r="O55" s="11"/>
      <c r="P55" s="6">
        <v>7303.98</v>
      </c>
      <c r="Q55" s="2"/>
      <c r="R55" s="7">
        <f t="shared" si="33"/>
        <v>1.9332366641772378E-2</v>
      </c>
      <c r="S55" s="2"/>
      <c r="T55" s="6">
        <v>3900</v>
      </c>
      <c r="U55" s="2"/>
      <c r="V55" s="7">
        <f t="shared" si="34"/>
        <v>9.5121951219512193E-3</v>
      </c>
      <c r="W55" s="2"/>
      <c r="X55" s="6">
        <f t="shared" si="35"/>
        <v>3403.9799999999996</v>
      </c>
      <c r="Y55" s="2"/>
      <c r="Z55" s="7">
        <f t="shared" si="36"/>
        <v>0.87281538461538455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255.35</v>
      </c>
      <c r="E56" s="1"/>
      <c r="F56" s="5">
        <f t="shared" si="29"/>
        <v>2.8802307884320181E-3</v>
      </c>
      <c r="G56" s="1"/>
      <c r="H56" s="1">
        <f>SUM(OSRRefH22_5x_0)</f>
        <v>436</v>
      </c>
      <c r="I56" s="1"/>
      <c r="J56" s="5">
        <f t="shared" si="30"/>
        <v>4.3600000000000002E-3</v>
      </c>
      <c r="K56" s="1"/>
      <c r="L56" s="1">
        <f t="shared" si="31"/>
        <v>-180.65</v>
      </c>
      <c r="M56" s="1"/>
      <c r="N56" s="5">
        <f t="shared" si="32"/>
        <v>-0.41433486238532113</v>
      </c>
      <c r="O56" s="13"/>
      <c r="P56" s="1">
        <f>SUM(OSRRefP22_5x_0)</f>
        <v>2042.8</v>
      </c>
      <c r="Q56" s="1"/>
      <c r="R56" s="5">
        <f t="shared" si="33"/>
        <v>5.4069368448178409E-3</v>
      </c>
      <c r="S56" s="1"/>
      <c r="T56" s="1">
        <f>SUM(OSRRefT22_5x_0)</f>
        <v>2987</v>
      </c>
      <c r="U56" s="1"/>
      <c r="V56" s="5">
        <f t="shared" si="34"/>
        <v>7.2853658536585365E-3</v>
      </c>
      <c r="W56" s="1"/>
      <c r="X56" s="1">
        <f t="shared" si="35"/>
        <v>-944.2</v>
      </c>
      <c r="Y56" s="1"/>
      <c r="Z56" s="5">
        <f t="shared" si="36"/>
        <v>-0.31610311349179782</v>
      </c>
    </row>
    <row r="57" spans="1:26" s="24" customFormat="1" hidden="1" outlineLevel="2" x14ac:dyDescent="0.25">
      <c r="A57" s="25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255.35</v>
      </c>
      <c r="E57" s="2"/>
      <c r="F57" s="7">
        <f t="shared" si="29"/>
        <v>2.8802307884320181E-3</v>
      </c>
      <c r="G57" s="2"/>
      <c r="H57" s="6">
        <v>269</v>
      </c>
      <c r="I57" s="2"/>
      <c r="J57" s="7">
        <f t="shared" si="30"/>
        <v>2.6900000000000001E-3</v>
      </c>
      <c r="K57" s="2"/>
      <c r="L57" s="6">
        <f t="shared" si="31"/>
        <v>-13.650000000000006</v>
      </c>
      <c r="M57" s="2"/>
      <c r="N57" s="7">
        <f t="shared" si="32"/>
        <v>-5.0743494423791842E-2</v>
      </c>
      <c r="O57" s="11"/>
      <c r="P57" s="6">
        <v>2042.8</v>
      </c>
      <c r="Q57" s="2"/>
      <c r="R57" s="7">
        <f t="shared" si="33"/>
        <v>5.4069368448178409E-3</v>
      </c>
      <c r="S57" s="2"/>
      <c r="T57" s="6">
        <v>2152</v>
      </c>
      <c r="U57" s="2"/>
      <c r="V57" s="7">
        <f t="shared" si="34"/>
        <v>5.2487804878048779E-3</v>
      </c>
      <c r="W57" s="2"/>
      <c r="X57" s="6">
        <f t="shared" si="35"/>
        <v>-109.20000000000005</v>
      </c>
      <c r="Y57" s="2"/>
      <c r="Z57" s="7">
        <f t="shared" si="36"/>
        <v>-5.0743494423791842E-2</v>
      </c>
    </row>
    <row r="58" spans="1:26" s="24" customFormat="1" hidden="1" outlineLevel="2" x14ac:dyDescent="0.25">
      <c r="A58" s="25"/>
      <c r="B58" s="11" t="str">
        <f>CONCATENATE("          ", "6324", " - ", "FURNITURE + FIXT DEPRECIATION")</f>
        <v xml:space="preserve">          6324 - FURNITURE + FIXT DEPRECIATION</v>
      </c>
      <c r="C58" s="11"/>
      <c r="D58" s="6"/>
      <c r="E58" s="2"/>
      <c r="F58" s="7">
        <f t="shared" si="29"/>
        <v>0</v>
      </c>
      <c r="G58" s="2"/>
      <c r="H58" s="6">
        <v>167</v>
      </c>
      <c r="I58" s="2"/>
      <c r="J58" s="7">
        <f t="shared" si="30"/>
        <v>1.67E-3</v>
      </c>
      <c r="K58" s="2"/>
      <c r="L58" s="6">
        <f t="shared" si="31"/>
        <v>-167</v>
      </c>
      <c r="M58" s="2"/>
      <c r="N58" s="7">
        <f t="shared" si="32"/>
        <v>-1</v>
      </c>
      <c r="O58" s="11"/>
      <c r="P58" s="6"/>
      <c r="Q58" s="2"/>
      <c r="R58" s="7">
        <f t="shared" si="33"/>
        <v>0</v>
      </c>
      <c r="S58" s="2"/>
      <c r="T58" s="6">
        <v>835</v>
      </c>
      <c r="U58" s="2"/>
      <c r="V58" s="7">
        <f t="shared" si="34"/>
        <v>2.0365853658536586E-3</v>
      </c>
      <c r="W58" s="2"/>
      <c r="X58" s="6">
        <f t="shared" si="35"/>
        <v>-835</v>
      </c>
      <c r="Y58" s="2"/>
      <c r="Z58" s="7">
        <f t="shared" si="36"/>
        <v>-1</v>
      </c>
    </row>
    <row r="59" spans="1:26" s="27" customFormat="1" outlineLevel="1" collapsed="1" x14ac:dyDescent="0.25">
      <c r="A59" s="26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SUM(OSRRefD22_6x_0)</f>
        <v>0</v>
      </c>
      <c r="E59" s="1"/>
      <c r="F59" s="5">
        <f t="shared" ref="F59:F68" si="37">IF(D$12=0,0,D59/D$12)</f>
        <v>0</v>
      </c>
      <c r="G59" s="1"/>
      <c r="H59" s="1">
        <f>SUM(OSRRefH22_6x_0)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3"/>
      <c r="P59" s="1">
        <f>SUM(OSRRefP22_6x_0)</f>
        <v>118.6</v>
      </c>
      <c r="Q59" s="1"/>
      <c r="R59" s="5">
        <f t="shared" ref="R59:R68" si="41">IF(P$12=0,0,P59/P$12)</f>
        <v>3.1391360377687287E-4</v>
      </c>
      <c r="S59" s="1"/>
      <c r="T59" s="1">
        <f>SUM(OSRRefT22_6x_0)</f>
        <v>250</v>
      </c>
      <c r="U59" s="1"/>
      <c r="V59" s="5">
        <f t="shared" ref="V59:V68" si="42">IF(T$12=0,0,T59/T$12)</f>
        <v>6.0975609756097561E-4</v>
      </c>
      <c r="W59" s="1"/>
      <c r="X59" s="1">
        <f t="shared" ref="X59:X68" si="43">+P59-T59</f>
        <v>-131.4</v>
      </c>
      <c r="Y59" s="1"/>
      <c r="Z59" s="5">
        <f t="shared" ref="Z59:Z68" si="44">IF(T59=0,0,X59/T59)</f>
        <v>-0.52560000000000007</v>
      </c>
    </row>
    <row r="60" spans="1:26" s="24" customFormat="1" hidden="1" outlineLevel="2" x14ac:dyDescent="0.25">
      <c r="A60" s="25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118.6</v>
      </c>
      <c r="Q60" s="2"/>
      <c r="R60" s="7">
        <f t="shared" si="41"/>
        <v>3.1391360377687287E-4</v>
      </c>
      <c r="S60" s="2"/>
      <c r="T60" s="6">
        <v>250</v>
      </c>
      <c r="U60" s="2"/>
      <c r="V60" s="7">
        <f t="shared" si="42"/>
        <v>6.0975609756097561E-4</v>
      </c>
      <c r="W60" s="2"/>
      <c r="X60" s="6">
        <f t="shared" si="43"/>
        <v>-131.4</v>
      </c>
      <c r="Y60" s="2"/>
      <c r="Z60" s="7">
        <f t="shared" si="44"/>
        <v>-0.52560000000000007</v>
      </c>
    </row>
    <row r="61" spans="1:26" s="27" customFormat="1" outlineLevel="1" collapsed="1" x14ac:dyDescent="0.25">
      <c r="A61" s="26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SUM(OSRRefD22_7x_0)</f>
        <v>0</v>
      </c>
      <c r="E61" s="1"/>
      <c r="F61" s="5">
        <f t="shared" si="37"/>
        <v>0</v>
      </c>
      <c r="G61" s="1"/>
      <c r="H61" s="1">
        <f>SUM(OSRRefH22_7x_0)</f>
        <v>100</v>
      </c>
      <c r="I61" s="1"/>
      <c r="J61" s="5">
        <f t="shared" si="38"/>
        <v>1E-3</v>
      </c>
      <c r="K61" s="1"/>
      <c r="L61" s="1">
        <f t="shared" si="39"/>
        <v>-100</v>
      </c>
      <c r="M61" s="1"/>
      <c r="N61" s="5">
        <f t="shared" si="40"/>
        <v>-1</v>
      </c>
      <c r="O61" s="13"/>
      <c r="P61" s="1">
        <f>SUM(OSRRefP22_7x_0)</f>
        <v>350</v>
      </c>
      <c r="Q61" s="1"/>
      <c r="R61" s="5">
        <f t="shared" si="41"/>
        <v>9.2638921856581379E-4</v>
      </c>
      <c r="S61" s="1"/>
      <c r="T61" s="1">
        <f>SUM(OSRRefT22_7x_0)</f>
        <v>200</v>
      </c>
      <c r="U61" s="1"/>
      <c r="V61" s="5">
        <f t="shared" si="42"/>
        <v>4.8780487804878049E-4</v>
      </c>
      <c r="W61" s="1"/>
      <c r="X61" s="1">
        <f t="shared" si="43"/>
        <v>150</v>
      </c>
      <c r="Y61" s="1"/>
      <c r="Z61" s="5">
        <f t="shared" si="44"/>
        <v>0.75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37"/>
        <v>0</v>
      </c>
      <c r="G62" s="2"/>
      <c r="H62" s="6">
        <v>100</v>
      </c>
      <c r="I62" s="2"/>
      <c r="J62" s="7">
        <f t="shared" si="38"/>
        <v>1E-3</v>
      </c>
      <c r="K62" s="2"/>
      <c r="L62" s="6">
        <f t="shared" si="39"/>
        <v>-100</v>
      </c>
      <c r="M62" s="2"/>
      <c r="N62" s="7">
        <f t="shared" si="40"/>
        <v>-1</v>
      </c>
      <c r="O62" s="11"/>
      <c r="P62" s="6">
        <v>350</v>
      </c>
      <c r="Q62" s="2"/>
      <c r="R62" s="7">
        <f t="shared" si="41"/>
        <v>9.2638921856581379E-4</v>
      </c>
      <c r="S62" s="2"/>
      <c r="T62" s="6">
        <v>200</v>
      </c>
      <c r="U62" s="2"/>
      <c r="V62" s="7">
        <f t="shared" si="42"/>
        <v>4.8780487804878049E-4</v>
      </c>
      <c r="W62" s="2"/>
      <c r="X62" s="6">
        <f t="shared" si="43"/>
        <v>150</v>
      </c>
      <c r="Y62" s="2"/>
      <c r="Z62" s="7">
        <f t="shared" si="44"/>
        <v>0.75</v>
      </c>
    </row>
    <row r="63" spans="1:26" s="27" customFormat="1" outlineLevel="1" collapsed="1" x14ac:dyDescent="0.25">
      <c r="A63" s="26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SUM(OSRRefD22_8x_0)</f>
        <v>460.6</v>
      </c>
      <c r="E63" s="1"/>
      <c r="F63" s="5">
        <f t="shared" si="37"/>
        <v>5.1953565739251521E-3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460.6</v>
      </c>
      <c r="M63" s="1"/>
      <c r="N63" s="5">
        <f t="shared" si="40"/>
        <v>0</v>
      </c>
      <c r="O63" s="13"/>
      <c r="P63" s="1">
        <f>SUM(OSRRefP22_8x_0)</f>
        <v>15380.84</v>
      </c>
      <c r="Q63" s="1"/>
      <c r="R63" s="5">
        <f t="shared" si="41"/>
        <v>4.0710412424245175E-2</v>
      </c>
      <c r="S63" s="1"/>
      <c r="T63" s="1">
        <f>SUM(OSRRefT22_8x_0)</f>
        <v>2050</v>
      </c>
      <c r="U63" s="1"/>
      <c r="V63" s="5">
        <f t="shared" si="42"/>
        <v>5.0000000000000001E-3</v>
      </c>
      <c r="W63" s="1"/>
      <c r="X63" s="1">
        <f t="shared" si="43"/>
        <v>13330.84</v>
      </c>
      <c r="Y63" s="1"/>
      <c r="Z63" s="5">
        <f t="shared" si="44"/>
        <v>6.5028487804878052</v>
      </c>
    </row>
    <row r="64" spans="1:26" s="24" customFormat="1" hidden="1" outlineLevel="2" x14ac:dyDescent="0.25">
      <c r="A64" s="25"/>
      <c r="B64" s="11" t="str">
        <f>CONCATENATE("          ", "6279", " - ", "GENERAL EXPENSE")</f>
        <v xml:space="preserve">          6279 - GENERAL EXPENSE</v>
      </c>
      <c r="C64" s="11"/>
      <c r="D64" s="6">
        <v>460.6</v>
      </c>
      <c r="E64" s="2"/>
      <c r="F64" s="7">
        <f t="shared" si="37"/>
        <v>5.1953565739251521E-3</v>
      </c>
      <c r="G64" s="2"/>
      <c r="H64" s="6"/>
      <c r="I64" s="2"/>
      <c r="J64" s="7">
        <f t="shared" si="38"/>
        <v>0</v>
      </c>
      <c r="K64" s="2"/>
      <c r="L64" s="6">
        <f t="shared" si="39"/>
        <v>460.6</v>
      </c>
      <c r="M64" s="2"/>
      <c r="N64" s="7">
        <f t="shared" si="40"/>
        <v>0</v>
      </c>
      <c r="O64" s="11"/>
      <c r="P64" s="6">
        <v>15380.84</v>
      </c>
      <c r="Q64" s="2"/>
      <c r="R64" s="7">
        <f t="shared" si="41"/>
        <v>4.0710412424245175E-2</v>
      </c>
      <c r="S64" s="2"/>
      <c r="T64" s="6">
        <v>2050</v>
      </c>
      <c r="U64" s="2"/>
      <c r="V64" s="7">
        <f t="shared" si="42"/>
        <v>5.0000000000000001E-3</v>
      </c>
      <c r="W64" s="2"/>
      <c r="X64" s="6">
        <f t="shared" si="43"/>
        <v>13330.84</v>
      </c>
      <c r="Y64" s="2"/>
      <c r="Z64" s="7">
        <f t="shared" si="44"/>
        <v>6.5028487804878052</v>
      </c>
    </row>
    <row r="65" spans="1:26" s="27" customFormat="1" outlineLevel="1" collapsed="1" x14ac:dyDescent="0.25">
      <c r="A65" s="26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SUM(OSRRefD22_9x_0)</f>
        <v>0</v>
      </c>
      <c r="E65" s="1"/>
      <c r="F65" s="5">
        <f t="shared" si="37"/>
        <v>0</v>
      </c>
      <c r="G65" s="1"/>
      <c r="H65" s="1">
        <f>SUM(OSRRefH22_9x_0)</f>
        <v>425</v>
      </c>
      <c r="I65" s="1"/>
      <c r="J65" s="5">
        <f t="shared" si="38"/>
        <v>4.2500000000000003E-3</v>
      </c>
      <c r="K65" s="1"/>
      <c r="L65" s="1">
        <f t="shared" si="39"/>
        <v>-425</v>
      </c>
      <c r="M65" s="1"/>
      <c r="N65" s="5">
        <f t="shared" si="40"/>
        <v>-1</v>
      </c>
      <c r="O65" s="13"/>
      <c r="P65" s="1">
        <f>SUM(OSRRefP22_9x_0)</f>
        <v>5381.05</v>
      </c>
      <c r="Q65" s="1"/>
      <c r="R65" s="5">
        <f t="shared" si="41"/>
        <v>1.4242704870181635E-2</v>
      </c>
      <c r="S65" s="1"/>
      <c r="T65" s="1">
        <f>SUM(OSRRefT22_9x_0)</f>
        <v>5475</v>
      </c>
      <c r="U65" s="1"/>
      <c r="V65" s="5">
        <f t="shared" si="42"/>
        <v>1.3353658536585366E-2</v>
      </c>
      <c r="W65" s="1"/>
      <c r="X65" s="1">
        <f t="shared" si="43"/>
        <v>-93.949999999999818</v>
      </c>
      <c r="Y65" s="1"/>
      <c r="Z65" s="5">
        <f t="shared" si="44"/>
        <v>-1.715981735159814E-2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37"/>
        <v>0</v>
      </c>
      <c r="G66" s="2"/>
      <c r="H66" s="6"/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>
        <v>2623.84</v>
      </c>
      <c r="Q66" s="2"/>
      <c r="R66" s="7">
        <f t="shared" si="41"/>
        <v>6.944848820690643E-3</v>
      </c>
      <c r="S66" s="2"/>
      <c r="T66" s="6">
        <v>450</v>
      </c>
      <c r="U66" s="2"/>
      <c r="V66" s="7">
        <f t="shared" si="42"/>
        <v>1.0975609756097562E-3</v>
      </c>
      <c r="W66" s="2"/>
      <c r="X66" s="6">
        <f t="shared" si="43"/>
        <v>2173.84</v>
      </c>
      <c r="Y66" s="2"/>
      <c r="Z66" s="7">
        <f t="shared" si="44"/>
        <v>4.8307555555555561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37"/>
        <v>0</v>
      </c>
      <c r="G67" s="2"/>
      <c r="H67" s="6">
        <v>125</v>
      </c>
      <c r="I67" s="2"/>
      <c r="J67" s="7">
        <f t="shared" si="38"/>
        <v>1.25E-3</v>
      </c>
      <c r="K67" s="2"/>
      <c r="L67" s="6">
        <f t="shared" si="39"/>
        <v>-125</v>
      </c>
      <c r="M67" s="2"/>
      <c r="N67" s="7">
        <f t="shared" si="40"/>
        <v>-1</v>
      </c>
      <c r="O67" s="11"/>
      <c r="P67" s="6">
        <v>573</v>
      </c>
      <c r="Q67" s="2"/>
      <c r="R67" s="7">
        <f t="shared" si="41"/>
        <v>1.5166314921091751E-3</v>
      </c>
      <c r="S67" s="2"/>
      <c r="T67" s="6">
        <v>375</v>
      </c>
      <c r="U67" s="2"/>
      <c r="V67" s="7">
        <f t="shared" si="42"/>
        <v>9.1463414634146347E-4</v>
      </c>
      <c r="W67" s="2"/>
      <c r="X67" s="6">
        <f t="shared" si="43"/>
        <v>198</v>
      </c>
      <c r="Y67" s="2"/>
      <c r="Z67" s="7">
        <f t="shared" si="44"/>
        <v>0.52800000000000002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37"/>
        <v>0</v>
      </c>
      <c r="G68" s="2"/>
      <c r="H68" s="6">
        <v>300</v>
      </c>
      <c r="I68" s="2"/>
      <c r="J68" s="7">
        <f t="shared" si="38"/>
        <v>3.0000000000000001E-3</v>
      </c>
      <c r="K68" s="2"/>
      <c r="L68" s="6">
        <f t="shared" si="39"/>
        <v>-300</v>
      </c>
      <c r="M68" s="2"/>
      <c r="N68" s="7">
        <f t="shared" si="40"/>
        <v>-1</v>
      </c>
      <c r="O68" s="11"/>
      <c r="P68" s="6">
        <v>2184.21</v>
      </c>
      <c r="Q68" s="2"/>
      <c r="R68" s="7">
        <f t="shared" si="41"/>
        <v>5.7812245573818175E-3</v>
      </c>
      <c r="S68" s="2"/>
      <c r="T68" s="6">
        <v>4650</v>
      </c>
      <c r="U68" s="2"/>
      <c r="V68" s="7">
        <f t="shared" si="42"/>
        <v>1.1341463414634146E-2</v>
      </c>
      <c r="W68" s="2"/>
      <c r="X68" s="6">
        <f t="shared" si="43"/>
        <v>-2465.79</v>
      </c>
      <c r="Y68" s="2"/>
      <c r="Z68" s="7">
        <f t="shared" si="44"/>
        <v>-0.53027741935483874</v>
      </c>
    </row>
    <row r="69" spans="1:26" s="27" customFormat="1" outlineLevel="1" collapsed="1" x14ac:dyDescent="0.25">
      <c r="A69" s="26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SUM(OSRRefD22_10x_0)</f>
        <v>18717.62</v>
      </c>
      <c r="E69" s="1"/>
      <c r="F69" s="5">
        <f t="shared" ref="F69:F71" si="45">IF(D$12=0,0,D69/D$12)</f>
        <v>0.21112616177862115</v>
      </c>
      <c r="G69" s="1"/>
      <c r="H69" s="1">
        <f>SUM(OSRRefH22_10x_0)</f>
        <v>40000</v>
      </c>
      <c r="I69" s="1"/>
      <c r="J69" s="5">
        <f t="shared" ref="J69:J71" si="46">IF(H$12=0,0,H69/H$12)</f>
        <v>0.4</v>
      </c>
      <c r="K69" s="1"/>
      <c r="L69" s="1">
        <f t="shared" ref="L69:L71" si="47">+D69-H69</f>
        <v>-21282.38</v>
      </c>
      <c r="M69" s="1"/>
      <c r="N69" s="5">
        <f t="shared" ref="N69:N71" si="48">IF(H69=0,0,L69/H69)</f>
        <v>-0.53205950000000002</v>
      </c>
      <c r="O69" s="13"/>
      <c r="P69" s="1">
        <f>SUM(OSRRefP22_10x_0)</f>
        <v>80396.86</v>
      </c>
      <c r="Q69" s="1"/>
      <c r="R69" s="5">
        <f t="shared" ref="R69:R71" si="49">IF(P$12=0,0,P69/P$12)</f>
        <v>0.21279652660155751</v>
      </c>
      <c r="S69" s="1"/>
      <c r="T69" s="1">
        <f>SUM(OSRRefT22_10x_0)</f>
        <v>87000</v>
      </c>
      <c r="U69" s="1"/>
      <c r="V69" s="5">
        <f t="shared" ref="V69:V71" si="50">IF(T$12=0,0,T69/T$12)</f>
        <v>0.21219512195121951</v>
      </c>
      <c r="W69" s="1"/>
      <c r="X69" s="1">
        <f t="shared" ref="X69:X71" si="51">+P69-T69</f>
        <v>-6603.1399999999994</v>
      </c>
      <c r="Y69" s="1"/>
      <c r="Z69" s="5">
        <f t="shared" ref="Z69:Z71" si="52">IF(T69=0,0,X69/T69)</f>
        <v>-7.5898160919540228E-2</v>
      </c>
    </row>
    <row r="70" spans="1:26" s="24" customFormat="1" hidden="1" outlineLevel="2" x14ac:dyDescent="0.25">
      <c r="A70" s="25"/>
      <c r="B70" s="11" t="str">
        <f>CONCATENATE("          ", "6253", " - ", "ROYALTY DUE ATHLETICS-LRG")</f>
        <v xml:space="preserve">          6253 - ROYALTY DUE ATHLETICS-LRG</v>
      </c>
      <c r="C70" s="11"/>
      <c r="D70" s="6"/>
      <c r="E70" s="2"/>
      <c r="F70" s="7">
        <f t="shared" si="45"/>
        <v>0</v>
      </c>
      <c r="G70" s="2"/>
      <c r="H70" s="6">
        <v>40000</v>
      </c>
      <c r="I70" s="2"/>
      <c r="J70" s="7">
        <f t="shared" si="46"/>
        <v>0.4</v>
      </c>
      <c r="K70" s="2"/>
      <c r="L70" s="6">
        <f t="shared" si="47"/>
        <v>-40000</v>
      </c>
      <c r="M70" s="2"/>
      <c r="N70" s="7">
        <f t="shared" si="48"/>
        <v>-1</v>
      </c>
      <c r="O70" s="11"/>
      <c r="P70" s="6"/>
      <c r="Q70" s="2"/>
      <c r="R70" s="7">
        <f t="shared" si="49"/>
        <v>0</v>
      </c>
      <c r="S70" s="2"/>
      <c r="T70" s="6">
        <v>87000</v>
      </c>
      <c r="U70" s="2"/>
      <c r="V70" s="7">
        <f t="shared" si="50"/>
        <v>0.21219512195121951</v>
      </c>
      <c r="W70" s="2"/>
      <c r="X70" s="6">
        <f t="shared" si="51"/>
        <v>-87000</v>
      </c>
      <c r="Y70" s="2"/>
      <c r="Z70" s="7">
        <f t="shared" si="52"/>
        <v>-1</v>
      </c>
    </row>
    <row r="71" spans="1:26" s="24" customFormat="1" hidden="1" outlineLevel="2" x14ac:dyDescent="0.25">
      <c r="A71" s="25"/>
      <c r="B71" s="11" t="str">
        <f>CONCATENATE("          ", "6254", " - ", "ROYALTY &amp; COMMISSIONS")</f>
        <v xml:space="preserve">          6254 - ROYALTY &amp; COMMISSIONS</v>
      </c>
      <c r="C71" s="11"/>
      <c r="D71" s="6">
        <v>18717.62</v>
      </c>
      <c r="E71" s="2"/>
      <c r="F71" s="7">
        <f t="shared" si="45"/>
        <v>0.21112616177862115</v>
      </c>
      <c r="G71" s="2"/>
      <c r="H71" s="6"/>
      <c r="I71" s="2"/>
      <c r="J71" s="7">
        <f t="shared" si="46"/>
        <v>0</v>
      </c>
      <c r="K71" s="2"/>
      <c r="L71" s="6">
        <f t="shared" si="47"/>
        <v>18717.62</v>
      </c>
      <c r="M71" s="2"/>
      <c r="N71" s="7">
        <f t="shared" si="48"/>
        <v>0</v>
      </c>
      <c r="O71" s="11"/>
      <c r="P71" s="6">
        <v>80396.86</v>
      </c>
      <c r="Q71" s="2"/>
      <c r="R71" s="7">
        <f t="shared" si="49"/>
        <v>0.21279652660155751</v>
      </c>
      <c r="S71" s="2"/>
      <c r="T71" s="6"/>
      <c r="U71" s="2"/>
      <c r="V71" s="7">
        <f t="shared" si="50"/>
        <v>0</v>
      </c>
      <c r="W71" s="2"/>
      <c r="X71" s="6">
        <f t="shared" si="51"/>
        <v>80396.86</v>
      </c>
      <c r="Y71" s="2"/>
      <c r="Z71" s="7">
        <f t="shared" si="52"/>
        <v>0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SUM(OSRRefD22_11x_0)</f>
        <v>290.81</v>
      </c>
      <c r="E72" s="1"/>
      <c r="F72" s="5">
        <f t="shared" ref="F72:F74" si="53">IF(D$12=0,0,D72/D$12)</f>
        <v>3.2802033114701988E-3</v>
      </c>
      <c r="G72" s="1"/>
      <c r="H72" s="1">
        <f>SUM(OSRRefH22_11x_0)</f>
        <v>255</v>
      </c>
      <c r="I72" s="1"/>
      <c r="J72" s="5">
        <f t="shared" ref="J72:J74" si="54">IF(H$12=0,0,H72/H$12)</f>
        <v>2.5500000000000002E-3</v>
      </c>
      <c r="K72" s="1"/>
      <c r="L72" s="1">
        <f t="shared" ref="L72:L74" si="55">+D72-H72</f>
        <v>35.81</v>
      </c>
      <c r="M72" s="1"/>
      <c r="N72" s="5">
        <f t="shared" ref="N72:N74" si="56">IF(H72=0,0,L72/H72)</f>
        <v>0.14043137254901961</v>
      </c>
      <c r="O72" s="13"/>
      <c r="P72" s="1">
        <f>SUM(OSRRefP22_11x_0)</f>
        <v>2479.15</v>
      </c>
      <c r="Q72" s="1"/>
      <c r="R72" s="5">
        <f t="shared" ref="R72:R74" si="57">IF(P$12=0,0,P72/P$12)</f>
        <v>6.5618795177355355E-3</v>
      </c>
      <c r="S72" s="1"/>
      <c r="T72" s="1">
        <f>SUM(OSRRefT22_11x_0)</f>
        <v>1775</v>
      </c>
      <c r="U72" s="1"/>
      <c r="V72" s="5">
        <f t="shared" ref="V72:V74" si="58">IF(T$12=0,0,T72/T$12)</f>
        <v>4.3292682926829272E-3</v>
      </c>
      <c r="W72" s="1"/>
      <c r="X72" s="1">
        <f t="shared" ref="X72:X74" si="59">+P72-T72</f>
        <v>704.15000000000009</v>
      </c>
      <c r="Y72" s="1"/>
      <c r="Z72" s="5">
        <f t="shared" ref="Z72:Z74" si="60">IF(T72=0,0,X72/T72)</f>
        <v>0.39670422535211275</v>
      </c>
    </row>
    <row r="73" spans="1:26" s="24" customFormat="1" hidden="1" outlineLevel="2" x14ac:dyDescent="0.25">
      <c r="A73" s="25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225.81</v>
      </c>
      <c r="E73" s="2"/>
      <c r="F73" s="7">
        <f t="shared" si="53"/>
        <v>2.5470331479766363E-3</v>
      </c>
      <c r="G73" s="2"/>
      <c r="H73" s="6">
        <v>205</v>
      </c>
      <c r="I73" s="2"/>
      <c r="J73" s="7">
        <f t="shared" si="54"/>
        <v>2.0500000000000002E-3</v>
      </c>
      <c r="K73" s="2"/>
      <c r="L73" s="6">
        <f t="shared" si="55"/>
        <v>20.810000000000002</v>
      </c>
      <c r="M73" s="2"/>
      <c r="N73" s="7">
        <f t="shared" si="56"/>
        <v>0.10151219512195123</v>
      </c>
      <c r="O73" s="11"/>
      <c r="P73" s="6">
        <v>2032.29</v>
      </c>
      <c r="Q73" s="2"/>
      <c r="R73" s="7">
        <f t="shared" si="57"/>
        <v>5.3791186999974788E-3</v>
      </c>
      <c r="S73" s="2"/>
      <c r="T73" s="6">
        <v>1425</v>
      </c>
      <c r="U73" s="2"/>
      <c r="V73" s="7">
        <f t="shared" si="58"/>
        <v>3.475609756097561E-3</v>
      </c>
      <c r="W73" s="2"/>
      <c r="X73" s="6">
        <f t="shared" si="59"/>
        <v>607.29</v>
      </c>
      <c r="Y73" s="2"/>
      <c r="Z73" s="7">
        <f t="shared" si="60"/>
        <v>0.42616842105263153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>
        <v>65</v>
      </c>
      <c r="E74" s="2"/>
      <c r="F74" s="7">
        <f t="shared" si="53"/>
        <v>7.3317016349356255E-4</v>
      </c>
      <c r="G74" s="2"/>
      <c r="H74" s="6">
        <v>50</v>
      </c>
      <c r="I74" s="2"/>
      <c r="J74" s="7">
        <f t="shared" si="54"/>
        <v>5.0000000000000001E-4</v>
      </c>
      <c r="K74" s="2"/>
      <c r="L74" s="6">
        <f t="shared" si="55"/>
        <v>15</v>
      </c>
      <c r="M74" s="2"/>
      <c r="N74" s="7">
        <f t="shared" si="56"/>
        <v>0.3</v>
      </c>
      <c r="O74" s="11"/>
      <c r="P74" s="6">
        <v>446.86</v>
      </c>
      <c r="Q74" s="2"/>
      <c r="R74" s="7">
        <f t="shared" si="57"/>
        <v>1.1827608177380558E-3</v>
      </c>
      <c r="S74" s="2"/>
      <c r="T74" s="6">
        <v>350</v>
      </c>
      <c r="U74" s="2"/>
      <c r="V74" s="7">
        <f t="shared" si="58"/>
        <v>8.5365853658536585E-4</v>
      </c>
      <c r="W74" s="2"/>
      <c r="X74" s="6">
        <f t="shared" si="59"/>
        <v>96.860000000000014</v>
      </c>
      <c r="Y74" s="2"/>
      <c r="Z74" s="7">
        <f t="shared" si="60"/>
        <v>0.27674285714285718</v>
      </c>
    </row>
    <row r="75" spans="1:26" s="27" customFormat="1" outlineLevel="1" collapsed="1" x14ac:dyDescent="0.25">
      <c r="A75" s="26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SUM(OSRRefD22_12x_0)</f>
        <v>0</v>
      </c>
      <c r="E75" s="1"/>
      <c r="F75" s="5">
        <f t="shared" ref="F75:F84" si="61">IF(D$12=0,0,D75/D$12)</f>
        <v>0</v>
      </c>
      <c r="G75" s="1"/>
      <c r="H75" s="1">
        <f>SUM(OSRRefH22_12x_0)</f>
        <v>300</v>
      </c>
      <c r="I75" s="1"/>
      <c r="J75" s="5">
        <f t="shared" ref="J75:J84" si="62">IF(H$12=0,0,H75/H$12)</f>
        <v>3.0000000000000001E-3</v>
      </c>
      <c r="K75" s="1"/>
      <c r="L75" s="1">
        <f t="shared" ref="L75:L84" si="63">+D75-H75</f>
        <v>-300</v>
      </c>
      <c r="M75" s="1"/>
      <c r="N75" s="5">
        <f t="shared" ref="N75:N84" si="64">IF(H75=0,0,L75/H75)</f>
        <v>-1</v>
      </c>
      <c r="O75" s="13"/>
      <c r="P75" s="1">
        <f>SUM(OSRRefP22_12x_0)</f>
        <v>0</v>
      </c>
      <c r="Q75" s="1"/>
      <c r="R75" s="5">
        <f t="shared" ref="R75:R84" si="65">IF(P$12=0,0,P75/P$12)</f>
        <v>0</v>
      </c>
      <c r="S75" s="1"/>
      <c r="T75" s="1">
        <f>SUM(OSRRefT22_12x_0)</f>
        <v>300</v>
      </c>
      <c r="U75" s="1"/>
      <c r="V75" s="5">
        <f t="shared" ref="V75:V84" si="66">IF(T$12=0,0,T75/T$12)</f>
        <v>7.3170731707317073E-4</v>
      </c>
      <c r="W75" s="1"/>
      <c r="X75" s="1">
        <f t="shared" ref="X75:X84" si="67">+P75-T75</f>
        <v>-300</v>
      </c>
      <c r="Y75" s="1"/>
      <c r="Z75" s="5">
        <f t="shared" ref="Z75:Z84" si="68">IF(T75=0,0,X75/T75)</f>
        <v>-1</v>
      </c>
    </row>
    <row r="76" spans="1:26" s="24" customFormat="1" hidden="1" outlineLevel="2" x14ac:dyDescent="0.25">
      <c r="A76" s="25"/>
      <c r="B76" s="11" t="str">
        <f>CONCATENATE("          ", "6258", " - ", "MEMBERSHIP DUES")</f>
        <v xml:space="preserve">          6258 - MEMBERSHIP DUES</v>
      </c>
      <c r="C76" s="11"/>
      <c r="D76" s="6"/>
      <c r="E76" s="2"/>
      <c r="F76" s="7">
        <f t="shared" si="61"/>
        <v>0</v>
      </c>
      <c r="G76" s="2"/>
      <c r="H76" s="6">
        <v>300</v>
      </c>
      <c r="I76" s="2"/>
      <c r="J76" s="7">
        <f t="shared" si="62"/>
        <v>3.0000000000000001E-3</v>
      </c>
      <c r="K76" s="2"/>
      <c r="L76" s="6">
        <f t="shared" si="63"/>
        <v>-300</v>
      </c>
      <c r="M76" s="2"/>
      <c r="N76" s="7">
        <f t="shared" si="64"/>
        <v>-1</v>
      </c>
      <c r="O76" s="11"/>
      <c r="P76" s="6"/>
      <c r="Q76" s="2"/>
      <c r="R76" s="7">
        <f t="shared" si="65"/>
        <v>0</v>
      </c>
      <c r="S76" s="2"/>
      <c r="T76" s="6">
        <v>300</v>
      </c>
      <c r="U76" s="2"/>
      <c r="V76" s="7">
        <f t="shared" si="66"/>
        <v>7.3170731707317073E-4</v>
      </c>
      <c r="W76" s="2"/>
      <c r="X76" s="6">
        <f t="shared" si="67"/>
        <v>-300</v>
      </c>
      <c r="Y76" s="2"/>
      <c r="Z76" s="7">
        <f t="shared" si="68"/>
        <v>-1</v>
      </c>
    </row>
    <row r="77" spans="1:26" s="27" customFormat="1" outlineLevel="1" collapsed="1" x14ac:dyDescent="0.25">
      <c r="A77" s="26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SUM(OSRRefD22_13x_0)</f>
        <v>1686.67</v>
      </c>
      <c r="E77" s="1"/>
      <c r="F77" s="5">
        <f t="shared" si="61"/>
        <v>1.9024863379379801E-2</v>
      </c>
      <c r="G77" s="1"/>
      <c r="H77" s="1">
        <f>SUM(OSRRefH22_13x_0)</f>
        <v>750</v>
      </c>
      <c r="I77" s="1"/>
      <c r="J77" s="5">
        <f t="shared" si="62"/>
        <v>7.4999999999999997E-3</v>
      </c>
      <c r="K77" s="1"/>
      <c r="L77" s="1">
        <f t="shared" si="63"/>
        <v>936.67000000000007</v>
      </c>
      <c r="M77" s="1"/>
      <c r="N77" s="5">
        <f t="shared" si="64"/>
        <v>1.2488933333333334</v>
      </c>
      <c r="O77" s="13"/>
      <c r="P77" s="1">
        <f>SUM(OSRRefP22_13x_0)</f>
        <v>15287.860000000002</v>
      </c>
      <c r="Q77" s="1"/>
      <c r="R77" s="5">
        <f t="shared" si="65"/>
        <v>4.0464310511267323E-2</v>
      </c>
      <c r="S77" s="1"/>
      <c r="T77" s="1">
        <f>SUM(OSRRefT22_13x_0)</f>
        <v>4500</v>
      </c>
      <c r="U77" s="1"/>
      <c r="V77" s="5">
        <f t="shared" si="66"/>
        <v>1.097560975609756E-2</v>
      </c>
      <c r="W77" s="1"/>
      <c r="X77" s="1">
        <f t="shared" si="67"/>
        <v>10787.860000000002</v>
      </c>
      <c r="Y77" s="1"/>
      <c r="Z77" s="5">
        <f t="shared" si="68"/>
        <v>2.3973022222222227</v>
      </c>
    </row>
    <row r="78" spans="1:26" s="24" customFormat="1" hidden="1" outlineLevel="2" x14ac:dyDescent="0.25">
      <c r="A78" s="25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1"/>
      <c r="P78" s="6">
        <v>3756.46</v>
      </c>
      <c r="Q78" s="2"/>
      <c r="R78" s="7">
        <f t="shared" si="65"/>
        <v>9.9426972684963904E-3</v>
      </c>
      <c r="S78" s="2"/>
      <c r="T78" s="6"/>
      <c r="U78" s="2"/>
      <c r="V78" s="7">
        <f t="shared" si="66"/>
        <v>0</v>
      </c>
      <c r="W78" s="2"/>
      <c r="X78" s="6">
        <f t="shared" si="67"/>
        <v>3756.46</v>
      </c>
      <c r="Y78" s="2"/>
      <c r="Z78" s="7">
        <f t="shared" si="68"/>
        <v>0</v>
      </c>
    </row>
    <row r="79" spans="1:26" s="24" customFormat="1" hidden="1" outlineLevel="2" x14ac:dyDescent="0.25">
      <c r="A79" s="25"/>
      <c r="B79" s="11" t="str">
        <f>CONCATENATE("          ", "6237", " - ", "JANITORIAL SUPPLIES")</f>
        <v xml:space="preserve">          6237 - JANITORIAL SUPPLIES</v>
      </c>
      <c r="C79" s="11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1"/>
      <c r="P79" s="6">
        <v>1239.47</v>
      </c>
      <c r="Q79" s="2"/>
      <c r="R79" s="7">
        <f t="shared" si="65"/>
        <v>3.2806618421021977E-3</v>
      </c>
      <c r="S79" s="2"/>
      <c r="T79" s="6">
        <v>600</v>
      </c>
      <c r="U79" s="2"/>
      <c r="V79" s="7">
        <f t="shared" si="66"/>
        <v>1.4634146341463415E-3</v>
      </c>
      <c r="W79" s="2"/>
      <c r="X79" s="6">
        <f t="shared" si="67"/>
        <v>639.47</v>
      </c>
      <c r="Y79" s="2"/>
      <c r="Z79" s="7">
        <f t="shared" si="68"/>
        <v>1.0657833333333333</v>
      </c>
    </row>
    <row r="80" spans="1:26" s="24" customFormat="1" hidden="1" outlineLevel="2" x14ac:dyDescent="0.25">
      <c r="A80" s="25"/>
      <c r="B80" s="11" t="str">
        <f>CONCATENATE("          ", "6239", " - ", "KITCHEN SUPPLIES")</f>
        <v xml:space="preserve">          6239 - KITCHEN SUPPLIES</v>
      </c>
      <c r="C80" s="11"/>
      <c r="D80" s="6">
        <v>1267.53</v>
      </c>
      <c r="E80" s="2"/>
      <c r="F80" s="7">
        <f t="shared" si="61"/>
        <v>1.4297156574353773E-2</v>
      </c>
      <c r="G80" s="2"/>
      <c r="H80" s="6">
        <v>200</v>
      </c>
      <c r="I80" s="2"/>
      <c r="J80" s="7">
        <f t="shared" si="62"/>
        <v>2E-3</v>
      </c>
      <c r="K80" s="2"/>
      <c r="L80" s="6">
        <f t="shared" si="63"/>
        <v>1067.53</v>
      </c>
      <c r="M80" s="2"/>
      <c r="N80" s="7">
        <f t="shared" si="64"/>
        <v>5.33765</v>
      </c>
      <c r="O80" s="11"/>
      <c r="P80" s="6">
        <v>7033.31</v>
      </c>
      <c r="Q80" s="2"/>
      <c r="R80" s="7">
        <f t="shared" si="65"/>
        <v>1.8615950156660354E-2</v>
      </c>
      <c r="S80" s="2"/>
      <c r="T80" s="6">
        <v>400</v>
      </c>
      <c r="U80" s="2"/>
      <c r="V80" s="7">
        <f t="shared" si="66"/>
        <v>9.7560975609756097E-4</v>
      </c>
      <c r="W80" s="2"/>
      <c r="X80" s="6">
        <f t="shared" si="67"/>
        <v>6633.31</v>
      </c>
      <c r="Y80" s="2"/>
      <c r="Z80" s="7">
        <f t="shared" si="68"/>
        <v>16.583275</v>
      </c>
    </row>
    <row r="81" spans="1:26" s="24" customFormat="1" hidden="1" outlineLevel="2" x14ac:dyDescent="0.25">
      <c r="A81" s="25"/>
      <c r="B81" s="11" t="str">
        <f>CONCATENATE("          ", "6241", " - ", "OFFICE EXPENSE")</f>
        <v xml:space="preserve">          6241 - OFFICE EXPENSE</v>
      </c>
      <c r="C81" s="11"/>
      <c r="D81" s="6"/>
      <c r="E81" s="2"/>
      <c r="F81" s="7">
        <f t="shared" si="61"/>
        <v>0</v>
      </c>
      <c r="G81" s="2"/>
      <c r="H81" s="6">
        <v>300</v>
      </c>
      <c r="I81" s="2"/>
      <c r="J81" s="7">
        <f t="shared" si="62"/>
        <v>3.0000000000000001E-3</v>
      </c>
      <c r="K81" s="2"/>
      <c r="L81" s="6">
        <f t="shared" si="63"/>
        <v>-300</v>
      </c>
      <c r="M81" s="2"/>
      <c r="N81" s="7">
        <f t="shared" si="64"/>
        <v>-1</v>
      </c>
      <c r="O81" s="11"/>
      <c r="P81" s="6">
        <v>599.88</v>
      </c>
      <c r="Q81" s="2"/>
      <c r="R81" s="7">
        <f t="shared" si="65"/>
        <v>1.5877781840950296E-3</v>
      </c>
      <c r="S81" s="2"/>
      <c r="T81" s="6">
        <v>300</v>
      </c>
      <c r="U81" s="2"/>
      <c r="V81" s="7">
        <f t="shared" si="66"/>
        <v>7.3170731707317073E-4</v>
      </c>
      <c r="W81" s="2"/>
      <c r="X81" s="6">
        <f t="shared" si="67"/>
        <v>299.88</v>
      </c>
      <c r="Y81" s="2"/>
      <c r="Z81" s="7">
        <f t="shared" si="68"/>
        <v>0.99959999999999993</v>
      </c>
    </row>
    <row r="82" spans="1:26" s="24" customFormat="1" hidden="1" outlineLevel="2" x14ac:dyDescent="0.25">
      <c r="A82" s="25"/>
      <c r="B82" s="11" t="str">
        <f>CONCATENATE("          ", "6243", " - ", "PAPER SUPPLIES")</f>
        <v xml:space="preserve">          6243 - PAPER SUPPLIES</v>
      </c>
      <c r="C82" s="11"/>
      <c r="D82" s="6">
        <v>379.14</v>
      </c>
      <c r="E82" s="2"/>
      <c r="F82" s="7">
        <f t="shared" si="61"/>
        <v>4.2765251659530662E-3</v>
      </c>
      <c r="G82" s="2"/>
      <c r="H82" s="6">
        <v>250</v>
      </c>
      <c r="I82" s="2"/>
      <c r="J82" s="7">
        <f t="shared" si="62"/>
        <v>2.5000000000000001E-3</v>
      </c>
      <c r="K82" s="2"/>
      <c r="L82" s="6">
        <f t="shared" si="63"/>
        <v>129.13999999999999</v>
      </c>
      <c r="M82" s="2"/>
      <c r="N82" s="7">
        <f t="shared" si="64"/>
        <v>0.51655999999999991</v>
      </c>
      <c r="O82" s="11"/>
      <c r="P82" s="6">
        <v>2419.1</v>
      </c>
      <c r="Q82" s="2"/>
      <c r="R82" s="7">
        <f t="shared" si="65"/>
        <v>6.4029375960930283E-3</v>
      </c>
      <c r="S82" s="2"/>
      <c r="T82" s="6">
        <v>2000</v>
      </c>
      <c r="U82" s="2"/>
      <c r="V82" s="7">
        <f t="shared" si="66"/>
        <v>4.8780487804878049E-3</v>
      </c>
      <c r="W82" s="2"/>
      <c r="X82" s="6">
        <f t="shared" si="67"/>
        <v>419.09999999999991</v>
      </c>
      <c r="Y82" s="2"/>
      <c r="Z82" s="7">
        <f t="shared" si="68"/>
        <v>0.20954999999999996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6">
        <v>40</v>
      </c>
      <c r="E83" s="2"/>
      <c r="F83" s="7">
        <f t="shared" si="61"/>
        <v>4.5118163907296153E-4</v>
      </c>
      <c r="G83" s="2"/>
      <c r="H83" s="6"/>
      <c r="I83" s="2"/>
      <c r="J83" s="7">
        <f t="shared" si="62"/>
        <v>0</v>
      </c>
      <c r="K83" s="2"/>
      <c r="L83" s="6">
        <f t="shared" si="63"/>
        <v>40</v>
      </c>
      <c r="M83" s="2"/>
      <c r="N83" s="7">
        <f t="shared" si="64"/>
        <v>0</v>
      </c>
      <c r="O83" s="11"/>
      <c r="P83" s="6">
        <v>-214.8</v>
      </c>
      <c r="Q83" s="2"/>
      <c r="R83" s="7">
        <f t="shared" si="65"/>
        <v>-5.6853829756553379E-4</v>
      </c>
      <c r="S83" s="2"/>
      <c r="T83" s="6"/>
      <c r="U83" s="2"/>
      <c r="V83" s="7">
        <f t="shared" si="66"/>
        <v>0</v>
      </c>
      <c r="W83" s="2"/>
      <c r="X83" s="6">
        <f t="shared" si="67"/>
        <v>-214.8</v>
      </c>
      <c r="Y83" s="2"/>
      <c r="Z83" s="7">
        <f t="shared" si="68"/>
        <v>0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61"/>
        <v>0</v>
      </c>
      <c r="G84" s="2"/>
      <c r="H84" s="6"/>
      <c r="I84" s="2"/>
      <c r="J84" s="7">
        <f t="shared" si="62"/>
        <v>0</v>
      </c>
      <c r="K84" s="2"/>
      <c r="L84" s="6">
        <f t="shared" si="63"/>
        <v>0</v>
      </c>
      <c r="M84" s="2"/>
      <c r="N84" s="7">
        <f t="shared" si="64"/>
        <v>0</v>
      </c>
      <c r="O84" s="11"/>
      <c r="P84" s="6">
        <v>454.44</v>
      </c>
      <c r="Q84" s="2"/>
      <c r="R84" s="7">
        <f t="shared" si="65"/>
        <v>1.2028237613858526E-3</v>
      </c>
      <c r="S84" s="2"/>
      <c r="T84" s="6">
        <v>1200</v>
      </c>
      <c r="U84" s="2"/>
      <c r="V84" s="7">
        <f t="shared" si="66"/>
        <v>2.9268292682926829E-3</v>
      </c>
      <c r="W84" s="2"/>
      <c r="X84" s="6">
        <f t="shared" si="67"/>
        <v>-745.56</v>
      </c>
      <c r="Y84" s="2"/>
      <c r="Z84" s="7">
        <f t="shared" si="68"/>
        <v>-0.62129999999999996</v>
      </c>
    </row>
    <row r="85" spans="1:26" s="27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SUM(OSRRefD22_14x_0)</f>
        <v>312.06</v>
      </c>
      <c r="E85" s="1"/>
      <c r="F85" s="5">
        <f t="shared" ref="F85:F87" si="69">IF(D$12=0,0,D85/D$12)</f>
        <v>3.5198935572277094E-3</v>
      </c>
      <c r="G85" s="1"/>
      <c r="H85" s="1">
        <f>SUM(OSRRefH22_14x_0)</f>
        <v>343</v>
      </c>
      <c r="I85" s="1"/>
      <c r="J85" s="5">
        <f t="shared" ref="J85:J87" si="70">IF(H$12=0,0,H85/H$12)</f>
        <v>3.4299999999999999E-3</v>
      </c>
      <c r="K85" s="1"/>
      <c r="L85" s="1">
        <f t="shared" ref="L85:L87" si="71">+D85-H85</f>
        <v>-30.939999999999998</v>
      </c>
      <c r="M85" s="1"/>
      <c r="N85" s="5">
        <f t="shared" ref="N85:N87" si="72">IF(H85=0,0,L85/H85)</f>
        <v>-9.020408163265306E-2</v>
      </c>
      <c r="O85" s="13"/>
      <c r="P85" s="1">
        <f>SUM(OSRRefP22_14x_0)</f>
        <v>2487.9</v>
      </c>
      <c r="Q85" s="1"/>
      <c r="R85" s="5">
        <f t="shared" ref="R85:R87" si="73">IF(P$12=0,0,P85/P$12)</f>
        <v>6.5850392481996804E-3</v>
      </c>
      <c r="S85" s="1"/>
      <c r="T85" s="1">
        <f>SUM(OSRRefT22_14x_0)</f>
        <v>1815</v>
      </c>
      <c r="U85" s="1"/>
      <c r="V85" s="5">
        <f t="shared" ref="V85:V87" si="74">IF(T$12=0,0,T85/T$12)</f>
        <v>4.4268292682926825E-3</v>
      </c>
      <c r="W85" s="1"/>
      <c r="X85" s="1">
        <f t="shared" ref="X85:X87" si="75">+P85-T85</f>
        <v>672.90000000000009</v>
      </c>
      <c r="Y85" s="1"/>
      <c r="Z85" s="5">
        <f t="shared" ref="Z85:Z87" si="76">IF(T85=0,0,X85/T85)</f>
        <v>0.37074380165289261</v>
      </c>
    </row>
    <row r="86" spans="1:26" s="24" customFormat="1" hidden="1" outlineLevel="2" x14ac:dyDescent="0.25">
      <c r="A86" s="25"/>
      <c r="B86" s="11" t="str">
        <f>CONCATENATE("          ", "6303", " - ", "DATA PHONE LINES")</f>
        <v xml:space="preserve">          6303 - DATA PHONE LINES</v>
      </c>
      <c r="C86" s="11"/>
      <c r="D86" s="6"/>
      <c r="E86" s="2"/>
      <c r="F86" s="7">
        <f t="shared" si="69"/>
        <v>0</v>
      </c>
      <c r="G86" s="2"/>
      <c r="H86" s="6">
        <v>298</v>
      </c>
      <c r="I86" s="2"/>
      <c r="J86" s="7">
        <f t="shared" si="70"/>
        <v>2.98E-3</v>
      </c>
      <c r="K86" s="2"/>
      <c r="L86" s="6">
        <f t="shared" si="71"/>
        <v>-298</v>
      </c>
      <c r="M86" s="2"/>
      <c r="N86" s="7">
        <f t="shared" si="72"/>
        <v>-1</v>
      </c>
      <c r="O86" s="11"/>
      <c r="P86" s="6"/>
      <c r="Q86" s="2"/>
      <c r="R86" s="7">
        <f t="shared" si="73"/>
        <v>0</v>
      </c>
      <c r="S86" s="2"/>
      <c r="T86" s="6">
        <v>1590</v>
      </c>
      <c r="U86" s="2"/>
      <c r="V86" s="7">
        <f t="shared" si="74"/>
        <v>3.8780487804878049E-3</v>
      </c>
      <c r="W86" s="2"/>
      <c r="X86" s="6">
        <f t="shared" si="75"/>
        <v>-1590</v>
      </c>
      <c r="Y86" s="2"/>
      <c r="Z86" s="7">
        <f t="shared" si="76"/>
        <v>-1</v>
      </c>
    </row>
    <row r="87" spans="1:26" s="24" customFormat="1" hidden="1" outlineLevel="2" x14ac:dyDescent="0.25">
      <c r="A87" s="25"/>
      <c r="B87" s="11" t="str">
        <f>CONCATENATE("          ", "6309", " - ", "TELEPHONE")</f>
        <v xml:space="preserve">          6309 - TELEPHONE</v>
      </c>
      <c r="C87" s="11"/>
      <c r="D87" s="6">
        <v>312.06</v>
      </c>
      <c r="E87" s="2"/>
      <c r="F87" s="7">
        <f t="shared" si="69"/>
        <v>3.5198935572277094E-3</v>
      </c>
      <c r="G87" s="2"/>
      <c r="H87" s="6">
        <v>45</v>
      </c>
      <c r="I87" s="2"/>
      <c r="J87" s="7">
        <f t="shared" si="70"/>
        <v>4.4999999999999999E-4</v>
      </c>
      <c r="K87" s="2"/>
      <c r="L87" s="6">
        <f t="shared" si="71"/>
        <v>267.06</v>
      </c>
      <c r="M87" s="2"/>
      <c r="N87" s="7">
        <f t="shared" si="72"/>
        <v>5.9346666666666668</v>
      </c>
      <c r="O87" s="11"/>
      <c r="P87" s="6">
        <v>2487.9</v>
      </c>
      <c r="Q87" s="2"/>
      <c r="R87" s="7">
        <f t="shared" si="73"/>
        <v>6.5850392481996804E-3</v>
      </c>
      <c r="S87" s="2"/>
      <c r="T87" s="6">
        <v>225</v>
      </c>
      <c r="U87" s="2"/>
      <c r="V87" s="7">
        <f t="shared" si="74"/>
        <v>5.487804878048781E-4</v>
      </c>
      <c r="W87" s="2"/>
      <c r="X87" s="6">
        <f t="shared" si="75"/>
        <v>2262.9</v>
      </c>
      <c r="Y87" s="2"/>
      <c r="Z87" s="7">
        <f t="shared" si="76"/>
        <v>10.057333333333334</v>
      </c>
    </row>
    <row r="88" spans="1:26" s="27" customFormat="1" outlineLevel="1" collapsed="1" x14ac:dyDescent="0.25">
      <c r="A88" s="26"/>
      <c r="B88" s="13" t="str">
        <f>CONCATENATE("     ","Training                                          ")</f>
        <v xml:space="preserve">     Training                                          </v>
      </c>
      <c r="C88" s="13"/>
      <c r="D88" s="1">
        <f>SUM(OSRRefD22_15x_0)</f>
        <v>0.01</v>
      </c>
      <c r="E88" s="1"/>
      <c r="F88" s="5">
        <f t="shared" ref="F88:F91" si="77">IF(D$12=0,0,D88/D$12)</f>
        <v>1.1279540976824039E-7</v>
      </c>
      <c r="G88" s="1"/>
      <c r="H88" s="1">
        <f>SUM(OSRRefH22_15x_0)</f>
        <v>0</v>
      </c>
      <c r="I88" s="1"/>
      <c r="J88" s="5">
        <f t="shared" ref="J88:J91" si="78">IF(H$12=0,0,H88/H$12)</f>
        <v>0</v>
      </c>
      <c r="K88" s="1"/>
      <c r="L88" s="1">
        <f t="shared" ref="L88:L91" si="79">+D88-H88</f>
        <v>0.01</v>
      </c>
      <c r="M88" s="1"/>
      <c r="N88" s="5">
        <f t="shared" ref="N88:N91" si="80">IF(H88=0,0,L88/H88)</f>
        <v>0</v>
      </c>
      <c r="O88" s="13"/>
      <c r="P88" s="1">
        <f>SUM(OSRRefP22_15x_0)</f>
        <v>237.96</v>
      </c>
      <c r="Q88" s="1"/>
      <c r="R88" s="5">
        <f t="shared" ref="R88:R91" si="81">IF(P$12=0,0,P88/P$12)</f>
        <v>6.2983879557120296E-4</v>
      </c>
      <c r="S88" s="1"/>
      <c r="T88" s="1">
        <f>SUM(OSRRefT22_15x_0)</f>
        <v>500</v>
      </c>
      <c r="U88" s="1"/>
      <c r="V88" s="5">
        <f t="shared" ref="V88:V91" si="82">IF(T$12=0,0,T88/T$12)</f>
        <v>1.2195121951219512E-3</v>
      </c>
      <c r="W88" s="1"/>
      <c r="X88" s="1">
        <f t="shared" ref="X88:X91" si="83">+P88-T88</f>
        <v>-262.03999999999996</v>
      </c>
      <c r="Y88" s="1"/>
      <c r="Z88" s="5">
        <f t="shared" ref="Z88:Z91" si="84">IF(T88=0,0,X88/T88)</f>
        <v>-0.52407999999999988</v>
      </c>
    </row>
    <row r="89" spans="1:26" s="24" customFormat="1" hidden="1" outlineLevel="2" x14ac:dyDescent="0.25">
      <c r="A89" s="25"/>
      <c r="B89" s="11" t="str">
        <f>CONCATENATE("          ", "6376", " - ", "TRAINING")</f>
        <v xml:space="preserve">          6376 - TRAINING</v>
      </c>
      <c r="C89" s="11"/>
      <c r="D89" s="6">
        <v>0.01</v>
      </c>
      <c r="E89" s="2"/>
      <c r="F89" s="7">
        <f t="shared" si="77"/>
        <v>1.1279540976824039E-7</v>
      </c>
      <c r="G89" s="2"/>
      <c r="H89" s="6"/>
      <c r="I89" s="2"/>
      <c r="J89" s="7">
        <f t="shared" si="78"/>
        <v>0</v>
      </c>
      <c r="K89" s="2"/>
      <c r="L89" s="6">
        <f t="shared" si="79"/>
        <v>0.01</v>
      </c>
      <c r="M89" s="2"/>
      <c r="N89" s="7">
        <f t="shared" si="80"/>
        <v>0</v>
      </c>
      <c r="O89" s="11"/>
      <c r="P89" s="6">
        <v>237.96</v>
      </c>
      <c r="Q89" s="2"/>
      <c r="R89" s="7">
        <f t="shared" si="81"/>
        <v>6.2983879557120296E-4</v>
      </c>
      <c r="S89" s="2"/>
      <c r="T89" s="6">
        <v>500</v>
      </c>
      <c r="U89" s="2"/>
      <c r="V89" s="7">
        <f t="shared" si="82"/>
        <v>1.2195121951219512E-3</v>
      </c>
      <c r="W89" s="2"/>
      <c r="X89" s="6">
        <f t="shared" si="83"/>
        <v>-262.03999999999996</v>
      </c>
      <c r="Y89" s="2"/>
      <c r="Z89" s="7">
        <f t="shared" si="84"/>
        <v>-0.52407999999999988</v>
      </c>
    </row>
    <row r="90" spans="1:26" s="27" customFormat="1" outlineLevel="1" collapsed="1" x14ac:dyDescent="0.25">
      <c r="A90" s="26"/>
      <c r="B90" s="13" t="str">
        <f>CONCATENATE("     ","Travel                                            ")</f>
        <v xml:space="preserve">     Travel                                            </v>
      </c>
      <c r="C90" s="13"/>
      <c r="D90" s="1">
        <f>SUM(OSRRefD22_16x_0)</f>
        <v>0</v>
      </c>
      <c r="E90" s="1"/>
      <c r="F90" s="5">
        <f t="shared" si="77"/>
        <v>0</v>
      </c>
      <c r="G90" s="1"/>
      <c r="H90" s="1">
        <f>SUM(OSRRefH22_16x_0)</f>
        <v>0</v>
      </c>
      <c r="I90" s="1"/>
      <c r="J90" s="5">
        <f t="shared" si="78"/>
        <v>0</v>
      </c>
      <c r="K90" s="1"/>
      <c r="L90" s="1">
        <f t="shared" si="79"/>
        <v>0</v>
      </c>
      <c r="M90" s="1"/>
      <c r="N90" s="5">
        <f t="shared" si="80"/>
        <v>0</v>
      </c>
      <c r="O90" s="13"/>
      <c r="P90" s="1">
        <f>SUM(OSRRefP22_16x_0)</f>
        <v>0</v>
      </c>
      <c r="Q90" s="1"/>
      <c r="R90" s="5">
        <f t="shared" si="81"/>
        <v>0</v>
      </c>
      <c r="S90" s="1"/>
      <c r="T90" s="1">
        <f>SUM(OSRRefT22_16x_0)</f>
        <v>500</v>
      </c>
      <c r="U90" s="1"/>
      <c r="V90" s="5">
        <f t="shared" si="82"/>
        <v>1.2195121951219512E-3</v>
      </c>
      <c r="W90" s="1"/>
      <c r="X90" s="1">
        <f t="shared" si="83"/>
        <v>-500</v>
      </c>
      <c r="Y90" s="1"/>
      <c r="Z90" s="5">
        <f t="shared" si="84"/>
        <v>-1</v>
      </c>
    </row>
    <row r="91" spans="1:26" s="24" customFormat="1" hidden="1" outlineLevel="2" x14ac:dyDescent="0.25">
      <c r="A91" s="25"/>
      <c r="B91" s="11" t="str">
        <f>CONCATENATE("          ", "6292", " - ", "TRAVEL/CONFERENCE")</f>
        <v xml:space="preserve">          6292 - TRAVEL/CONFERENCE</v>
      </c>
      <c r="C91" s="11"/>
      <c r="D91" s="6"/>
      <c r="E91" s="2"/>
      <c r="F91" s="7">
        <f t="shared" si="77"/>
        <v>0</v>
      </c>
      <c r="G91" s="2"/>
      <c r="H91" s="6"/>
      <c r="I91" s="2"/>
      <c r="J91" s="7">
        <f t="shared" si="78"/>
        <v>0</v>
      </c>
      <c r="K91" s="2"/>
      <c r="L91" s="6">
        <f t="shared" si="79"/>
        <v>0</v>
      </c>
      <c r="M91" s="2"/>
      <c r="N91" s="7">
        <f t="shared" si="80"/>
        <v>0</v>
      </c>
      <c r="O91" s="11"/>
      <c r="P91" s="6"/>
      <c r="Q91" s="2"/>
      <c r="R91" s="7">
        <f t="shared" si="81"/>
        <v>0</v>
      </c>
      <c r="S91" s="2"/>
      <c r="T91" s="6">
        <v>500</v>
      </c>
      <c r="U91" s="2"/>
      <c r="V91" s="7">
        <f t="shared" si="82"/>
        <v>1.2195121951219512E-3</v>
      </c>
      <c r="W91" s="2"/>
      <c r="X91" s="6">
        <f t="shared" si="83"/>
        <v>-500</v>
      </c>
      <c r="Y91" s="2"/>
      <c r="Z91" s="7">
        <f t="shared" si="84"/>
        <v>-1</v>
      </c>
    </row>
    <row r="92" spans="1:26" s="53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25">
      <c r="A93" s="10"/>
      <c r="B93" s="29" t="s">
        <v>0</v>
      </c>
      <c r="C93" s="10"/>
      <c r="D93" s="4">
        <f>SUM(OSRRefD25x_0)</f>
        <v>7147.38</v>
      </c>
      <c r="E93" s="4"/>
      <c r="F93" s="12">
        <f t="shared" ref="F93:F94" si="85">IF(D$12=0,0,D93/D$12)</f>
        <v>8.0619165586932592E-2</v>
      </c>
      <c r="G93" s="4"/>
      <c r="H93" s="4">
        <f>SUM(OSRRefH25x_0)</f>
        <v>0</v>
      </c>
      <c r="I93" s="4"/>
      <c r="J93" s="12">
        <f t="shared" ref="J93:J94" si="86">IF(H$12=0,0,H93/H$12)</f>
        <v>0</v>
      </c>
      <c r="K93" s="4"/>
      <c r="L93" s="4">
        <f t="shared" ref="L93:L94" si="87">+D93-H93</f>
        <v>7147.38</v>
      </c>
      <c r="M93" s="4"/>
      <c r="N93" s="12">
        <f t="shared" ref="N93:N94" si="88">IF(H93=0,0,L93/H93)</f>
        <v>0</v>
      </c>
      <c r="O93" s="10"/>
      <c r="P93" s="4">
        <f>SUM(OSRRefP25x_0)</f>
        <v>39607.82</v>
      </c>
      <c r="Q93" s="4"/>
      <c r="R93" s="12">
        <f t="shared" ref="R93:R94" si="89">IF(P$12=0,0,P93/P$12)</f>
        <v>0.10483502119684403</v>
      </c>
      <c r="S93" s="4"/>
      <c r="T93" s="4">
        <f>SUM(OSRRefT25x_0)</f>
        <v>4100</v>
      </c>
      <c r="U93" s="4"/>
      <c r="V93" s="12">
        <f t="shared" ref="V93:V94" si="90">IF(T$12=0,0,T93/T$12)</f>
        <v>0.01</v>
      </c>
      <c r="W93" s="4"/>
      <c r="X93" s="4">
        <f t="shared" ref="X93:X94" si="91">+P93-T93</f>
        <v>35507.82</v>
      </c>
      <c r="Y93" s="4"/>
      <c r="Z93" s="12">
        <f t="shared" ref="Z93:Z94" si="92">IF(T93=0,0,X93/T93)</f>
        <v>8.6604439024390238</v>
      </c>
    </row>
    <row r="94" spans="1:26" s="24" customFormat="1" hidden="1" outlineLevel="1" x14ac:dyDescent="0.25">
      <c r="A94" s="44"/>
      <c r="B94" s="11" t="str">
        <f>CONCATENATE("          ", "9150", " - ", "MISC. INCOME")</f>
        <v xml:space="preserve">          9150 - MISC. INCOME</v>
      </c>
      <c r="C94" s="11"/>
      <c r="D94" s="2">
        <f>--7147.38</f>
        <v>7147.38</v>
      </c>
      <c r="E94" s="2"/>
      <c r="F94" s="19">
        <f t="shared" si="85"/>
        <v>8.0619165586932592E-2</v>
      </c>
      <c r="G94" s="2"/>
      <c r="H94" s="2"/>
      <c r="I94" s="2"/>
      <c r="J94" s="19">
        <f t="shared" si="86"/>
        <v>0</v>
      </c>
      <c r="K94" s="2"/>
      <c r="L94" s="2">
        <f t="shared" si="87"/>
        <v>7147.38</v>
      </c>
      <c r="M94" s="2"/>
      <c r="N94" s="19">
        <f t="shared" si="88"/>
        <v>0</v>
      </c>
      <c r="O94" s="11"/>
      <c r="P94" s="2">
        <f>--39607.82</f>
        <v>39607.82</v>
      </c>
      <c r="Q94" s="2"/>
      <c r="R94" s="19">
        <f t="shared" si="89"/>
        <v>0.10483502119684403</v>
      </c>
      <c r="S94" s="2"/>
      <c r="T94" s="2">
        <v>4100</v>
      </c>
      <c r="U94" s="2"/>
      <c r="V94" s="19">
        <f t="shared" si="90"/>
        <v>0.01</v>
      </c>
      <c r="W94" s="2"/>
      <c r="X94" s="2">
        <f t="shared" si="91"/>
        <v>35507.82</v>
      </c>
      <c r="Y94" s="2"/>
      <c r="Z94" s="19">
        <f t="shared" si="92"/>
        <v>8.6604439024390238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1">
        <f>+D25-D27+D93</f>
        <v>20607.190000000021</v>
      </c>
      <c r="E96" s="14"/>
      <c r="F96" s="22">
        <f>IF(D$12=0,0,D96/D$12)</f>
        <v>0.2324396440221988</v>
      </c>
      <c r="G96" s="14"/>
      <c r="H96" s="21">
        <f>+H25-H27+H93</f>
        <v>17218.970075000005</v>
      </c>
      <c r="I96" s="14"/>
      <c r="J96" s="22">
        <f>IF(H$12=0,0,H96/H$12)</f>
        <v>0.17218970075000004</v>
      </c>
      <c r="K96" s="15"/>
      <c r="L96" s="21">
        <f>+D96-H96</f>
        <v>3388.2199250000158</v>
      </c>
      <c r="M96" s="15"/>
      <c r="N96" s="22">
        <f>IF(H96=0,0,L96/H96)</f>
        <v>0.19677250789344988</v>
      </c>
      <c r="O96" s="29"/>
      <c r="P96" s="21">
        <f>+P25-P27+P93</f>
        <v>40415.580000000009</v>
      </c>
      <c r="Q96" s="14"/>
      <c r="R96" s="22">
        <f>IF(P$12=0,0,P96/P$12)</f>
        <v>0.1069730216402404</v>
      </c>
      <c r="S96" s="14"/>
      <c r="T96" s="21">
        <f>+T25-T27+T93</f>
        <v>99342.613075000001</v>
      </c>
      <c r="U96" s="14"/>
      <c r="V96" s="22">
        <f>IF(T$12=0,0,T96/T$12)</f>
        <v>0.24229905628048781</v>
      </c>
      <c r="W96" s="15"/>
      <c r="X96" s="21">
        <f>+P96-T96</f>
        <v>-58927.033074999992</v>
      </c>
      <c r="Y96" s="15"/>
      <c r="Z96" s="22">
        <f>IF(T96=0,0,X96/T96)</f>
        <v>-0.59316975113702974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8351.65</v>
      </c>
      <c r="E98" s="4"/>
      <c r="F98" s="12">
        <f>IF(D$12=0,0,D98/D$12)</f>
        <v>9.4202778399092482E-2</v>
      </c>
      <c r="G98" s="4"/>
      <c r="H98" s="4">
        <v>11134</v>
      </c>
      <c r="I98" s="4"/>
      <c r="J98" s="12">
        <f>IF(H$12=0,0,H98/H$12)</f>
        <v>0.11133999999999999</v>
      </c>
      <c r="K98" s="4"/>
      <c r="L98" s="4">
        <f>+D98-H98</f>
        <v>-2782.3500000000004</v>
      </c>
      <c r="M98" s="4"/>
      <c r="N98" s="12">
        <f>IF(H98=0,0,L98/H98)</f>
        <v>-0.24989671277169034</v>
      </c>
      <c r="O98" s="10"/>
      <c r="P98" s="4">
        <v>38506.409999999996</v>
      </c>
      <c r="Q98" s="4"/>
      <c r="R98" s="12">
        <f>IF(P$12=0,0,P98/P$12)</f>
        <v>0.10191978019907096</v>
      </c>
      <c r="S98" s="4"/>
      <c r="T98" s="4">
        <v>49302</v>
      </c>
      <c r="U98" s="4"/>
      <c r="V98" s="12">
        <f>IF(T$12=0,0,T98/T$12)</f>
        <v>0.12024878048780488</v>
      </c>
      <c r="W98" s="4"/>
      <c r="X98" s="4">
        <f>+P98-T98</f>
        <v>-10795.590000000004</v>
      </c>
      <c r="Y98" s="4"/>
      <c r="Z98" s="12">
        <f>IF(T98=0,0,X98/T98)</f>
        <v>-0.21896860167944512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1">
        <f>+D96-D98</f>
        <v>12255.540000000021</v>
      </c>
      <c r="E100" s="14"/>
      <c r="F100" s="32">
        <f>IF(D$12=0,0,D100/D$12)</f>
        <v>0.1382368656231063</v>
      </c>
      <c r="G100" s="14"/>
      <c r="H100" s="31">
        <f>+H96-H98</f>
        <v>6084.9700750000047</v>
      </c>
      <c r="I100" s="14"/>
      <c r="J100" s="32">
        <f>IF(H$12=0,0,H100/H$12)</f>
        <v>6.0849700750000048E-2</v>
      </c>
      <c r="K100" s="15"/>
      <c r="L100" s="31">
        <f>D100-H100</f>
        <v>6170.5699250000162</v>
      </c>
      <c r="M100" s="15"/>
      <c r="N100" s="32">
        <f>IF(H100=0,0,L100/H100)</f>
        <v>1.0140674233307567</v>
      </c>
      <c r="O100" s="29"/>
      <c r="P100" s="31">
        <f>+P96-P98</f>
        <v>1909.1700000000128</v>
      </c>
      <c r="Q100" s="14"/>
      <c r="R100" s="32">
        <f>IF(P$12=0,0,P100/P$12)</f>
        <v>5.0532414411694473E-3</v>
      </c>
      <c r="S100" s="14"/>
      <c r="T100" s="31">
        <f>+T96-T98</f>
        <v>50040.613075000001</v>
      </c>
      <c r="U100" s="14"/>
      <c r="V100" s="32">
        <f>IF(T$12=0,0,T100/T$12)</f>
        <v>0.12205027579268293</v>
      </c>
      <c r="W100" s="15"/>
      <c r="X100" s="31">
        <f>P100-T100</f>
        <v>-48131.443074999988</v>
      </c>
      <c r="Y100" s="15"/>
      <c r="Z100" s="32">
        <f>IF(T100=0,0,X100/T100)</f>
        <v>-0.96184758973399098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3">
        <f>SUM(D100:D102)</f>
        <v>12255.540000000021</v>
      </c>
      <c r="E103" s="14"/>
      <c r="F103" s="30">
        <f>IF(D$12=0,0,D103/D$12)</f>
        <v>0.1382368656231063</v>
      </c>
      <c r="G103" s="14"/>
      <c r="H103" s="33">
        <f>SUM(H100:H102)</f>
        <v>6084.9700750000047</v>
      </c>
      <c r="I103" s="14"/>
      <c r="J103" s="30">
        <f>IF(H$12=0,0,H103/H$12)</f>
        <v>6.0849700750000048E-2</v>
      </c>
      <c r="K103" s="15"/>
      <c r="L103" s="33">
        <f>+D103-H103</f>
        <v>6170.5699250000162</v>
      </c>
      <c r="M103" s="15"/>
      <c r="N103" s="30">
        <f>IF(H103=0,0,L103/H103)</f>
        <v>1.0140674233307567</v>
      </c>
      <c r="O103" s="29"/>
      <c r="P103" s="33">
        <f>SUM(P100:P102)</f>
        <v>1909.1700000000128</v>
      </c>
      <c r="Q103" s="14"/>
      <c r="R103" s="30">
        <f>IF(P$12=0,0,P103/P$12)</f>
        <v>5.0532414411694473E-3</v>
      </c>
      <c r="S103" s="14"/>
      <c r="T103" s="33">
        <f>SUM(T100:T102)</f>
        <v>50040.613075000001</v>
      </c>
      <c r="U103" s="14"/>
      <c r="V103" s="30">
        <f>IF(T$12=0,0,T103/T$12)</f>
        <v>0.12205027579268293</v>
      </c>
      <c r="W103" s="15"/>
      <c r="X103" s="33">
        <f>+P103-T103</f>
        <v>-48131.443074999988</v>
      </c>
      <c r="Y103" s="15"/>
      <c r="Z103" s="30">
        <f>IF(T103=0,0,X103/T103)</f>
        <v>-0.96184758973399098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9">
        <v>43908.495307673613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3" t="s">
        <v>314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7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","455", " - ", "Vending")</f>
        <v>Department 455 - Vending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6333.82</v>
      </c>
      <c r="E18" s="20"/>
      <c r="F18" s="34">
        <f t="shared" ref="F18:F27" si="0">IF(D$12=0,0,D18/D$12)</f>
        <v>0</v>
      </c>
      <c r="G18" s="20"/>
      <c r="H18" s="20">
        <f>SUM(OSRRefH22x_0)</f>
        <v>5329.3879716076881</v>
      </c>
      <c r="I18" s="20"/>
      <c r="J18" s="34">
        <f t="shared" ref="J18:J27" si="1">IF(H$12=0,0,H18/H$12)</f>
        <v>0</v>
      </c>
      <c r="K18" s="4"/>
      <c r="L18" s="20">
        <f t="shared" ref="L18:L27" si="2">+D18-H18</f>
        <v>1004.4320283923116</v>
      </c>
      <c r="M18" s="4"/>
      <c r="N18" s="34">
        <f t="shared" ref="N18:N27" si="3">IF(H18=0,0,L18/H18)</f>
        <v>0.18847042732550581</v>
      </c>
      <c r="O18" s="10"/>
      <c r="P18" s="20">
        <f>SUM(OSRRefP22x_0)</f>
        <v>67027.31</v>
      </c>
      <c r="Q18" s="20"/>
      <c r="R18" s="34">
        <f t="shared" ref="R18:R27" si="4">IF(P$12=0,0,P18/P$12)</f>
        <v>0</v>
      </c>
      <c r="S18" s="20"/>
      <c r="T18" s="20">
        <f>SUM(OSRRefT22x_0)</f>
        <v>46632.144751567277</v>
      </c>
      <c r="U18" s="20"/>
      <c r="V18" s="34">
        <f t="shared" ref="V18:V27" si="5">IF(T$12=0,0,T18/T$12)</f>
        <v>0</v>
      </c>
      <c r="W18" s="4"/>
      <c r="X18" s="20">
        <f t="shared" ref="X18:X27" si="6">+P18-T18</f>
        <v>20395.165248432721</v>
      </c>
      <c r="Y18" s="4"/>
      <c r="Z18" s="34">
        <f t="shared" ref="Z18:Z27" si="7">IF(T18=0,0,X18/T18)</f>
        <v>0.43736279678080325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2560.34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1347.6164130076922</v>
      </c>
      <c r="M19" s="1"/>
      <c r="N19" s="5">
        <f t="shared" si="3"/>
        <v>1.1112313040351873</v>
      </c>
      <c r="O19" s="13"/>
      <c r="P19" s="1">
        <f>SUM(OSRRefP22_0x_0)</f>
        <v>29840.11</v>
      </c>
      <c r="Q19" s="1"/>
      <c r="R19" s="5">
        <f t="shared" si="4"/>
        <v>0</v>
      </c>
      <c r="S19" s="1"/>
      <c r="T19" s="1">
        <f>SUM(OSRRefT22_0x_0)</f>
        <v>10611.331386182692</v>
      </c>
      <c r="U19" s="1"/>
      <c r="V19" s="5">
        <f t="shared" si="5"/>
        <v>0</v>
      </c>
      <c r="W19" s="1"/>
      <c r="X19" s="1">
        <f t="shared" si="6"/>
        <v>19228.778613817311</v>
      </c>
      <c r="Y19" s="1"/>
      <c r="Z19" s="5">
        <f t="shared" si="7"/>
        <v>1.8120985872569804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384.92</v>
      </c>
      <c r="E20" s="2"/>
      <c r="F20" s="7">
        <f t="shared" si="0"/>
        <v>0</v>
      </c>
      <c r="G20" s="2"/>
      <c r="H20" s="6">
        <v>350.05369483846198</v>
      </c>
      <c r="I20" s="2"/>
      <c r="J20" s="7">
        <f t="shared" si="1"/>
        <v>0</v>
      </c>
      <c r="K20" s="2"/>
      <c r="L20" s="6">
        <f t="shared" si="2"/>
        <v>34.866305161538037</v>
      </c>
      <c r="M20" s="2"/>
      <c r="N20" s="7">
        <f t="shared" si="3"/>
        <v>9.9602734310882401E-2</v>
      </c>
      <c r="O20" s="11"/>
      <c r="P20" s="6">
        <v>2908.48</v>
      </c>
      <c r="Q20" s="2"/>
      <c r="R20" s="7">
        <f t="shared" si="4"/>
        <v>0</v>
      </c>
      <c r="S20" s="2"/>
      <c r="T20" s="6">
        <v>3062.9698298365411</v>
      </c>
      <c r="U20" s="2"/>
      <c r="V20" s="7">
        <f t="shared" si="5"/>
        <v>0</v>
      </c>
      <c r="W20" s="2"/>
      <c r="X20" s="6">
        <f t="shared" si="6"/>
        <v>-154.48982983654105</v>
      </c>
      <c r="Y20" s="2"/>
      <c r="Z20" s="7">
        <f t="shared" si="7"/>
        <v>-5.0437920847815065E-2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17.11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17.11</v>
      </c>
      <c r="M21" s="2"/>
      <c r="N21" s="7">
        <f t="shared" si="3"/>
        <v>0</v>
      </c>
      <c r="O21" s="11"/>
      <c r="P21" s="6">
        <v>159.32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159.32</v>
      </c>
      <c r="Y21" s="2"/>
      <c r="Z21" s="7">
        <f t="shared" si="7"/>
        <v>0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934.1</v>
      </c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934.1</v>
      </c>
      <c r="M22" s="2"/>
      <c r="N22" s="7">
        <f t="shared" si="3"/>
        <v>0</v>
      </c>
      <c r="O22" s="11"/>
      <c r="P22" s="6">
        <v>7459.9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7459.9</v>
      </c>
      <c r="Y22" s="2"/>
      <c r="Z22" s="7">
        <f t="shared" si="7"/>
        <v>0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13.08</v>
      </c>
      <c r="E23" s="2"/>
      <c r="F23" s="7">
        <f t="shared" si="0"/>
        <v>0</v>
      </c>
      <c r="G23" s="2"/>
      <c r="H23" s="6">
        <v>11.892586</v>
      </c>
      <c r="I23" s="2"/>
      <c r="J23" s="7">
        <f t="shared" si="1"/>
        <v>0</v>
      </c>
      <c r="K23" s="2"/>
      <c r="L23" s="6">
        <f t="shared" si="2"/>
        <v>1.1874140000000004</v>
      </c>
      <c r="M23" s="2"/>
      <c r="N23" s="7">
        <f t="shared" si="3"/>
        <v>9.9844894962289987E-2</v>
      </c>
      <c r="O23" s="11"/>
      <c r="P23" s="6">
        <v>134.31</v>
      </c>
      <c r="Q23" s="2"/>
      <c r="R23" s="7">
        <f t="shared" si="4"/>
        <v>0</v>
      </c>
      <c r="S23" s="2"/>
      <c r="T23" s="6">
        <v>104.06012749999999</v>
      </c>
      <c r="U23" s="2"/>
      <c r="V23" s="7">
        <f t="shared" si="5"/>
        <v>0</v>
      </c>
      <c r="W23" s="2"/>
      <c r="X23" s="6">
        <f t="shared" si="6"/>
        <v>30.249872500000009</v>
      </c>
      <c r="Y23" s="2"/>
      <c r="Z23" s="7">
        <f t="shared" si="7"/>
        <v>0.29069609298720117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514.27</v>
      </c>
      <c r="E24" s="2"/>
      <c r="F24" s="7">
        <f t="shared" si="0"/>
        <v>0</v>
      </c>
      <c r="G24" s="2"/>
      <c r="H24" s="6">
        <v>393.37015230769197</v>
      </c>
      <c r="I24" s="2"/>
      <c r="J24" s="7">
        <f t="shared" si="1"/>
        <v>0</v>
      </c>
      <c r="K24" s="2"/>
      <c r="L24" s="6">
        <f t="shared" si="2"/>
        <v>120.89984769230801</v>
      </c>
      <c r="M24" s="2"/>
      <c r="N24" s="7">
        <f t="shared" si="3"/>
        <v>0.3073437244362679</v>
      </c>
      <c r="O24" s="11"/>
      <c r="P24" s="6">
        <v>5280.61</v>
      </c>
      <c r="Q24" s="2"/>
      <c r="R24" s="7">
        <f t="shared" si="4"/>
        <v>0</v>
      </c>
      <c r="S24" s="2"/>
      <c r="T24" s="6">
        <v>3441.9888326923051</v>
      </c>
      <c r="U24" s="2"/>
      <c r="V24" s="7">
        <f t="shared" si="5"/>
        <v>0</v>
      </c>
      <c r="W24" s="2"/>
      <c r="X24" s="6">
        <f t="shared" si="6"/>
        <v>1838.6211673076946</v>
      </c>
      <c r="Y24" s="2"/>
      <c r="Z24" s="7">
        <f t="shared" si="7"/>
        <v>0.53417406525097144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464.78</v>
      </c>
      <c r="E26" s="2"/>
      <c r="F26" s="7">
        <f t="shared" si="0"/>
        <v>0</v>
      </c>
      <c r="G26" s="2"/>
      <c r="H26" s="6">
        <v>457.40715384615396</v>
      </c>
      <c r="I26" s="2"/>
      <c r="J26" s="7">
        <f t="shared" si="1"/>
        <v>0</v>
      </c>
      <c r="K26" s="2"/>
      <c r="L26" s="6">
        <f t="shared" si="2"/>
        <v>7.3728461538460124</v>
      </c>
      <c r="M26" s="2"/>
      <c r="N26" s="7">
        <f t="shared" si="3"/>
        <v>1.6118781903279596E-2</v>
      </c>
      <c r="O26" s="11"/>
      <c r="P26" s="6">
        <v>5313.38</v>
      </c>
      <c r="Q26" s="2"/>
      <c r="R26" s="7">
        <f t="shared" si="4"/>
        <v>0</v>
      </c>
      <c r="S26" s="2"/>
      <c r="T26" s="6">
        <v>4002.3125961538462</v>
      </c>
      <c r="U26" s="2"/>
      <c r="V26" s="7">
        <f t="shared" si="5"/>
        <v>0</v>
      </c>
      <c r="W26" s="2"/>
      <c r="X26" s="6">
        <f t="shared" si="6"/>
        <v>1311.0674038461539</v>
      </c>
      <c r="Y26" s="2"/>
      <c r="Z26" s="7">
        <f t="shared" si="7"/>
        <v>0.32757746236664953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232.08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232.08</v>
      </c>
      <c r="M27" s="2"/>
      <c r="N27" s="7">
        <f t="shared" si="3"/>
        <v>0</v>
      </c>
      <c r="O27" s="11"/>
      <c r="P27" s="6">
        <v>8584.11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8584.11</v>
      </c>
      <c r="Y27" s="2"/>
      <c r="Z27" s="7">
        <f t="shared" si="7"/>
        <v>0</v>
      </c>
    </row>
    <row r="28" spans="1:26" s="27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3773.48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-343.18438461538017</v>
      </c>
      <c r="M28" s="1"/>
      <c r="N28" s="5">
        <f t="shared" ref="N28:N38" si="11">IF(H28=0,0,L28/H28)</f>
        <v>-8.3364674054536486E-2</v>
      </c>
      <c r="O28" s="13"/>
      <c r="P28" s="1">
        <f>SUM(OSRRefP22_1x_0)</f>
        <v>37187.199999999997</v>
      </c>
      <c r="Q28" s="1"/>
      <c r="R28" s="5">
        <f t="shared" ref="R28:R38" si="12">IF(P$12=0,0,P28/P$12)</f>
        <v>0</v>
      </c>
      <c r="S28" s="1"/>
      <c r="T28" s="1">
        <f>SUM(OSRRefT22_1x_0)</f>
        <v>36020.813365384587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1166.38663461541</v>
      </c>
      <c r="Y28" s="1"/>
      <c r="Z28" s="5">
        <f t="shared" ref="Z28:Z38" si="15">IF(T28=0,0,X28/T28)</f>
        <v>3.2380907748637583E-2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3773.48</v>
      </c>
      <c r="E29" s="2"/>
      <c r="F29" s="7">
        <f t="shared" si="8"/>
        <v>0</v>
      </c>
      <c r="G29" s="2"/>
      <c r="H29" s="6">
        <v>4116.6643846153802</v>
      </c>
      <c r="I29" s="2"/>
      <c r="J29" s="7">
        <f t="shared" si="9"/>
        <v>0</v>
      </c>
      <c r="K29" s="2"/>
      <c r="L29" s="6">
        <f t="shared" si="10"/>
        <v>-343.18438461538017</v>
      </c>
      <c r="M29" s="2"/>
      <c r="N29" s="7">
        <f t="shared" si="11"/>
        <v>-8.3364674054536486E-2</v>
      </c>
      <c r="O29" s="11"/>
      <c r="P29" s="6">
        <v>37187.199999999997</v>
      </c>
      <c r="Q29" s="2"/>
      <c r="R29" s="7">
        <f t="shared" si="12"/>
        <v>0</v>
      </c>
      <c r="S29" s="2"/>
      <c r="T29" s="6">
        <v>36020.813365384587</v>
      </c>
      <c r="U29" s="2"/>
      <c r="V29" s="7">
        <f t="shared" si="13"/>
        <v>0</v>
      </c>
      <c r="W29" s="2"/>
      <c r="X29" s="6">
        <f t="shared" si="14"/>
        <v>1166.38663461541</v>
      </c>
      <c r="Y29" s="2"/>
      <c r="Z29" s="7">
        <f t="shared" si="15"/>
        <v>3.2380907748637583E-2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0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53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9091.36</v>
      </c>
      <c r="E40" s="4"/>
      <c r="F40" s="12">
        <f t="shared" ref="F40:F44" si="16">IF(D$12=0,0,D40/D$12)</f>
        <v>0</v>
      </c>
      <c r="G40" s="4"/>
      <c r="H40" s="4">
        <f>SUM(OSRRefH25x_0)</f>
        <v>13782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-4690.6399999999994</v>
      </c>
      <c r="M40" s="4"/>
      <c r="N40" s="12">
        <f t="shared" ref="N40:N44" si="19">IF(H40=0,0,L40/H40)</f>
        <v>-0.34034537802931353</v>
      </c>
      <c r="O40" s="10"/>
      <c r="P40" s="4">
        <f>SUM(OSRRefP25x_0)</f>
        <v>356854.39</v>
      </c>
      <c r="Q40" s="4"/>
      <c r="R40" s="12">
        <f t="shared" ref="R40:R44" si="20">IF(P$12=0,0,P40/P$12)</f>
        <v>0</v>
      </c>
      <c r="S40" s="4"/>
      <c r="T40" s="4">
        <f>SUM(OSRRefT25x_0)</f>
        <v>340373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16481.390000000014</v>
      </c>
      <c r="Y40" s="4"/>
      <c r="Z40" s="12">
        <f t="shared" ref="Z40:Z44" si="23">IF(T40=0,0,X40/T40)</f>
        <v>4.8421555176233172E-2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19">
        <f t="shared" si="16"/>
        <v>0</v>
      </c>
      <c r="G41" s="2"/>
      <c r="H41" s="2">
        <v>4981</v>
      </c>
      <c r="I41" s="2"/>
      <c r="J41" s="19">
        <f t="shared" si="17"/>
        <v>0</v>
      </c>
      <c r="K41" s="2"/>
      <c r="L41" s="2">
        <f t="shared" si="18"/>
        <v>-4981</v>
      </c>
      <c r="M41" s="2"/>
      <c r="N41" s="19">
        <f t="shared" si="19"/>
        <v>-1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54829</v>
      </c>
      <c r="U41" s="2"/>
      <c r="V41" s="19">
        <f t="shared" si="21"/>
        <v>0</v>
      </c>
      <c r="W41" s="2"/>
      <c r="X41" s="2">
        <f t="shared" si="22"/>
        <v>-54829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8801</v>
      </c>
      <c r="I42" s="2"/>
      <c r="J42" s="19">
        <f t="shared" si="17"/>
        <v>0</v>
      </c>
      <c r="K42" s="2"/>
      <c r="L42" s="2">
        <f t="shared" si="18"/>
        <v>-8801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285544</v>
      </c>
      <c r="U42" s="2"/>
      <c r="V42" s="19">
        <f t="shared" si="21"/>
        <v>0</v>
      </c>
      <c r="W42" s="2"/>
      <c r="X42" s="2">
        <f t="shared" si="22"/>
        <v>-285544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>--7692.32</f>
        <v>7692.32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7692.32</v>
      </c>
      <c r="M43" s="2"/>
      <c r="N43" s="19">
        <f t="shared" si="19"/>
        <v>0</v>
      </c>
      <c r="O43" s="11"/>
      <c r="P43" s="2">
        <f>--128039.29</f>
        <v>128039.29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128039.29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--1399.04</f>
        <v>1399.04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1399.04</v>
      </c>
      <c r="M44" s="2"/>
      <c r="N44" s="19">
        <f t="shared" si="19"/>
        <v>0</v>
      </c>
      <c r="O44" s="11"/>
      <c r="P44" s="2">
        <f>--228815.1</f>
        <v>228815.1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228815.1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1">
        <f>+D16-D18+D40</f>
        <v>2757.5400000000009</v>
      </c>
      <c r="E46" s="14"/>
      <c r="F46" s="22">
        <f>IF(D$12=0,0,D46/D$12)</f>
        <v>0</v>
      </c>
      <c r="G46" s="14"/>
      <c r="H46" s="21">
        <f>+H16-H18+H40</f>
        <v>8452.6120283923119</v>
      </c>
      <c r="I46" s="14"/>
      <c r="J46" s="22">
        <f>IF(H$12=0,0,H46/H$12)</f>
        <v>0</v>
      </c>
      <c r="K46" s="15"/>
      <c r="L46" s="21">
        <f>+D46-H46</f>
        <v>-5695.072028392311</v>
      </c>
      <c r="M46" s="15"/>
      <c r="N46" s="22">
        <f>IF(H46=0,0,L46/H46)</f>
        <v>-0.67376474979125645</v>
      </c>
      <c r="O46" s="29"/>
      <c r="P46" s="21">
        <f>+P16-P18+P40</f>
        <v>289827.08</v>
      </c>
      <c r="Q46" s="14"/>
      <c r="R46" s="22">
        <f>IF(P$12=0,0,P46/P$12)</f>
        <v>0</v>
      </c>
      <c r="S46" s="14"/>
      <c r="T46" s="21">
        <f>+T16-T18+T40</f>
        <v>293740.85524843272</v>
      </c>
      <c r="U46" s="14"/>
      <c r="V46" s="22">
        <f>IF(T$12=0,0,T46/T$12)</f>
        <v>0</v>
      </c>
      <c r="W46" s="15"/>
      <c r="X46" s="21">
        <f>+P46-T46</f>
        <v>-3913.7752484327066</v>
      </c>
      <c r="Y46" s="15"/>
      <c r="Z46" s="22">
        <f>IF(T46=0,0,X46/T46)</f>
        <v>-1.3323904994838435E-2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1">
        <f>+D46-D48</f>
        <v>2757.5400000000009</v>
      </c>
      <c r="E50" s="14"/>
      <c r="F50" s="32">
        <f>IF(D$12=0,0,D50/D$12)</f>
        <v>0</v>
      </c>
      <c r="G50" s="14"/>
      <c r="H50" s="31">
        <f>+H46-H48</f>
        <v>8452.6120283923119</v>
      </c>
      <c r="I50" s="14"/>
      <c r="J50" s="32">
        <f>IF(H$12=0,0,H50/H$12)</f>
        <v>0</v>
      </c>
      <c r="K50" s="15"/>
      <c r="L50" s="31">
        <f>D50-H50</f>
        <v>-5695.072028392311</v>
      </c>
      <c r="M50" s="15"/>
      <c r="N50" s="32">
        <f>IF(H50=0,0,L50/H50)</f>
        <v>-0.67376474979125645</v>
      </c>
      <c r="O50" s="29"/>
      <c r="P50" s="31">
        <f>+P46-P48</f>
        <v>289827.08</v>
      </c>
      <c r="Q50" s="14"/>
      <c r="R50" s="32">
        <f>IF(P$12=0,0,P50/P$12)</f>
        <v>0</v>
      </c>
      <c r="S50" s="14"/>
      <c r="T50" s="31">
        <f>+T46-T48</f>
        <v>293740.85524843272</v>
      </c>
      <c r="U50" s="14"/>
      <c r="V50" s="32">
        <f>IF(T$12=0,0,T50/T$12)</f>
        <v>0</v>
      </c>
      <c r="W50" s="15"/>
      <c r="X50" s="31">
        <f>P50-T50</f>
        <v>-3913.7752484327066</v>
      </c>
      <c r="Y50" s="15"/>
      <c r="Z50" s="32">
        <f>IF(T50=0,0,X50/T50)</f>
        <v>-1.3323904994838435E-2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3">
        <f>SUM(D50:D52)</f>
        <v>2757.5400000000009</v>
      </c>
      <c r="E53" s="14"/>
      <c r="F53" s="30">
        <f>IF(D$12=0,0,D53/D$12)</f>
        <v>0</v>
      </c>
      <c r="G53" s="14"/>
      <c r="H53" s="33">
        <f>SUM(H50:H52)</f>
        <v>8452.6120283923119</v>
      </c>
      <c r="I53" s="14"/>
      <c r="J53" s="30">
        <f>IF(H$12=0,0,H53/H$12)</f>
        <v>0</v>
      </c>
      <c r="K53" s="15"/>
      <c r="L53" s="33">
        <f>+D53-H53</f>
        <v>-5695.072028392311</v>
      </c>
      <c r="M53" s="15"/>
      <c r="N53" s="30">
        <f>IF(H53=0,0,L53/H53)</f>
        <v>-0.67376474979125645</v>
      </c>
      <c r="O53" s="29"/>
      <c r="P53" s="33">
        <f>SUM(P50:P52)</f>
        <v>289827.08</v>
      </c>
      <c r="Q53" s="14"/>
      <c r="R53" s="30">
        <f>IF(P$12=0,0,P53/P$12)</f>
        <v>0</v>
      </c>
      <c r="S53" s="14"/>
      <c r="T53" s="33">
        <f>SUM(T50:T52)</f>
        <v>293740.85524843272</v>
      </c>
      <c r="U53" s="14"/>
      <c r="V53" s="30">
        <f>IF(T$12=0,0,T53/T$12)</f>
        <v>0</v>
      </c>
      <c r="W53" s="15"/>
      <c r="X53" s="33">
        <f>+P53-T53</f>
        <v>-3913.7752484327066</v>
      </c>
      <c r="Y53" s="15"/>
      <c r="Z53" s="30">
        <f>IF(T53=0,0,X53/T53)</f>
        <v>-1.3323904994838435E-2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9">
        <v>43908.495436342593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63" t="s">
        <v>314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7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1321859.98</v>
      </c>
      <c r="E12" s="4"/>
      <c r="F12" s="12"/>
      <c r="G12" s="4"/>
      <c r="H12" s="4">
        <f>SUM(OSRRefH13x_0)</f>
        <v>1296225</v>
      </c>
      <c r="I12" s="4"/>
      <c r="J12" s="12"/>
      <c r="K12" s="4"/>
      <c r="L12" s="4">
        <f t="shared" ref="L12:L18" si="0">+D12-H12</f>
        <v>25634.979999999981</v>
      </c>
      <c r="M12" s="4"/>
      <c r="N12" s="12">
        <f t="shared" ref="N12:N18" si="1">IF(H12=0,0,L12/H12)</f>
        <v>1.9776643715404333E-2</v>
      </c>
      <c r="O12" s="10"/>
      <c r="P12" s="4">
        <f>SUM(OSRRefP13x_0)</f>
        <v>8059163.3600000003</v>
      </c>
      <c r="Q12" s="4"/>
      <c r="R12" s="12"/>
      <c r="S12" s="4"/>
      <c r="T12" s="4">
        <f>SUM(OSRRefT13x_0)</f>
        <v>7946103.9999999991</v>
      </c>
      <c r="U12" s="4"/>
      <c r="V12" s="12"/>
      <c r="W12" s="4"/>
      <c r="X12" s="4">
        <f t="shared" ref="X12:X18" si="2">+P12-T12</f>
        <v>113059.36000000127</v>
      </c>
      <c r="Y12" s="4"/>
      <c r="Z12" s="12">
        <f t="shared" ref="Z12:Z18" si="3">IF(T12=0,0,X12/T12)</f>
        <v>1.4228275894702772E-2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--1910.18</f>
        <v>1910.18</v>
      </c>
      <c r="E13" s="2"/>
      <c r="F13" s="19"/>
      <c r="G13" s="2"/>
      <c r="H13" s="2"/>
      <c r="I13" s="2"/>
      <c r="J13" s="19"/>
      <c r="K13" s="2"/>
      <c r="L13" s="2">
        <f t="shared" si="0"/>
        <v>1910.18</v>
      </c>
      <c r="M13" s="2"/>
      <c r="N13" s="19">
        <f t="shared" si="1"/>
        <v>0</v>
      </c>
      <c r="O13" s="11"/>
      <c r="P13" s="2">
        <f>--22635.87</f>
        <v>22635.87</v>
      </c>
      <c r="Q13" s="2"/>
      <c r="R13" s="19"/>
      <c r="S13" s="2"/>
      <c r="T13" s="2"/>
      <c r="U13" s="2"/>
      <c r="V13" s="19"/>
      <c r="W13" s="2"/>
      <c r="X13" s="2">
        <f t="shared" si="2"/>
        <v>22635.87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ref="D14:D15" si="4"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/>
      <c r="U14" s="2"/>
      <c r="V14" s="19"/>
      <c r="W14" s="2"/>
      <c r="X14" s="2">
        <f t="shared" si="2"/>
        <v>973.49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1296225</v>
      </c>
      <c r="I15" s="2"/>
      <c r="J15" s="19"/>
      <c r="K15" s="2"/>
      <c r="L15" s="2">
        <f t="shared" si="0"/>
        <v>-1296225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7946103.9999999991</v>
      </c>
      <c r="U15" s="2"/>
      <c r="V15" s="19"/>
      <c r="W15" s="2"/>
      <c r="X15" s="2">
        <f t="shared" si="2"/>
        <v>-7946103.9999999991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--1297252.87</f>
        <v>1297252.8700000001</v>
      </c>
      <c r="E16" s="2"/>
      <c r="F16" s="19"/>
      <c r="G16" s="2"/>
      <c r="H16" s="2"/>
      <c r="I16" s="2"/>
      <c r="J16" s="19"/>
      <c r="K16" s="2"/>
      <c r="L16" s="2">
        <f t="shared" si="0"/>
        <v>1297252.8700000001</v>
      </c>
      <c r="M16" s="2"/>
      <c r="N16" s="19">
        <f t="shared" si="1"/>
        <v>0</v>
      </c>
      <c r="O16" s="11"/>
      <c r="P16" s="2">
        <f>--7742458.38</f>
        <v>7742458.3799999999</v>
      </c>
      <c r="Q16" s="2"/>
      <c r="R16" s="19"/>
      <c r="S16" s="2"/>
      <c r="T16" s="2"/>
      <c r="U16" s="2"/>
      <c r="V16" s="19"/>
      <c r="W16" s="2"/>
      <c r="X16" s="2">
        <f t="shared" si="2"/>
        <v>7742458.3799999999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--22696.93</f>
        <v>22696.93</v>
      </c>
      <c r="E17" s="2"/>
      <c r="F17" s="19"/>
      <c r="G17" s="2"/>
      <c r="H17" s="2"/>
      <c r="I17" s="2"/>
      <c r="J17" s="19"/>
      <c r="K17" s="2"/>
      <c r="L17" s="2">
        <f t="shared" si="0"/>
        <v>22696.93</v>
      </c>
      <c r="M17" s="2"/>
      <c r="N17" s="19">
        <f t="shared" si="1"/>
        <v>0</v>
      </c>
      <c r="O17" s="11"/>
      <c r="P17" s="2">
        <f>--289361.72</f>
        <v>289361.71999999997</v>
      </c>
      <c r="Q17" s="2"/>
      <c r="R17" s="19"/>
      <c r="S17" s="2"/>
      <c r="T17" s="2"/>
      <c r="U17" s="2"/>
      <c r="V17" s="19"/>
      <c r="W17" s="2"/>
      <c r="X17" s="2">
        <f t="shared" si="2"/>
        <v>289361.71999999997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--3733.9</f>
        <v>3733.9</v>
      </c>
      <c r="Q18" s="2"/>
      <c r="R18" s="19"/>
      <c r="S18" s="2"/>
      <c r="T18" s="2"/>
      <c r="U18" s="2"/>
      <c r="V18" s="19"/>
      <c r="W18" s="2"/>
      <c r="X18" s="2">
        <f t="shared" si="2"/>
        <v>3733.9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326189.13999999996</v>
      </c>
      <c r="E20" s="4"/>
      <c r="F20" s="12">
        <f t="shared" ref="F20:F23" si="5">IF(D$12=0,0,D20/D$12)</f>
        <v>0.2467652738832444</v>
      </c>
      <c r="G20" s="4"/>
      <c r="H20" s="4">
        <f>SUM(OSRRefH16x_0)</f>
        <v>326247.85000000003</v>
      </c>
      <c r="I20" s="4"/>
      <c r="J20" s="12">
        <f t="shared" ref="J20:J23" si="6">IF(H$12=0,0,H20/H$12)</f>
        <v>0.25169075584871459</v>
      </c>
      <c r="K20" s="4"/>
      <c r="L20" s="4">
        <f t="shared" ref="L20:L23" si="7">+D20-H20</f>
        <v>-58.710000000079162</v>
      </c>
      <c r="M20" s="4"/>
      <c r="N20" s="12">
        <f t="shared" ref="N20:N23" si="8">IF(H20=0,0,L20/H20)</f>
        <v>-1.7995520890046987E-4</v>
      </c>
      <c r="O20" s="10"/>
      <c r="P20" s="4">
        <f>SUM(OSRRefP16x_0)</f>
        <v>1945020.2700000003</v>
      </c>
      <c r="Q20" s="4"/>
      <c r="R20" s="12">
        <f t="shared" ref="R20:R23" si="9">IF(P$12=0,0,P20/P$12)</f>
        <v>0.24134270309666489</v>
      </c>
      <c r="S20" s="4"/>
      <c r="T20" s="4">
        <f>SUM(OSRRefT16x_0)</f>
        <v>2095152.8000000003</v>
      </c>
      <c r="U20" s="4"/>
      <c r="V20" s="12">
        <f t="shared" ref="V20:V23" si="10">IF(T$12=0,0,T20/T$12)</f>
        <v>0.26367044780687499</v>
      </c>
      <c r="W20" s="4"/>
      <c r="X20" s="4">
        <f t="shared" ref="X20:X23" si="11">+P20-T20</f>
        <v>-150132.53000000003</v>
      </c>
      <c r="Y20" s="4"/>
      <c r="Z20" s="12">
        <f t="shared" ref="Z20:Z23" si="12">IF(T20=0,0,X20/T20)</f>
        <v>-7.1657079140003535E-2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326247.85000000003</v>
      </c>
      <c r="I21" s="2"/>
      <c r="J21" s="19">
        <f t="shared" si="6"/>
        <v>0.25169075584871459</v>
      </c>
      <c r="K21" s="2"/>
      <c r="L21" s="2">
        <f t="shared" si="7"/>
        <v>-326247.85000000003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2095152.8000000003</v>
      </c>
      <c r="U21" s="2"/>
      <c r="V21" s="19">
        <f t="shared" si="10"/>
        <v>0.26367044780687499</v>
      </c>
      <c r="W21" s="2"/>
      <c r="X21" s="2">
        <f t="shared" si="11"/>
        <v>-2095152.8000000003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324132.13999999996</v>
      </c>
      <c r="E22" s="2"/>
      <c r="F22" s="19">
        <f t="shared" si="5"/>
        <v>0.24520913326992466</v>
      </c>
      <c r="G22" s="2"/>
      <c r="H22" s="2"/>
      <c r="I22" s="2"/>
      <c r="J22" s="19">
        <f t="shared" si="6"/>
        <v>0</v>
      </c>
      <c r="K22" s="2"/>
      <c r="L22" s="2">
        <f t="shared" si="7"/>
        <v>324132.13999999996</v>
      </c>
      <c r="M22" s="2"/>
      <c r="N22" s="19">
        <f t="shared" si="8"/>
        <v>0</v>
      </c>
      <c r="O22" s="11"/>
      <c r="P22" s="2">
        <v>1981585.5300000003</v>
      </c>
      <c r="Q22" s="2"/>
      <c r="R22" s="19">
        <f t="shared" si="9"/>
        <v>0.24587980680912766</v>
      </c>
      <c r="S22" s="2"/>
      <c r="T22" s="2"/>
      <c r="U22" s="2"/>
      <c r="V22" s="19">
        <f t="shared" si="10"/>
        <v>0</v>
      </c>
      <c r="W22" s="2"/>
      <c r="X22" s="2">
        <f t="shared" si="11"/>
        <v>1981585.5300000003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2057</v>
      </c>
      <c r="E23" s="2"/>
      <c r="F23" s="19">
        <f t="shared" si="5"/>
        <v>1.5561406133197254E-3</v>
      </c>
      <c r="G23" s="2"/>
      <c r="H23" s="2"/>
      <c r="I23" s="2"/>
      <c r="J23" s="19">
        <f t="shared" si="6"/>
        <v>0</v>
      </c>
      <c r="K23" s="2"/>
      <c r="L23" s="2">
        <f t="shared" si="7"/>
        <v>2057</v>
      </c>
      <c r="M23" s="2"/>
      <c r="N23" s="19">
        <f t="shared" si="8"/>
        <v>0</v>
      </c>
      <c r="O23" s="11"/>
      <c r="P23" s="2">
        <v>-36565.26</v>
      </c>
      <c r="Q23" s="2"/>
      <c r="R23" s="19">
        <f t="shared" si="9"/>
        <v>-4.5371037124627787E-3</v>
      </c>
      <c r="S23" s="2"/>
      <c r="T23" s="2"/>
      <c r="U23" s="2"/>
      <c r="V23" s="19">
        <f t="shared" si="10"/>
        <v>0</v>
      </c>
      <c r="W23" s="2"/>
      <c r="X23" s="2">
        <f t="shared" si="11"/>
        <v>-36565.26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1">
        <f>D12-D20</f>
        <v>995670.84000000008</v>
      </c>
      <c r="E25" s="14"/>
      <c r="F25" s="22">
        <f>IF(D$12=0,0,D25/D$12)</f>
        <v>0.75323472611675568</v>
      </c>
      <c r="G25" s="14"/>
      <c r="H25" s="21">
        <f>H12-H20</f>
        <v>969977.14999999991</v>
      </c>
      <c r="I25" s="14"/>
      <c r="J25" s="22">
        <f>IF(H$12=0,0,H25/H$12)</f>
        <v>0.74830924415128541</v>
      </c>
      <c r="K25" s="15"/>
      <c r="L25" s="21">
        <f>+D25-H25</f>
        <v>25693.690000000177</v>
      </c>
      <c r="M25" s="15"/>
      <c r="N25" s="22">
        <f>IF(H25=0,0,L25/H25)</f>
        <v>2.6488964198796001E-2</v>
      </c>
      <c r="O25" s="29"/>
      <c r="P25" s="21">
        <f>P12-P20</f>
        <v>6114143.0899999999</v>
      </c>
      <c r="Q25" s="14"/>
      <c r="R25" s="22">
        <f>IF(P$12=0,0,P25/P$12)</f>
        <v>0.75865729690333505</v>
      </c>
      <c r="S25" s="14"/>
      <c r="T25" s="21">
        <f>T12-T20</f>
        <v>5850951.1999999993</v>
      </c>
      <c r="U25" s="14"/>
      <c r="V25" s="22">
        <f>IF(T$12=0,0,T25/T$12)</f>
        <v>0.73632955219312513</v>
      </c>
      <c r="W25" s="15"/>
      <c r="X25" s="21">
        <f>+P25-T25</f>
        <v>263191.8900000006</v>
      </c>
      <c r="Y25" s="15"/>
      <c r="Z25" s="22">
        <f>IF(T25=0,0,X25/T25)</f>
        <v>4.4982752547996066E-2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0">
        <f>SUM(OSRRefD22x_0)</f>
        <v>591828.6</v>
      </c>
      <c r="E27" s="20"/>
      <c r="F27" s="34">
        <f t="shared" ref="F27:F38" si="13">IF(D$12=0,0,D27/D$12)</f>
        <v>0.44772412279249124</v>
      </c>
      <c r="G27" s="20"/>
      <c r="H27" s="20">
        <f>SUM(OSRRefH22x_0)</f>
        <v>544321.78711962036</v>
      </c>
      <c r="I27" s="20"/>
      <c r="J27" s="34">
        <f t="shared" ref="J27:J38" si="14">IF(H$12=0,0,H27/H$12)</f>
        <v>0.41992847470124428</v>
      </c>
      <c r="K27" s="4"/>
      <c r="L27" s="20">
        <f t="shared" ref="L27:L38" si="15">+D27-H27</f>
        <v>47506.812880379613</v>
      </c>
      <c r="M27" s="4"/>
      <c r="N27" s="34">
        <f t="shared" ref="N27:N38" si="16">IF(H27=0,0,L27/H27)</f>
        <v>8.7277073974515548E-2</v>
      </c>
      <c r="O27" s="10"/>
      <c r="P27" s="20">
        <f>SUM(OSRRefP22x_0)</f>
        <v>3942769.4400000004</v>
      </c>
      <c r="Q27" s="20"/>
      <c r="R27" s="34">
        <f t="shared" ref="R27:R38" si="17">IF(P$12=0,0,P27/P$12)</f>
        <v>0.48922813248446179</v>
      </c>
      <c r="S27" s="20"/>
      <c r="T27" s="20">
        <f>SUM(OSRRefT22x_0)</f>
        <v>3858360.3148596818</v>
      </c>
      <c r="U27" s="20"/>
      <c r="V27" s="34">
        <f t="shared" ref="V27:V38" si="18">IF(T$12=0,0,T27/T$12)</f>
        <v>0.4855662995173084</v>
      </c>
      <c r="W27" s="4"/>
      <c r="X27" s="20">
        <f t="shared" ref="X27:X38" si="19">+P27-T27</f>
        <v>84409.125140318647</v>
      </c>
      <c r="Y27" s="4"/>
      <c r="Z27" s="34">
        <f t="shared" ref="Z27:Z38" si="20">IF(T27=0,0,X27/T27)</f>
        <v>2.1876942082167457E-2</v>
      </c>
    </row>
    <row r="28" spans="1:26" s="27" customFormat="1" outlineLevel="1" collapsed="1" x14ac:dyDescent="0.25">
      <c r="A28" s="26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99189.87999999999</v>
      </c>
      <c r="E28" s="1"/>
      <c r="F28" s="5">
        <f t="shared" si="13"/>
        <v>7.5038114097379663E-2</v>
      </c>
      <c r="G28" s="1"/>
      <c r="H28" s="1">
        <f>SUM(OSRRefH22_0x_0)</f>
        <v>85242.590488851085</v>
      </c>
      <c r="I28" s="1"/>
      <c r="J28" s="5">
        <f t="shared" si="14"/>
        <v>6.5762186725955046E-2</v>
      </c>
      <c r="K28" s="1"/>
      <c r="L28" s="1">
        <f t="shared" si="15"/>
        <v>13947.289511148905</v>
      </c>
      <c r="M28" s="1"/>
      <c r="N28" s="5">
        <f t="shared" si="16"/>
        <v>0.16361878998706728</v>
      </c>
      <c r="O28" s="13"/>
      <c r="P28" s="1">
        <f>SUM(OSRRefP22_0x_0)</f>
        <v>762883.32000000007</v>
      </c>
      <c r="Q28" s="1"/>
      <c r="R28" s="5">
        <f t="shared" si="17"/>
        <v>9.4660361866644185E-2</v>
      </c>
      <c r="S28" s="1"/>
      <c r="T28" s="1">
        <f>SUM(OSRRefT22_0x_0)</f>
        <v>695184.50289645151</v>
      </c>
      <c r="U28" s="1"/>
      <c r="V28" s="5">
        <f t="shared" si="18"/>
        <v>8.748746591995922E-2</v>
      </c>
      <c r="W28" s="1"/>
      <c r="X28" s="1">
        <f t="shared" si="19"/>
        <v>67698.817103548557</v>
      </c>
      <c r="Y28" s="1"/>
      <c r="Z28" s="5">
        <f t="shared" si="20"/>
        <v>9.7382517621559195E-2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6">
        <v>12434.22</v>
      </c>
      <c r="E29" s="2"/>
      <c r="F29" s="7">
        <f t="shared" si="13"/>
        <v>9.4066090116443346E-3</v>
      </c>
      <c r="G29" s="2"/>
      <c r="H29" s="6">
        <v>12095.98843226031</v>
      </c>
      <c r="I29" s="2"/>
      <c r="J29" s="7">
        <f t="shared" si="14"/>
        <v>9.3317043200526993E-3</v>
      </c>
      <c r="K29" s="2"/>
      <c r="L29" s="6">
        <f t="shared" si="15"/>
        <v>338.23156773968913</v>
      </c>
      <c r="M29" s="2"/>
      <c r="N29" s="7">
        <f t="shared" si="16"/>
        <v>2.7962292592610034E-2</v>
      </c>
      <c r="O29" s="11"/>
      <c r="P29" s="6">
        <v>108170.87</v>
      </c>
      <c r="Q29" s="2"/>
      <c r="R29" s="7">
        <f t="shared" si="17"/>
        <v>1.3422096707566925E-2</v>
      </c>
      <c r="S29" s="2"/>
      <c r="T29" s="6">
        <v>103985.36397581772</v>
      </c>
      <c r="U29" s="2"/>
      <c r="V29" s="7">
        <f t="shared" si="18"/>
        <v>1.3086333123228405E-2</v>
      </c>
      <c r="W29" s="2"/>
      <c r="X29" s="6">
        <f t="shared" si="19"/>
        <v>4185.5060241822794</v>
      </c>
      <c r="Y29" s="2"/>
      <c r="Z29" s="7">
        <f t="shared" si="20"/>
        <v>4.0250914784080945E-2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6">
        <v>11741.34</v>
      </c>
      <c r="E30" s="2"/>
      <c r="F30" s="7">
        <f t="shared" si="13"/>
        <v>8.8824385166725445E-3</v>
      </c>
      <c r="G30" s="2"/>
      <c r="H30" s="6">
        <v>11187.30026038154</v>
      </c>
      <c r="I30" s="2"/>
      <c r="J30" s="7">
        <f t="shared" si="14"/>
        <v>8.6306777452846081E-3</v>
      </c>
      <c r="K30" s="2"/>
      <c r="L30" s="6">
        <f t="shared" si="15"/>
        <v>554.03973961845986</v>
      </c>
      <c r="M30" s="2"/>
      <c r="N30" s="7">
        <f t="shared" si="16"/>
        <v>4.9523989409717022E-2</v>
      </c>
      <c r="O30" s="11"/>
      <c r="P30" s="6">
        <v>66418.95</v>
      </c>
      <c r="Q30" s="2"/>
      <c r="R30" s="7">
        <f t="shared" si="17"/>
        <v>8.2414199877938691E-3</v>
      </c>
      <c r="S30" s="2"/>
      <c r="T30" s="6">
        <v>79873.088437698461</v>
      </c>
      <c r="U30" s="2"/>
      <c r="V30" s="7">
        <f t="shared" si="18"/>
        <v>1.0051855404572917E-2</v>
      </c>
      <c r="W30" s="2"/>
      <c r="X30" s="6">
        <f t="shared" si="19"/>
        <v>-13454.138437698464</v>
      </c>
      <c r="Y30" s="2"/>
      <c r="Z30" s="7">
        <f t="shared" si="20"/>
        <v>-0.16844394903037688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6">
        <v>51635.66</v>
      </c>
      <c r="E31" s="2"/>
      <c r="F31" s="7">
        <f t="shared" si="13"/>
        <v>3.906288168282393E-2</v>
      </c>
      <c r="G31" s="2"/>
      <c r="H31" s="6">
        <v>44401.692307692305</v>
      </c>
      <c r="I31" s="2"/>
      <c r="J31" s="7">
        <f t="shared" si="14"/>
        <v>3.4254618069927911E-2</v>
      </c>
      <c r="K31" s="2"/>
      <c r="L31" s="6">
        <f t="shared" si="15"/>
        <v>7233.9676923076986</v>
      </c>
      <c r="M31" s="2"/>
      <c r="N31" s="7">
        <f t="shared" si="16"/>
        <v>0.16292099053743636</v>
      </c>
      <c r="O31" s="11"/>
      <c r="P31" s="6">
        <v>381230.82</v>
      </c>
      <c r="Q31" s="2"/>
      <c r="R31" s="7">
        <f t="shared" si="17"/>
        <v>4.7304019408783891E-2</v>
      </c>
      <c r="S31" s="2"/>
      <c r="T31" s="6">
        <v>374279.6923076922</v>
      </c>
      <c r="U31" s="2"/>
      <c r="V31" s="7">
        <f t="shared" si="18"/>
        <v>4.7102289663927412E-2</v>
      </c>
      <c r="W31" s="2"/>
      <c r="X31" s="6">
        <f t="shared" si="19"/>
        <v>6951.1276923078112</v>
      </c>
      <c r="Y31" s="2"/>
      <c r="Z31" s="7">
        <f t="shared" si="20"/>
        <v>1.85720140183116E-2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6">
        <v>792.65</v>
      </c>
      <c r="E32" s="2"/>
      <c r="F32" s="7">
        <f t="shared" si="13"/>
        <v>5.9964747552157527E-4</v>
      </c>
      <c r="G32" s="2"/>
      <c r="H32" s="6">
        <v>752.73074784000005</v>
      </c>
      <c r="I32" s="2"/>
      <c r="J32" s="7">
        <f t="shared" si="14"/>
        <v>5.8070994452352027E-4</v>
      </c>
      <c r="K32" s="2"/>
      <c r="L32" s="6">
        <f t="shared" si="15"/>
        <v>39.919252159999928</v>
      </c>
      <c r="M32" s="2"/>
      <c r="N32" s="7">
        <f t="shared" si="16"/>
        <v>5.3032578082601638E-2</v>
      </c>
      <c r="O32" s="11"/>
      <c r="P32" s="6">
        <v>5452.79</v>
      </c>
      <c r="Q32" s="2"/>
      <c r="R32" s="7">
        <f t="shared" si="17"/>
        <v>6.7659504546883876E-4</v>
      </c>
      <c r="S32" s="2"/>
      <c r="T32" s="6">
        <v>5369.7221383199994</v>
      </c>
      <c r="U32" s="2"/>
      <c r="V32" s="7">
        <f t="shared" si="18"/>
        <v>6.757679157383291E-4</v>
      </c>
      <c r="W32" s="2"/>
      <c r="X32" s="6">
        <f t="shared" si="19"/>
        <v>83.067861680000533</v>
      </c>
      <c r="Y32" s="2"/>
      <c r="Z32" s="7">
        <f t="shared" si="20"/>
        <v>1.5469675998168054E-2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6">
        <v>4050.98</v>
      </c>
      <c r="E33" s="2"/>
      <c r="F33" s="7">
        <f t="shared" si="13"/>
        <v>3.064605980430696E-3</v>
      </c>
      <c r="G33" s="2"/>
      <c r="H33" s="6">
        <v>3642.2280791384651</v>
      </c>
      <c r="I33" s="2"/>
      <c r="J33" s="7">
        <f t="shared" si="14"/>
        <v>2.8098733469408975E-3</v>
      </c>
      <c r="K33" s="2"/>
      <c r="L33" s="6">
        <f t="shared" si="15"/>
        <v>408.75192086153493</v>
      </c>
      <c r="M33" s="2"/>
      <c r="N33" s="7">
        <f t="shared" si="16"/>
        <v>0.11222578926419714</v>
      </c>
      <c r="O33" s="11"/>
      <c r="P33" s="6">
        <v>36020.639999999999</v>
      </c>
      <c r="Q33" s="2"/>
      <c r="R33" s="7">
        <f t="shared" si="17"/>
        <v>4.469525978190371E-3</v>
      </c>
      <c r="S33" s="2"/>
      <c r="T33" s="6">
        <v>31869.495692461565</v>
      </c>
      <c r="U33" s="2"/>
      <c r="V33" s="7">
        <f t="shared" si="18"/>
        <v>4.0107070952584527E-3</v>
      </c>
      <c r="W33" s="2"/>
      <c r="X33" s="6">
        <f t="shared" si="19"/>
        <v>4151.1443075384341</v>
      </c>
      <c r="Y33" s="2"/>
      <c r="Z33" s="7">
        <f t="shared" si="20"/>
        <v>0.13025447115940239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5"/>
      <c r="B35" s="11" t="str">
        <f>CONCATENATE("          ", "6117", " - ", "RETIREMENT STAFF HOURLY")</f>
        <v xml:space="preserve">          6117 - RETIREMENT STAFF HOURLY</v>
      </c>
      <c r="C35" s="11"/>
      <c r="D35" s="6">
        <v>886.08</v>
      </c>
      <c r="E35" s="2"/>
      <c r="F35" s="7">
        <f t="shared" si="13"/>
        <v>6.703281840789219E-4</v>
      </c>
      <c r="G35" s="2"/>
      <c r="H35" s="6"/>
      <c r="I35" s="2"/>
      <c r="J35" s="7">
        <f t="shared" si="14"/>
        <v>0</v>
      </c>
      <c r="K35" s="2"/>
      <c r="L35" s="6">
        <f t="shared" si="15"/>
        <v>886.08</v>
      </c>
      <c r="M35" s="2"/>
      <c r="N35" s="7">
        <f t="shared" si="16"/>
        <v>0</v>
      </c>
      <c r="O35" s="11"/>
      <c r="P35" s="6">
        <v>13618.39</v>
      </c>
      <c r="Q35" s="2"/>
      <c r="R35" s="7">
        <f t="shared" si="17"/>
        <v>1.6898019548272315E-3</v>
      </c>
      <c r="S35" s="2"/>
      <c r="T35" s="6"/>
      <c r="U35" s="2"/>
      <c r="V35" s="7">
        <f t="shared" si="18"/>
        <v>0</v>
      </c>
      <c r="W35" s="2"/>
      <c r="X35" s="6">
        <f t="shared" si="19"/>
        <v>13618.39</v>
      </c>
      <c r="Y35" s="2"/>
      <c r="Z35" s="7">
        <f t="shared" si="20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>
        <v>7665.89</v>
      </c>
      <c r="E36" s="2"/>
      <c r="F36" s="7">
        <f t="shared" si="13"/>
        <v>5.799320741974502E-3</v>
      </c>
      <c r="G36" s="2"/>
      <c r="H36" s="6">
        <v>3611.6687587692322</v>
      </c>
      <c r="I36" s="2"/>
      <c r="J36" s="7">
        <f t="shared" si="14"/>
        <v>2.7862977174250088E-3</v>
      </c>
      <c r="K36" s="2"/>
      <c r="L36" s="6">
        <f t="shared" si="15"/>
        <v>4054.2212412307681</v>
      </c>
      <c r="M36" s="2"/>
      <c r="N36" s="7">
        <f t="shared" si="16"/>
        <v>1.1225340727570894</v>
      </c>
      <c r="O36" s="11"/>
      <c r="P36" s="6">
        <v>68976.099999999991</v>
      </c>
      <c r="Q36" s="2"/>
      <c r="R36" s="7">
        <f t="shared" si="17"/>
        <v>8.5587171917061115E-3</v>
      </c>
      <c r="S36" s="2"/>
      <c r="T36" s="6">
        <v>31452.718679230762</v>
      </c>
      <c r="U36" s="2"/>
      <c r="V36" s="7">
        <f t="shared" si="18"/>
        <v>3.9582566096832816E-3</v>
      </c>
      <c r="W36" s="2"/>
      <c r="X36" s="6">
        <f t="shared" si="19"/>
        <v>37523.381320769229</v>
      </c>
      <c r="Y36" s="2"/>
      <c r="Z36" s="7">
        <f t="shared" si="20"/>
        <v>1.1930091545805583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>
        <v>5167.04</v>
      </c>
      <c r="E37" s="2"/>
      <c r="F37" s="7">
        <f t="shared" si="13"/>
        <v>3.9089162832511197E-3</v>
      </c>
      <c r="G37" s="2"/>
      <c r="H37" s="6">
        <v>8050.9819027692311</v>
      </c>
      <c r="I37" s="2"/>
      <c r="J37" s="7">
        <f t="shared" si="14"/>
        <v>6.2110990782998565E-3</v>
      </c>
      <c r="K37" s="2"/>
      <c r="L37" s="6">
        <f t="shared" si="15"/>
        <v>-2883.9419027692311</v>
      </c>
      <c r="M37" s="2"/>
      <c r="N37" s="7">
        <f t="shared" si="16"/>
        <v>-0.35820995967923674</v>
      </c>
      <c r="O37" s="11"/>
      <c r="P37" s="6">
        <v>51733.990000000005</v>
      </c>
      <c r="Q37" s="2"/>
      <c r="R37" s="7">
        <f t="shared" si="17"/>
        <v>6.4192755114967671E-3</v>
      </c>
      <c r="S37" s="2"/>
      <c r="T37" s="6">
        <v>56354.421665230766</v>
      </c>
      <c r="U37" s="2"/>
      <c r="V37" s="7">
        <f t="shared" si="18"/>
        <v>7.092082065025926E-3</v>
      </c>
      <c r="W37" s="2"/>
      <c r="X37" s="6">
        <f t="shared" si="19"/>
        <v>-4620.4316652307607</v>
      </c>
      <c r="Y37" s="2"/>
      <c r="Z37" s="7">
        <f t="shared" si="20"/>
        <v>-8.1988804581796443E-2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>
        <v>4816.0200000000004</v>
      </c>
      <c r="E38" s="2"/>
      <c r="F38" s="7">
        <f t="shared" si="13"/>
        <v>3.6433662209820442E-3</v>
      </c>
      <c r="G38" s="2"/>
      <c r="H38" s="6">
        <v>1500</v>
      </c>
      <c r="I38" s="2"/>
      <c r="J38" s="7">
        <f t="shared" si="14"/>
        <v>1.1572065035005497E-3</v>
      </c>
      <c r="K38" s="2"/>
      <c r="L38" s="6">
        <f t="shared" si="15"/>
        <v>3316.0200000000004</v>
      </c>
      <c r="M38" s="2"/>
      <c r="N38" s="7">
        <f t="shared" si="16"/>
        <v>2.2106800000000004</v>
      </c>
      <c r="O38" s="11"/>
      <c r="P38" s="6">
        <v>31260.769999999997</v>
      </c>
      <c r="Q38" s="2"/>
      <c r="R38" s="7">
        <f t="shared" si="17"/>
        <v>3.8789100808101743E-3</v>
      </c>
      <c r="S38" s="2"/>
      <c r="T38" s="6">
        <v>12000</v>
      </c>
      <c r="U38" s="2"/>
      <c r="V38" s="7">
        <f t="shared" si="18"/>
        <v>1.5101740425244876E-3</v>
      </c>
      <c r="W38" s="2"/>
      <c r="X38" s="6">
        <f t="shared" si="19"/>
        <v>19260.769999999997</v>
      </c>
      <c r="Y38" s="2"/>
      <c r="Z38" s="7">
        <f t="shared" si="20"/>
        <v>1.6050641666666663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290375.76</v>
      </c>
      <c r="E39" s="1"/>
      <c r="F39" s="5">
        <f t="shared" ref="F39:F49" si="21">IF(D$12=0,0,D39/D$12)</f>
        <v>0.21967210173047225</v>
      </c>
      <c r="G39" s="1"/>
      <c r="H39" s="1">
        <f>SUM(OSRRefH22_1x_0)</f>
        <v>279908.19663076918</v>
      </c>
      <c r="I39" s="1"/>
      <c r="J39" s="5">
        <f t="shared" ref="J39:J49" si="22">IF(H$12=0,0,H39/H$12)</f>
        <v>0.21594105701615782</v>
      </c>
      <c r="K39" s="1"/>
      <c r="L39" s="1">
        <f t="shared" ref="L39:L49" si="23">+D39-H39</f>
        <v>10467.563369230833</v>
      </c>
      <c r="M39" s="1"/>
      <c r="N39" s="5">
        <f t="shared" ref="N39:N49" si="24">IF(H39=0,0,L39/H39)</f>
        <v>3.7396416022210104E-2</v>
      </c>
      <c r="O39" s="13"/>
      <c r="P39" s="1">
        <f>SUM(OSRRefP22_1x_0)</f>
        <v>2026548.1500000001</v>
      </c>
      <c r="Q39" s="1"/>
      <c r="R39" s="5">
        <f t="shared" ref="R39:R49" si="25">IF(P$12=0,0,P39/P$12)</f>
        <v>0.25145887475843398</v>
      </c>
      <c r="S39" s="1"/>
      <c r="T39" s="1">
        <f>SUM(OSRRefT22_1x_0)</f>
        <v>1991167.8119632304</v>
      </c>
      <c r="U39" s="1"/>
      <c r="V39" s="5">
        <f t="shared" ref="V39:V49" si="26">IF(T$12=0,0,T39/T$12)</f>
        <v>0.25058416199476252</v>
      </c>
      <c r="W39" s="1"/>
      <c r="X39" s="1">
        <f t="shared" ref="X39:X49" si="27">+P39-T39</f>
        <v>35380.338036769768</v>
      </c>
      <c r="Y39" s="1"/>
      <c r="Z39" s="5">
        <f t="shared" ref="Z39:Z49" si="28">IF(T39=0,0,X39/T39)</f>
        <v>1.776863698991088E-2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>
        <v>8349.0400000000009</v>
      </c>
      <c r="E40" s="2"/>
      <c r="F40" s="7">
        <f t="shared" si="21"/>
        <v>6.3161303968064762E-3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8349.0400000000009</v>
      </c>
      <c r="M40" s="2"/>
      <c r="N40" s="7">
        <f t="shared" si="24"/>
        <v>0</v>
      </c>
      <c r="O40" s="11"/>
      <c r="P40" s="6">
        <v>62513.319999999992</v>
      </c>
      <c r="Q40" s="2"/>
      <c r="R40" s="7">
        <f t="shared" si="25"/>
        <v>7.7568002046306686E-3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62513.319999999992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37026.310000000005</v>
      </c>
      <c r="E41" s="2"/>
      <c r="F41" s="7">
        <f t="shared" si="21"/>
        <v>2.8010765557786237E-2</v>
      </c>
      <c r="G41" s="2"/>
      <c r="H41" s="6">
        <v>39678.938974769218</v>
      </c>
      <c r="I41" s="2"/>
      <c r="J41" s="7">
        <f t="shared" si="22"/>
        <v>3.0611150822402913E-2</v>
      </c>
      <c r="K41" s="2"/>
      <c r="L41" s="6">
        <f t="shared" si="23"/>
        <v>-2652.6289747692135</v>
      </c>
      <c r="M41" s="2"/>
      <c r="N41" s="7">
        <f t="shared" si="24"/>
        <v>-6.6852316198675321E-2</v>
      </c>
      <c r="O41" s="11"/>
      <c r="P41" s="6">
        <v>317638.49000000005</v>
      </c>
      <c r="Q41" s="2"/>
      <c r="R41" s="7">
        <f t="shared" si="25"/>
        <v>3.941333309813936E-2</v>
      </c>
      <c r="S41" s="2"/>
      <c r="T41" s="6">
        <v>347190.71602923045</v>
      </c>
      <c r="U41" s="2"/>
      <c r="V41" s="7">
        <f t="shared" si="26"/>
        <v>4.3693200596069529E-2</v>
      </c>
      <c r="W41" s="2"/>
      <c r="X41" s="6">
        <f t="shared" si="27"/>
        <v>-29552.226029230398</v>
      </c>
      <c r="Y41" s="2"/>
      <c r="Z41" s="7">
        <f t="shared" si="28"/>
        <v>-8.5118134399487677E-2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64173.31</v>
      </c>
      <c r="E43" s="2"/>
      <c r="F43" s="7">
        <f t="shared" si="21"/>
        <v>4.8547736500805475E-2</v>
      </c>
      <c r="G43" s="2"/>
      <c r="H43" s="6">
        <v>74841.003039999996</v>
      </c>
      <c r="I43" s="2"/>
      <c r="J43" s="7">
        <f t="shared" si="22"/>
        <v>5.773766363092827E-2</v>
      </c>
      <c r="K43" s="2"/>
      <c r="L43" s="6">
        <f t="shared" si="23"/>
        <v>-10667.693039999998</v>
      </c>
      <c r="M43" s="2"/>
      <c r="N43" s="7">
        <f t="shared" si="24"/>
        <v>-0.14253808215662844</v>
      </c>
      <c r="O43" s="11"/>
      <c r="P43" s="6">
        <v>476256.89</v>
      </c>
      <c r="Q43" s="2"/>
      <c r="R43" s="7">
        <f t="shared" si="25"/>
        <v>5.9095078325847462E-2</v>
      </c>
      <c r="S43" s="2"/>
      <c r="T43" s="6">
        <v>639860.80651999998</v>
      </c>
      <c r="U43" s="2"/>
      <c r="V43" s="7">
        <f t="shared" si="26"/>
        <v>8.0525098402940615E-2</v>
      </c>
      <c r="W43" s="2"/>
      <c r="X43" s="6">
        <f t="shared" si="27"/>
        <v>-163603.91651999997</v>
      </c>
      <c r="Y43" s="2"/>
      <c r="Z43" s="7">
        <f t="shared" si="28"/>
        <v>-0.25568672882121002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46519.16</v>
      </c>
      <c r="E44" s="2"/>
      <c r="F44" s="7">
        <f t="shared" si="21"/>
        <v>3.5192199403752282E-2</v>
      </c>
      <c r="G44" s="2"/>
      <c r="H44" s="6">
        <v>28985.649416</v>
      </c>
      <c r="I44" s="2"/>
      <c r="J44" s="7">
        <f t="shared" si="22"/>
        <v>2.2361588008254739E-2</v>
      </c>
      <c r="K44" s="2"/>
      <c r="L44" s="6">
        <f t="shared" si="23"/>
        <v>17533.510584000003</v>
      </c>
      <c r="M44" s="2"/>
      <c r="N44" s="7">
        <f t="shared" si="24"/>
        <v>0.60490314818758395</v>
      </c>
      <c r="O44" s="11"/>
      <c r="P44" s="6">
        <v>336501.64</v>
      </c>
      <c r="Q44" s="2"/>
      <c r="R44" s="7">
        <f t="shared" si="25"/>
        <v>4.1753917245325574E-2</v>
      </c>
      <c r="S44" s="2"/>
      <c r="T44" s="6">
        <v>185039.85411399999</v>
      </c>
      <c r="U44" s="2"/>
      <c r="V44" s="7">
        <f t="shared" si="26"/>
        <v>2.3286865376290069E-2</v>
      </c>
      <c r="W44" s="2"/>
      <c r="X44" s="6">
        <f t="shared" si="27"/>
        <v>151461.78588600003</v>
      </c>
      <c r="Y44" s="2"/>
      <c r="Z44" s="7">
        <f t="shared" si="28"/>
        <v>0.81853602085465837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>
        <v>2130.31</v>
      </c>
      <c r="E45" s="2"/>
      <c r="F45" s="7">
        <f t="shared" si="21"/>
        <v>1.6116003451439691E-3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2130.31</v>
      </c>
      <c r="M45" s="2"/>
      <c r="N45" s="7">
        <f t="shared" si="24"/>
        <v>0</v>
      </c>
      <c r="O45" s="11"/>
      <c r="P45" s="6">
        <v>32000.91</v>
      </c>
      <c r="Q45" s="2"/>
      <c r="R45" s="7">
        <f t="shared" si="25"/>
        <v>3.9707483978833258E-3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32000.91</v>
      </c>
      <c r="Y45" s="2"/>
      <c r="Z45" s="7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108100.03</v>
      </c>
      <c r="E46" s="2"/>
      <c r="F46" s="7">
        <f t="shared" si="21"/>
        <v>8.1778729695712551E-2</v>
      </c>
      <c r="G46" s="2"/>
      <c r="H46" s="6">
        <v>36360.449999999997</v>
      </c>
      <c r="I46" s="2"/>
      <c r="J46" s="7">
        <f t="shared" si="22"/>
        <v>2.8051032806804373E-2</v>
      </c>
      <c r="K46" s="2"/>
      <c r="L46" s="6">
        <f t="shared" si="23"/>
        <v>71739.58</v>
      </c>
      <c r="M46" s="2"/>
      <c r="N46" s="7">
        <f t="shared" si="24"/>
        <v>1.9730113351182399</v>
      </c>
      <c r="O46" s="11"/>
      <c r="P46" s="6">
        <v>658056.55000000005</v>
      </c>
      <c r="Q46" s="2"/>
      <c r="R46" s="7">
        <f t="shared" si="25"/>
        <v>8.1653208975280042E-2</v>
      </c>
      <c r="S46" s="2"/>
      <c r="T46" s="6">
        <v>311006.58</v>
      </c>
      <c r="U46" s="2"/>
      <c r="V46" s="7">
        <f t="shared" si="26"/>
        <v>3.9139505347526291E-2</v>
      </c>
      <c r="W46" s="2"/>
      <c r="X46" s="6">
        <f t="shared" si="27"/>
        <v>347049.97000000003</v>
      </c>
      <c r="Y46" s="2"/>
      <c r="Z46" s="7">
        <f t="shared" si="28"/>
        <v>1.115892692688367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>
        <v>24077.599999999999</v>
      </c>
      <c r="E47" s="2"/>
      <c r="F47" s="7">
        <f t="shared" si="21"/>
        <v>1.8214939830465252E-2</v>
      </c>
      <c r="G47" s="2"/>
      <c r="H47" s="6">
        <v>100042.15520000001</v>
      </c>
      <c r="I47" s="2"/>
      <c r="J47" s="7">
        <f t="shared" si="22"/>
        <v>7.717962174776756E-2</v>
      </c>
      <c r="K47" s="2"/>
      <c r="L47" s="6">
        <f t="shared" si="23"/>
        <v>-75964.555200000003</v>
      </c>
      <c r="M47" s="2"/>
      <c r="N47" s="7">
        <f t="shared" si="24"/>
        <v>-0.75932545683502028</v>
      </c>
      <c r="O47" s="11"/>
      <c r="P47" s="6">
        <v>143580.35</v>
      </c>
      <c r="Q47" s="2"/>
      <c r="R47" s="7">
        <f t="shared" si="25"/>
        <v>1.7815788511327559E-2</v>
      </c>
      <c r="S47" s="2"/>
      <c r="T47" s="6">
        <v>508069.85530000005</v>
      </c>
      <c r="U47" s="2"/>
      <c r="V47" s="7">
        <f t="shared" si="26"/>
        <v>6.3939492271936044E-2</v>
      </c>
      <c r="W47" s="2"/>
      <c r="X47" s="6">
        <f t="shared" si="27"/>
        <v>-364489.50530000008</v>
      </c>
      <c r="Y47" s="2"/>
      <c r="Z47" s="7">
        <f t="shared" si="28"/>
        <v>-0.71740037614469354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214.9</v>
      </c>
      <c r="E50" s="1"/>
      <c r="F50" s="5">
        <f t="shared" ref="F50:F54" si="29">IF(D$12=0,0,D50/D$12)</f>
        <v>1.6257395128945504E-4</v>
      </c>
      <c r="G50" s="1"/>
      <c r="H50" s="1">
        <f>SUM(OSRRefH22_2x_0)</f>
        <v>725</v>
      </c>
      <c r="I50" s="1"/>
      <c r="J50" s="5">
        <f t="shared" ref="J50:J54" si="30">IF(H$12=0,0,H50/H$12)</f>
        <v>5.5931647669193237E-4</v>
      </c>
      <c r="K50" s="1"/>
      <c r="L50" s="1">
        <f t="shared" ref="L50:L54" si="31">+D50-H50</f>
        <v>-510.1</v>
      </c>
      <c r="M50" s="1"/>
      <c r="N50" s="5">
        <f t="shared" ref="N50:N54" si="32">IF(H50=0,0,L50/H50)</f>
        <v>-0.70358620689655171</v>
      </c>
      <c r="O50" s="13"/>
      <c r="P50" s="1">
        <f>SUM(OSRRefP22_2x_0)</f>
        <v>8433.2000000000007</v>
      </c>
      <c r="Q50" s="1"/>
      <c r="R50" s="5">
        <f t="shared" ref="R50:R54" si="33">IF(P$12=0,0,P50/P$12)</f>
        <v>1.0464113485844516E-3</v>
      </c>
      <c r="S50" s="1"/>
      <c r="T50" s="1">
        <f>SUM(OSRRefT22_2x_0)</f>
        <v>12350</v>
      </c>
      <c r="U50" s="1"/>
      <c r="V50" s="5">
        <f t="shared" ref="V50:V54" si="34">IF(T$12=0,0,T50/T$12)</f>
        <v>1.5542207854314519E-3</v>
      </c>
      <c r="W50" s="1"/>
      <c r="X50" s="1">
        <f t="shared" ref="X50:X54" si="35">+P50-T50</f>
        <v>-3916.7999999999993</v>
      </c>
      <c r="Y50" s="1"/>
      <c r="Z50" s="5">
        <f t="shared" ref="Z50:Z54" si="36">IF(T50=0,0,X50/T50)</f>
        <v>-0.31714979757085016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214.9</v>
      </c>
      <c r="E51" s="2"/>
      <c r="F51" s="7">
        <f t="shared" si="29"/>
        <v>1.6257395128945504E-4</v>
      </c>
      <c r="G51" s="2"/>
      <c r="H51" s="6">
        <v>725</v>
      </c>
      <c r="I51" s="2"/>
      <c r="J51" s="7">
        <f t="shared" si="30"/>
        <v>5.5931647669193237E-4</v>
      </c>
      <c r="K51" s="2"/>
      <c r="L51" s="6">
        <f t="shared" si="31"/>
        <v>-510.1</v>
      </c>
      <c r="M51" s="2"/>
      <c r="N51" s="7">
        <f t="shared" si="32"/>
        <v>-0.70358620689655171</v>
      </c>
      <c r="O51" s="11"/>
      <c r="P51" s="6">
        <v>8433.2000000000007</v>
      </c>
      <c r="Q51" s="2"/>
      <c r="R51" s="7">
        <f t="shared" si="33"/>
        <v>1.0464113485844516E-3</v>
      </c>
      <c r="S51" s="2"/>
      <c r="T51" s="6">
        <v>12350</v>
      </c>
      <c r="U51" s="2"/>
      <c r="V51" s="7">
        <f t="shared" si="34"/>
        <v>1.5542207854314519E-3</v>
      </c>
      <c r="W51" s="2"/>
      <c r="X51" s="6">
        <f t="shared" si="35"/>
        <v>-3916.7999999999993</v>
      </c>
      <c r="Y51" s="2"/>
      <c r="Z51" s="7">
        <f t="shared" si="36"/>
        <v>-0.31714979757085016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1.1000000000000001</v>
      </c>
      <c r="E52" s="1"/>
      <c r="F52" s="5">
        <f t="shared" si="29"/>
        <v>8.3216075578594948E-7</v>
      </c>
      <c r="G52" s="1"/>
      <c r="H52" s="1">
        <f>SUM(OSRRefH22_3x_0)</f>
        <v>113</v>
      </c>
      <c r="I52" s="1"/>
      <c r="J52" s="5">
        <f t="shared" si="30"/>
        <v>8.7176223263708079E-5</v>
      </c>
      <c r="K52" s="1"/>
      <c r="L52" s="1">
        <f t="shared" si="31"/>
        <v>-111.9</v>
      </c>
      <c r="M52" s="1"/>
      <c r="N52" s="5">
        <f t="shared" si="32"/>
        <v>-0.99026548672566372</v>
      </c>
      <c r="O52" s="13"/>
      <c r="P52" s="1">
        <f>SUM(OSRRefP22_3x_0)</f>
        <v>30.06</v>
      </c>
      <c r="Q52" s="1"/>
      <c r="R52" s="5">
        <f t="shared" si="33"/>
        <v>3.7299157067837372E-6</v>
      </c>
      <c r="S52" s="1"/>
      <c r="T52" s="1">
        <f>SUM(OSRRefT22_3x_0)</f>
        <v>836</v>
      </c>
      <c r="U52" s="1"/>
      <c r="V52" s="5">
        <f t="shared" si="34"/>
        <v>1.0520879162920597E-4</v>
      </c>
      <c r="W52" s="1"/>
      <c r="X52" s="1">
        <f t="shared" si="35"/>
        <v>-805.94</v>
      </c>
      <c r="Y52" s="1"/>
      <c r="Z52" s="5">
        <f t="shared" si="36"/>
        <v>-0.96404306220095703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1.1000000000000001</v>
      </c>
      <c r="E53" s="2"/>
      <c r="F53" s="7">
        <f t="shared" si="29"/>
        <v>8.3216075578594948E-7</v>
      </c>
      <c r="G53" s="2"/>
      <c r="H53" s="6">
        <v>63</v>
      </c>
      <c r="I53" s="2"/>
      <c r="J53" s="7">
        <f t="shared" si="30"/>
        <v>4.8602673147023087E-5</v>
      </c>
      <c r="K53" s="2"/>
      <c r="L53" s="6">
        <f t="shared" si="31"/>
        <v>-61.9</v>
      </c>
      <c r="M53" s="2"/>
      <c r="N53" s="7">
        <f t="shared" si="32"/>
        <v>-0.98253968253968249</v>
      </c>
      <c r="O53" s="11"/>
      <c r="P53" s="6">
        <v>30.06</v>
      </c>
      <c r="Q53" s="2"/>
      <c r="R53" s="7">
        <f t="shared" si="33"/>
        <v>3.7299157067837372E-6</v>
      </c>
      <c r="S53" s="2"/>
      <c r="T53" s="6">
        <v>486</v>
      </c>
      <c r="U53" s="2"/>
      <c r="V53" s="7">
        <f t="shared" si="34"/>
        <v>6.1162048722241744E-5</v>
      </c>
      <c r="W53" s="2"/>
      <c r="X53" s="6">
        <f t="shared" si="35"/>
        <v>-455.94</v>
      </c>
      <c r="Y53" s="2"/>
      <c r="Z53" s="7">
        <f t="shared" si="36"/>
        <v>-0.93814814814814818</v>
      </c>
    </row>
    <row r="54" spans="1:26" s="24" customFormat="1" hidden="1" outlineLevel="2" x14ac:dyDescent="0.25">
      <c r="A54" s="25"/>
      <c r="B54" s="11" t="str">
        <f>CONCATENATE("          ", "6342", " - ", "BAD DEBT")</f>
        <v xml:space="preserve">          6342 - BAD DEBT</v>
      </c>
      <c r="C54" s="11"/>
      <c r="D54" s="6"/>
      <c r="E54" s="2"/>
      <c r="F54" s="7">
        <f t="shared" si="29"/>
        <v>0</v>
      </c>
      <c r="G54" s="2"/>
      <c r="H54" s="6">
        <v>50</v>
      </c>
      <c r="I54" s="2"/>
      <c r="J54" s="7">
        <f t="shared" si="30"/>
        <v>3.8573550116684991E-5</v>
      </c>
      <c r="K54" s="2"/>
      <c r="L54" s="6">
        <f t="shared" si="31"/>
        <v>-50</v>
      </c>
      <c r="M54" s="2"/>
      <c r="N54" s="7">
        <f t="shared" si="32"/>
        <v>-1</v>
      </c>
      <c r="O54" s="11"/>
      <c r="P54" s="6"/>
      <c r="Q54" s="2"/>
      <c r="R54" s="7">
        <f t="shared" si="33"/>
        <v>0</v>
      </c>
      <c r="S54" s="2"/>
      <c r="T54" s="6">
        <v>350</v>
      </c>
      <c r="U54" s="2"/>
      <c r="V54" s="7">
        <f t="shared" si="34"/>
        <v>4.4046742906964223E-5</v>
      </c>
      <c r="W54" s="2"/>
      <c r="X54" s="6">
        <f t="shared" si="35"/>
        <v>-350</v>
      </c>
      <c r="Y54" s="2"/>
      <c r="Z54" s="7">
        <f t="shared" si="36"/>
        <v>-1</v>
      </c>
    </row>
    <row r="55" spans="1:26" s="27" customFormat="1" outlineLevel="1" collapsed="1" x14ac:dyDescent="0.25">
      <c r="A55" s="26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293.04000000000002</v>
      </c>
      <c r="E55" s="1"/>
      <c r="F55" s="5">
        <f t="shared" ref="F55:F59" si="37">IF(D$12=0,0,D55/D$12)</f>
        <v>2.2168762534137694E-4</v>
      </c>
      <c r="G55" s="1"/>
      <c r="H55" s="1">
        <f>SUM(OSRRefH22_4x_0)</f>
        <v>446</v>
      </c>
      <c r="I55" s="1"/>
      <c r="J55" s="5">
        <f t="shared" ref="J55:J59" si="38">IF(H$12=0,0,H55/H$12)</f>
        <v>3.440760670408301E-4</v>
      </c>
      <c r="K55" s="1"/>
      <c r="L55" s="1">
        <f t="shared" ref="L55:L59" si="39">+D55-H55</f>
        <v>-152.95999999999998</v>
      </c>
      <c r="M55" s="1"/>
      <c r="N55" s="5">
        <f t="shared" ref="N55:N59" si="40">IF(H55=0,0,L55/H55)</f>
        <v>-0.34295964125560535</v>
      </c>
      <c r="O55" s="13"/>
      <c r="P55" s="1">
        <f>SUM(OSRRefP22_4x_0)</f>
        <v>3032.96</v>
      </c>
      <c r="Q55" s="1"/>
      <c r="R55" s="5">
        <f t="shared" ref="R55:R59" si="41">IF(P$12=0,0,P55/P$12)</f>
        <v>3.7633683107274796E-4</v>
      </c>
      <c r="S55" s="1"/>
      <c r="T55" s="1">
        <f>SUM(OSRRefT22_4x_0)</f>
        <v>3479</v>
      </c>
      <c r="U55" s="1"/>
      <c r="V55" s="5">
        <f t="shared" ref="V55:V59" si="42">IF(T$12=0,0,T55/T$12)</f>
        <v>4.3782462449522437E-4</v>
      </c>
      <c r="W55" s="1"/>
      <c r="X55" s="1">
        <f t="shared" ref="X55:X59" si="43">+P55-T55</f>
        <v>-446.03999999999996</v>
      </c>
      <c r="Y55" s="1"/>
      <c r="Z55" s="5">
        <f t="shared" ref="Z55:Z59" si="44">IF(T55=0,0,X55/T55)</f>
        <v>-0.12820925553319917</v>
      </c>
    </row>
    <row r="56" spans="1:26" s="24" customFormat="1" hidden="1" outlineLevel="2" x14ac:dyDescent="0.25">
      <c r="A56" s="25"/>
      <c r="B56" s="11" t="str">
        <f>CONCATENATE("          ", "6381", " - ", "BANK/CREDIT CARD FEES")</f>
        <v xml:space="preserve">          6381 - BANK/CREDIT CARD FEES</v>
      </c>
      <c r="C56" s="11"/>
      <c r="D56" s="6">
        <v>293.04000000000002</v>
      </c>
      <c r="E56" s="2"/>
      <c r="F56" s="7">
        <f t="shared" si="37"/>
        <v>2.2168762534137694E-4</v>
      </c>
      <c r="G56" s="2"/>
      <c r="H56" s="6">
        <v>446</v>
      </c>
      <c r="I56" s="2"/>
      <c r="J56" s="7">
        <f t="shared" si="38"/>
        <v>3.440760670408301E-4</v>
      </c>
      <c r="K56" s="2"/>
      <c r="L56" s="6">
        <f t="shared" si="39"/>
        <v>-152.95999999999998</v>
      </c>
      <c r="M56" s="2"/>
      <c r="N56" s="7">
        <f t="shared" si="40"/>
        <v>-0.34295964125560535</v>
      </c>
      <c r="O56" s="11"/>
      <c r="P56" s="6">
        <v>3032.96</v>
      </c>
      <c r="Q56" s="2"/>
      <c r="R56" s="7">
        <f t="shared" si="41"/>
        <v>3.7633683107274796E-4</v>
      </c>
      <c r="S56" s="2"/>
      <c r="T56" s="6">
        <v>3479</v>
      </c>
      <c r="U56" s="2"/>
      <c r="V56" s="7">
        <f t="shared" si="42"/>
        <v>4.3782462449522437E-4</v>
      </c>
      <c r="W56" s="2"/>
      <c r="X56" s="6">
        <f t="shared" si="43"/>
        <v>-446.03999999999996</v>
      </c>
      <c r="Y56" s="2"/>
      <c r="Z56" s="7">
        <f t="shared" si="44"/>
        <v>-0.12820925553319917</v>
      </c>
    </row>
    <row r="57" spans="1:26" s="27" customFormat="1" outlineLevel="1" collapsed="1" x14ac:dyDescent="0.25">
      <c r="A57" s="26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SUM(OSRRefD22_5x_0)</f>
        <v>18987.060000000001</v>
      </c>
      <c r="E57" s="1"/>
      <c r="F57" s="5">
        <f t="shared" si="37"/>
        <v>1.4363896545230155E-2</v>
      </c>
      <c r="G57" s="1"/>
      <c r="H57" s="1">
        <f>SUM(OSRRefH22_5x_0)</f>
        <v>15030</v>
      </c>
      <c r="I57" s="1"/>
      <c r="J57" s="5">
        <f t="shared" si="38"/>
        <v>1.1595209165075508E-2</v>
      </c>
      <c r="K57" s="1"/>
      <c r="L57" s="1">
        <f t="shared" si="39"/>
        <v>3957.0600000000013</v>
      </c>
      <c r="M57" s="1"/>
      <c r="N57" s="5">
        <f t="shared" si="40"/>
        <v>0.26327744510978052</v>
      </c>
      <c r="O57" s="13"/>
      <c r="P57" s="1">
        <f>SUM(OSRRefP22_5x_0)</f>
        <v>105906.26999999999</v>
      </c>
      <c r="Q57" s="1"/>
      <c r="R57" s="5">
        <f t="shared" si="41"/>
        <v>1.3141099797733841E-2</v>
      </c>
      <c r="S57" s="1"/>
      <c r="T57" s="1">
        <f>SUM(OSRRefT22_5x_0)</f>
        <v>95134</v>
      </c>
      <c r="U57" s="1"/>
      <c r="V57" s="5">
        <f t="shared" si="42"/>
        <v>1.1972408113460384E-2</v>
      </c>
      <c r="W57" s="1"/>
      <c r="X57" s="1">
        <f t="shared" si="43"/>
        <v>10772.26999999999</v>
      </c>
      <c r="Y57" s="1"/>
      <c r="Z57" s="5">
        <f t="shared" si="44"/>
        <v>0.11323259822986513</v>
      </c>
    </row>
    <row r="58" spans="1:26" s="24" customFormat="1" hidden="1" outlineLevel="2" x14ac:dyDescent="0.25">
      <c r="A58" s="25"/>
      <c r="B58" s="11" t="str">
        <f>CONCATENATE("          ", "6396", " - ", "COUPONS-CHARTROOM")</f>
        <v xml:space="preserve">          6396 - COUPONS-CHARTROOM</v>
      </c>
      <c r="C58" s="11"/>
      <c r="D58" s="6"/>
      <c r="E58" s="2"/>
      <c r="F58" s="7">
        <f t="shared" si="37"/>
        <v>0</v>
      </c>
      <c r="G58" s="2"/>
      <c r="H58" s="6">
        <v>100</v>
      </c>
      <c r="I58" s="2"/>
      <c r="J58" s="7">
        <f t="shared" si="38"/>
        <v>7.7147100233369983E-5</v>
      </c>
      <c r="K58" s="2"/>
      <c r="L58" s="6">
        <f t="shared" si="39"/>
        <v>-100</v>
      </c>
      <c r="M58" s="2"/>
      <c r="N58" s="7">
        <f t="shared" si="40"/>
        <v>-1</v>
      </c>
      <c r="O58" s="11"/>
      <c r="P58" s="6"/>
      <c r="Q58" s="2"/>
      <c r="R58" s="7">
        <f t="shared" si="41"/>
        <v>0</v>
      </c>
      <c r="S58" s="2"/>
      <c r="T58" s="6">
        <v>800</v>
      </c>
      <c r="U58" s="2"/>
      <c r="V58" s="7">
        <f t="shared" si="42"/>
        <v>1.006782695016325E-4</v>
      </c>
      <c r="W58" s="2"/>
      <c r="X58" s="6">
        <f t="shared" si="43"/>
        <v>-800</v>
      </c>
      <c r="Y58" s="2"/>
      <c r="Z58" s="7">
        <f t="shared" si="44"/>
        <v>-1</v>
      </c>
    </row>
    <row r="59" spans="1:26" s="24" customFormat="1" hidden="1" outlineLevel="2" x14ac:dyDescent="0.25">
      <c r="A59" s="25"/>
      <c r="B59" s="11" t="str">
        <f>CONCATENATE("          ", "6399", " - ", "DONATION-ON CAMPUS")</f>
        <v xml:space="preserve">          6399 - DONATION-ON CAMPUS</v>
      </c>
      <c r="C59" s="11"/>
      <c r="D59" s="6">
        <v>18987.060000000001</v>
      </c>
      <c r="E59" s="2"/>
      <c r="F59" s="7">
        <f t="shared" si="37"/>
        <v>1.4363896545230155E-2</v>
      </c>
      <c r="G59" s="2"/>
      <c r="H59" s="6">
        <v>14930</v>
      </c>
      <c r="I59" s="2"/>
      <c r="J59" s="7">
        <f t="shared" si="38"/>
        <v>1.1518062064842138E-2</v>
      </c>
      <c r="K59" s="2"/>
      <c r="L59" s="6">
        <f t="shared" si="39"/>
        <v>4057.0600000000013</v>
      </c>
      <c r="M59" s="2"/>
      <c r="N59" s="7">
        <f t="shared" si="40"/>
        <v>0.27173878097789694</v>
      </c>
      <c r="O59" s="11"/>
      <c r="P59" s="6">
        <v>105906.26999999999</v>
      </c>
      <c r="Q59" s="2"/>
      <c r="R59" s="7">
        <f t="shared" si="41"/>
        <v>1.3141099797733841E-2</v>
      </c>
      <c r="S59" s="2"/>
      <c r="T59" s="6">
        <v>94334</v>
      </c>
      <c r="U59" s="2"/>
      <c r="V59" s="7">
        <f t="shared" si="42"/>
        <v>1.1871729843958751E-2</v>
      </c>
      <c r="W59" s="2"/>
      <c r="X59" s="6">
        <f t="shared" si="43"/>
        <v>11572.26999999999</v>
      </c>
      <c r="Y59" s="2"/>
      <c r="Z59" s="7">
        <f t="shared" si="44"/>
        <v>0.12267337333305053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76" si="45">IF(D$12=0,0,D60/D$12)</f>
        <v>0</v>
      </c>
      <c r="G60" s="1"/>
      <c r="H60" s="1">
        <f>SUM(OSRRefH22_6x_0)</f>
        <v>605</v>
      </c>
      <c r="I60" s="1"/>
      <c r="J60" s="5">
        <f t="shared" ref="J60:J76" si="46">IF(H$12=0,0,H60/H$12)</f>
        <v>4.6673995641188836E-4</v>
      </c>
      <c r="K60" s="1"/>
      <c r="L60" s="1">
        <f t="shared" ref="L60:L76" si="47">+D60-H60</f>
        <v>-605</v>
      </c>
      <c r="M60" s="1"/>
      <c r="N60" s="5">
        <f t="shared" ref="N60:N76" si="48">IF(H60=0,0,L60/H60)</f>
        <v>-1</v>
      </c>
      <c r="O60" s="13"/>
      <c r="P60" s="1">
        <f>SUM(OSRRefP22_6x_0)</f>
        <v>1798.43</v>
      </c>
      <c r="Q60" s="1"/>
      <c r="R60" s="5">
        <f t="shared" ref="R60:R76" si="49">IF(P$12=0,0,P60/P$12)</f>
        <v>2.2315343661181227E-4</v>
      </c>
      <c r="S60" s="1"/>
      <c r="T60" s="1">
        <f>SUM(OSRRefT22_6x_0)</f>
        <v>5450</v>
      </c>
      <c r="U60" s="1"/>
      <c r="V60" s="5">
        <f t="shared" ref="V60:V76" si="50">IF(T$12=0,0,T60/T$12)</f>
        <v>6.8587071097987143E-4</v>
      </c>
      <c r="W60" s="1"/>
      <c r="X60" s="1">
        <f t="shared" ref="X60:X76" si="51">+P60-T60</f>
        <v>-3651.5699999999997</v>
      </c>
      <c r="Y60" s="1"/>
      <c r="Z60" s="5">
        <f t="shared" ref="Z60:Z76" si="52">IF(T60=0,0,X60/T60)</f>
        <v>-0.67001284403669714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45"/>
        <v>0</v>
      </c>
      <c r="G61" s="2"/>
      <c r="H61" s="6">
        <v>605</v>
      </c>
      <c r="I61" s="2"/>
      <c r="J61" s="7">
        <f t="shared" si="46"/>
        <v>4.6673995641188836E-4</v>
      </c>
      <c r="K61" s="2"/>
      <c r="L61" s="6">
        <f t="shared" si="47"/>
        <v>-605</v>
      </c>
      <c r="M61" s="2"/>
      <c r="N61" s="7">
        <f t="shared" si="48"/>
        <v>-1</v>
      </c>
      <c r="O61" s="11"/>
      <c r="P61" s="6">
        <v>1798.43</v>
      </c>
      <c r="Q61" s="2"/>
      <c r="R61" s="7">
        <f t="shared" si="49"/>
        <v>2.2315343661181227E-4</v>
      </c>
      <c r="S61" s="2"/>
      <c r="T61" s="6">
        <v>5450</v>
      </c>
      <c r="U61" s="2"/>
      <c r="V61" s="7">
        <f t="shared" si="50"/>
        <v>6.8587071097987143E-4</v>
      </c>
      <c r="W61" s="2"/>
      <c r="X61" s="6">
        <f t="shared" si="51"/>
        <v>-3651.5699999999997</v>
      </c>
      <c r="Y61" s="2"/>
      <c r="Z61" s="7">
        <f t="shared" si="52"/>
        <v>-0.67001284403669714</v>
      </c>
    </row>
    <row r="62" spans="1:26" s="27" customFormat="1" outlineLevel="1" collapsed="1" x14ac:dyDescent="0.25">
      <c r="A62" s="26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428.03</v>
      </c>
      <c r="E62" s="1"/>
      <c r="F62" s="5">
        <f t="shared" si="45"/>
        <v>3.2380888027187267E-4</v>
      </c>
      <c r="G62" s="1"/>
      <c r="H62" s="1">
        <f>SUM(OSRRefH22_7x_0)</f>
        <v>670</v>
      </c>
      <c r="I62" s="1"/>
      <c r="J62" s="5">
        <f t="shared" si="46"/>
        <v>5.1688557156357882E-4</v>
      </c>
      <c r="K62" s="1"/>
      <c r="L62" s="1">
        <f t="shared" si="47"/>
        <v>-241.97000000000003</v>
      </c>
      <c r="M62" s="1"/>
      <c r="N62" s="5">
        <f t="shared" si="48"/>
        <v>-0.36114925373134332</v>
      </c>
      <c r="O62" s="13"/>
      <c r="P62" s="1">
        <f>SUM(OSRRefP22_7x_0)</f>
        <v>4325.33</v>
      </c>
      <c r="Q62" s="1"/>
      <c r="R62" s="5">
        <f t="shared" si="49"/>
        <v>5.3669714916909183E-4</v>
      </c>
      <c r="S62" s="1"/>
      <c r="T62" s="1">
        <f>SUM(OSRRefT22_7x_0)</f>
        <v>5560</v>
      </c>
      <c r="U62" s="1"/>
      <c r="V62" s="5">
        <f t="shared" si="50"/>
        <v>6.9971397303634597E-4</v>
      </c>
      <c r="W62" s="1"/>
      <c r="X62" s="1">
        <f t="shared" si="51"/>
        <v>-1234.67</v>
      </c>
      <c r="Y62" s="1"/>
      <c r="Z62" s="5">
        <f t="shared" si="52"/>
        <v>-0.22206294964028778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6">
        <v>428.03</v>
      </c>
      <c r="E63" s="2"/>
      <c r="F63" s="7">
        <f t="shared" si="45"/>
        <v>3.2380888027187267E-4</v>
      </c>
      <c r="G63" s="2"/>
      <c r="H63" s="6">
        <v>670</v>
      </c>
      <c r="I63" s="2"/>
      <c r="J63" s="7">
        <f t="shared" si="46"/>
        <v>5.1688557156357882E-4</v>
      </c>
      <c r="K63" s="2"/>
      <c r="L63" s="6">
        <f t="shared" si="47"/>
        <v>-241.97000000000003</v>
      </c>
      <c r="M63" s="2"/>
      <c r="N63" s="7">
        <f t="shared" si="48"/>
        <v>-0.36114925373134332</v>
      </c>
      <c r="O63" s="11"/>
      <c r="P63" s="6">
        <v>4325.33</v>
      </c>
      <c r="Q63" s="2"/>
      <c r="R63" s="7">
        <f t="shared" si="49"/>
        <v>5.3669714916909183E-4</v>
      </c>
      <c r="S63" s="2"/>
      <c r="T63" s="6">
        <v>5560</v>
      </c>
      <c r="U63" s="2"/>
      <c r="V63" s="7">
        <f t="shared" si="50"/>
        <v>6.9971397303634597E-4</v>
      </c>
      <c r="W63" s="2"/>
      <c r="X63" s="6">
        <f t="shared" si="51"/>
        <v>-1234.67</v>
      </c>
      <c r="Y63" s="2"/>
      <c r="Z63" s="7">
        <f t="shared" si="52"/>
        <v>-0.22206294964028778</v>
      </c>
    </row>
    <row r="64" spans="1:26" s="27" customFormat="1" outlineLevel="1" collapsed="1" x14ac:dyDescent="0.25">
      <c r="A64" s="26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45"/>
        <v>0</v>
      </c>
      <c r="G64" s="1"/>
      <c r="H64" s="1">
        <f>SUM(OSRRefH22_8x_0)</f>
        <v>1</v>
      </c>
      <c r="I64" s="1"/>
      <c r="J64" s="5">
        <f t="shared" si="46"/>
        <v>7.7147100233369974E-7</v>
      </c>
      <c r="K64" s="1"/>
      <c r="L64" s="1">
        <f t="shared" si="47"/>
        <v>-1</v>
      </c>
      <c r="M64" s="1"/>
      <c r="N64" s="5">
        <f t="shared" si="48"/>
        <v>-1</v>
      </c>
      <c r="O64" s="13"/>
      <c r="P64" s="1">
        <f>SUM(OSRRefP22_8x_0)</f>
        <v>0</v>
      </c>
      <c r="Q64" s="1"/>
      <c r="R64" s="5">
        <f t="shared" si="49"/>
        <v>0</v>
      </c>
      <c r="S64" s="1"/>
      <c r="T64" s="1">
        <f>SUM(OSRRefT22_8x_0)</f>
        <v>8</v>
      </c>
      <c r="U64" s="1"/>
      <c r="V64" s="5">
        <f t="shared" si="50"/>
        <v>1.0067826950163251E-6</v>
      </c>
      <c r="W64" s="1"/>
      <c r="X64" s="1">
        <f t="shared" si="51"/>
        <v>-8</v>
      </c>
      <c r="Y64" s="1"/>
      <c r="Z64" s="5">
        <f t="shared" si="52"/>
        <v>-1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45"/>
        <v>0</v>
      </c>
      <c r="G65" s="2"/>
      <c r="H65" s="6">
        <v>1</v>
      </c>
      <c r="I65" s="2"/>
      <c r="J65" s="7">
        <f t="shared" si="46"/>
        <v>7.7147100233369974E-7</v>
      </c>
      <c r="K65" s="2"/>
      <c r="L65" s="6">
        <f t="shared" si="47"/>
        <v>-1</v>
      </c>
      <c r="M65" s="2"/>
      <c r="N65" s="7">
        <f t="shared" si="48"/>
        <v>-1</v>
      </c>
      <c r="O65" s="11"/>
      <c r="P65" s="6"/>
      <c r="Q65" s="2"/>
      <c r="R65" s="7">
        <f t="shared" si="49"/>
        <v>0</v>
      </c>
      <c r="S65" s="2"/>
      <c r="T65" s="6">
        <v>8</v>
      </c>
      <c r="U65" s="2"/>
      <c r="V65" s="7">
        <f t="shared" si="50"/>
        <v>1.0067826950163251E-6</v>
      </c>
      <c r="W65" s="2"/>
      <c r="X65" s="6">
        <f t="shared" si="51"/>
        <v>-8</v>
      </c>
      <c r="Y65" s="2"/>
      <c r="Z65" s="7">
        <f t="shared" si="52"/>
        <v>-1</v>
      </c>
    </row>
    <row r="66" spans="1:26" s="27" customFormat="1" outlineLevel="1" collapsed="1" x14ac:dyDescent="0.25">
      <c r="A66" s="26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242.27</v>
      </c>
      <c r="E66" s="1"/>
      <c r="F66" s="5">
        <f t="shared" si="45"/>
        <v>1.8327962391296543E-4</v>
      </c>
      <c r="G66" s="1"/>
      <c r="H66" s="1">
        <f>SUM(OSRRefH22_9x_0)</f>
        <v>1096</v>
      </c>
      <c r="I66" s="1"/>
      <c r="J66" s="5">
        <f t="shared" si="46"/>
        <v>8.4553221855773492E-4</v>
      </c>
      <c r="K66" s="1"/>
      <c r="L66" s="1">
        <f t="shared" si="47"/>
        <v>-853.73</v>
      </c>
      <c r="M66" s="1"/>
      <c r="N66" s="5">
        <f t="shared" si="48"/>
        <v>-0.77895072992700731</v>
      </c>
      <c r="O66" s="13"/>
      <c r="P66" s="1">
        <f>SUM(OSRRefP22_9x_0)</f>
        <v>8493.7900000000009</v>
      </c>
      <c r="Q66" s="1"/>
      <c r="R66" s="5">
        <f t="shared" si="49"/>
        <v>1.0539294987066748E-3</v>
      </c>
      <c r="S66" s="1"/>
      <c r="T66" s="1">
        <f>SUM(OSRRefT22_9x_0)</f>
        <v>11219</v>
      </c>
      <c r="U66" s="1"/>
      <c r="V66" s="5">
        <f t="shared" si="50"/>
        <v>1.4118868819235188E-3</v>
      </c>
      <c r="W66" s="1"/>
      <c r="X66" s="1">
        <f t="shared" si="51"/>
        <v>-2725.2099999999991</v>
      </c>
      <c r="Y66" s="1"/>
      <c r="Z66" s="5">
        <f t="shared" si="52"/>
        <v>-0.24291024155450566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6">
        <v>242.27</v>
      </c>
      <c r="E67" s="2"/>
      <c r="F67" s="7">
        <f t="shared" si="45"/>
        <v>1.8327962391296543E-4</v>
      </c>
      <c r="G67" s="2"/>
      <c r="H67" s="6">
        <v>1096</v>
      </c>
      <c r="I67" s="2"/>
      <c r="J67" s="7">
        <f t="shared" si="46"/>
        <v>8.4553221855773492E-4</v>
      </c>
      <c r="K67" s="2"/>
      <c r="L67" s="6">
        <f t="shared" si="47"/>
        <v>-853.73</v>
      </c>
      <c r="M67" s="2"/>
      <c r="N67" s="7">
        <f t="shared" si="48"/>
        <v>-0.77895072992700731</v>
      </c>
      <c r="O67" s="11"/>
      <c r="P67" s="6">
        <v>8493.7900000000009</v>
      </c>
      <c r="Q67" s="2"/>
      <c r="R67" s="7">
        <f t="shared" si="49"/>
        <v>1.0539294987066748E-3</v>
      </c>
      <c r="S67" s="2"/>
      <c r="T67" s="6">
        <v>11219</v>
      </c>
      <c r="U67" s="2"/>
      <c r="V67" s="7">
        <f t="shared" si="50"/>
        <v>1.4118868819235188E-3</v>
      </c>
      <c r="W67" s="2"/>
      <c r="X67" s="6">
        <f t="shared" si="51"/>
        <v>-2725.2099999999991</v>
      </c>
      <c r="Y67" s="2"/>
      <c r="Z67" s="7">
        <f t="shared" si="52"/>
        <v>-0.24291024155450566</v>
      </c>
    </row>
    <row r="68" spans="1:26" s="27" customFormat="1" outlineLevel="1" collapsed="1" x14ac:dyDescent="0.25">
      <c r="A68" s="26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5.9</v>
      </c>
      <c r="E68" s="1"/>
      <c r="F68" s="5">
        <f t="shared" si="45"/>
        <v>4.4634076901246384E-6</v>
      </c>
      <c r="G68" s="1"/>
      <c r="H68" s="1">
        <f>SUM(OSRRefH22_10x_0)</f>
        <v>5</v>
      </c>
      <c r="I68" s="1"/>
      <c r="J68" s="5">
        <f t="shared" si="46"/>
        <v>3.8573550116684988E-6</v>
      </c>
      <c r="K68" s="1"/>
      <c r="L68" s="1">
        <f t="shared" si="47"/>
        <v>0.90000000000000036</v>
      </c>
      <c r="M68" s="1"/>
      <c r="N68" s="5">
        <f t="shared" si="48"/>
        <v>0.18000000000000008</v>
      </c>
      <c r="O68" s="13"/>
      <c r="P68" s="1">
        <f>SUM(OSRRefP22_10x_0)</f>
        <v>47.2</v>
      </c>
      <c r="Q68" s="1"/>
      <c r="R68" s="5">
        <f t="shared" si="49"/>
        <v>5.8566873373317501E-6</v>
      </c>
      <c r="S68" s="1"/>
      <c r="T68" s="1">
        <f>SUM(OSRRefT22_10x_0)</f>
        <v>40</v>
      </c>
      <c r="U68" s="1"/>
      <c r="V68" s="5">
        <f t="shared" si="50"/>
        <v>5.0339134750816252E-6</v>
      </c>
      <c r="W68" s="1"/>
      <c r="X68" s="1">
        <f t="shared" si="51"/>
        <v>7.2000000000000028</v>
      </c>
      <c r="Y68" s="1"/>
      <c r="Z68" s="5">
        <f t="shared" si="52"/>
        <v>0.18000000000000008</v>
      </c>
    </row>
    <row r="69" spans="1:26" s="24" customFormat="1" hidden="1" outlineLevel="2" x14ac:dyDescent="0.25">
      <c r="A69" s="25"/>
      <c r="B69" s="11" t="str">
        <f>CONCATENATE("          ", "6314", " - ", "LIABILITY INSURANCE")</f>
        <v xml:space="preserve">          6314 - LIABILITY INSURANCE</v>
      </c>
      <c r="C69" s="11"/>
      <c r="D69" s="6">
        <v>5.9</v>
      </c>
      <c r="E69" s="2"/>
      <c r="F69" s="7">
        <f t="shared" si="45"/>
        <v>4.4634076901246384E-6</v>
      </c>
      <c r="G69" s="2"/>
      <c r="H69" s="6">
        <v>5</v>
      </c>
      <c r="I69" s="2"/>
      <c r="J69" s="7">
        <f t="shared" si="46"/>
        <v>3.8573550116684988E-6</v>
      </c>
      <c r="K69" s="2"/>
      <c r="L69" s="6">
        <f t="shared" si="47"/>
        <v>0.90000000000000036</v>
      </c>
      <c r="M69" s="2"/>
      <c r="N69" s="7">
        <f t="shared" si="48"/>
        <v>0.18000000000000008</v>
      </c>
      <c r="O69" s="11"/>
      <c r="P69" s="6">
        <v>47.2</v>
      </c>
      <c r="Q69" s="2"/>
      <c r="R69" s="7">
        <f t="shared" si="49"/>
        <v>5.8566873373317501E-6</v>
      </c>
      <c r="S69" s="2"/>
      <c r="T69" s="6">
        <v>40</v>
      </c>
      <c r="U69" s="2"/>
      <c r="V69" s="7">
        <f t="shared" si="50"/>
        <v>5.0339134750816252E-6</v>
      </c>
      <c r="W69" s="2"/>
      <c r="X69" s="6">
        <f t="shared" si="51"/>
        <v>7.2000000000000028</v>
      </c>
      <c r="Y69" s="2"/>
      <c r="Z69" s="7">
        <f t="shared" si="52"/>
        <v>0.18000000000000008</v>
      </c>
    </row>
    <row r="70" spans="1:26" s="27" customFormat="1" outlineLevel="1" collapsed="1" x14ac:dyDescent="0.25">
      <c r="A70" s="26"/>
      <c r="B70" s="13" t="str">
        <f>CONCATENATE("     ","R/H Commissions                                   ")</f>
        <v xml:space="preserve">     R/H Commissions                                   </v>
      </c>
      <c r="C70" s="13"/>
      <c r="D70" s="1">
        <f>SUM(OSRRefD22_11x_0)</f>
        <v>102261.27</v>
      </c>
      <c r="E70" s="1"/>
      <c r="F70" s="5">
        <f t="shared" si="45"/>
        <v>7.7361650664391851E-2</v>
      </c>
      <c r="G70" s="1"/>
      <c r="H70" s="1">
        <f>SUM(OSRRefH22_11x_0)</f>
        <v>103672</v>
      </c>
      <c r="I70" s="1"/>
      <c r="J70" s="5">
        <f t="shared" si="46"/>
        <v>7.9979941753939326E-2</v>
      </c>
      <c r="K70" s="1"/>
      <c r="L70" s="1">
        <f t="shared" si="47"/>
        <v>-1410.7299999999959</v>
      </c>
      <c r="M70" s="1"/>
      <c r="N70" s="5">
        <f t="shared" si="48"/>
        <v>-1.3607627903387568E-2</v>
      </c>
      <c r="O70" s="13"/>
      <c r="P70" s="1">
        <f>SUM(OSRRefP22_11x_0)</f>
        <v>626051.28</v>
      </c>
      <c r="Q70" s="1"/>
      <c r="R70" s="5">
        <f t="shared" si="49"/>
        <v>7.7681919578312164E-2</v>
      </c>
      <c r="S70" s="1"/>
      <c r="T70" s="1">
        <f>SUM(OSRRefT22_11x_0)</f>
        <v>635636</v>
      </c>
      <c r="U70" s="1"/>
      <c r="V70" s="5">
        <f t="shared" si="50"/>
        <v>7.9993415641174598E-2</v>
      </c>
      <c r="W70" s="1"/>
      <c r="X70" s="1">
        <f t="shared" si="51"/>
        <v>-9584.7199999999721</v>
      </c>
      <c r="Y70" s="1"/>
      <c r="Z70" s="5">
        <f t="shared" si="52"/>
        <v>-1.5078944553171898E-2</v>
      </c>
    </row>
    <row r="71" spans="1:26" s="24" customFormat="1" hidden="1" outlineLevel="2" x14ac:dyDescent="0.25">
      <c r="A71" s="25"/>
      <c r="B71" s="11" t="str">
        <f>CONCATENATE("          ", "6387", " - ", "COMMISSION DUE HOUSING")</f>
        <v xml:space="preserve">          6387 - COMMISSION DUE HOUSING</v>
      </c>
      <c r="C71" s="11"/>
      <c r="D71" s="6">
        <v>102261.27</v>
      </c>
      <c r="E71" s="2"/>
      <c r="F71" s="7">
        <f t="shared" si="45"/>
        <v>7.7361650664391851E-2</v>
      </c>
      <c r="G71" s="2"/>
      <c r="H71" s="6">
        <v>103672</v>
      </c>
      <c r="I71" s="2"/>
      <c r="J71" s="7">
        <f t="shared" si="46"/>
        <v>7.9979941753939326E-2</v>
      </c>
      <c r="K71" s="2"/>
      <c r="L71" s="6">
        <f t="shared" si="47"/>
        <v>-1410.7299999999959</v>
      </c>
      <c r="M71" s="2"/>
      <c r="N71" s="7">
        <f t="shared" si="48"/>
        <v>-1.3607627903387568E-2</v>
      </c>
      <c r="O71" s="11"/>
      <c r="P71" s="6">
        <v>626051.28</v>
      </c>
      <c r="Q71" s="2"/>
      <c r="R71" s="7">
        <f t="shared" si="49"/>
        <v>7.7681919578312164E-2</v>
      </c>
      <c r="S71" s="2"/>
      <c r="T71" s="6">
        <v>635636</v>
      </c>
      <c r="U71" s="2"/>
      <c r="V71" s="7">
        <f t="shared" si="50"/>
        <v>7.9993415641174598E-2</v>
      </c>
      <c r="W71" s="2"/>
      <c r="X71" s="6">
        <f t="shared" si="51"/>
        <v>-9584.7199999999721</v>
      </c>
      <c r="Y71" s="2"/>
      <c r="Z71" s="7">
        <f t="shared" si="52"/>
        <v>-1.5078944553171898E-2</v>
      </c>
    </row>
    <row r="72" spans="1:26" s="27" customFormat="1" outlineLevel="1" collapsed="1" x14ac:dyDescent="0.25">
      <c r="A72" s="26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SUM(OSRRefD22_12x_0)</f>
        <v>39208.270000000004</v>
      </c>
      <c r="E72" s="1"/>
      <c r="F72" s="5">
        <f t="shared" si="45"/>
        <v>2.9661439632963246E-2</v>
      </c>
      <c r="G72" s="1"/>
      <c r="H72" s="1">
        <f>SUM(OSRRefH22_12x_0)</f>
        <v>12837</v>
      </c>
      <c r="I72" s="1"/>
      <c r="J72" s="5">
        <f t="shared" si="46"/>
        <v>9.9033732569577034E-3</v>
      </c>
      <c r="K72" s="1"/>
      <c r="L72" s="1">
        <f t="shared" si="47"/>
        <v>26371.270000000004</v>
      </c>
      <c r="M72" s="1"/>
      <c r="N72" s="5">
        <f t="shared" si="48"/>
        <v>2.054317208070422</v>
      </c>
      <c r="O72" s="13"/>
      <c r="P72" s="1">
        <f>SUM(OSRRefP22_12x_0)</f>
        <v>63017.210000000006</v>
      </c>
      <c r="Q72" s="1"/>
      <c r="R72" s="5">
        <f t="shared" si="49"/>
        <v>7.819324064427452E-3</v>
      </c>
      <c r="S72" s="1"/>
      <c r="T72" s="1">
        <f>SUM(OSRRefT22_12x_0)</f>
        <v>30736</v>
      </c>
      <c r="U72" s="1"/>
      <c r="V72" s="5">
        <f t="shared" si="50"/>
        <v>3.8680591142527211E-3</v>
      </c>
      <c r="W72" s="1"/>
      <c r="X72" s="1">
        <f t="shared" si="51"/>
        <v>32281.210000000006</v>
      </c>
      <c r="Y72" s="1"/>
      <c r="Z72" s="5">
        <f t="shared" si="52"/>
        <v>1.0502736205101513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40245</v>
      </c>
      <c r="E73" s="2"/>
      <c r="F73" s="7">
        <f t="shared" si="45"/>
        <v>3.0445736015095943E-2</v>
      </c>
      <c r="G73" s="2"/>
      <c r="H73" s="6">
        <v>10497</v>
      </c>
      <c r="I73" s="2"/>
      <c r="J73" s="7">
        <f t="shared" si="46"/>
        <v>8.0981311114968462E-3</v>
      </c>
      <c r="K73" s="2"/>
      <c r="L73" s="6">
        <f t="shared" si="47"/>
        <v>29748</v>
      </c>
      <c r="M73" s="2"/>
      <c r="N73" s="7">
        <f t="shared" si="48"/>
        <v>2.8339525578736784</v>
      </c>
      <c r="O73" s="11"/>
      <c r="P73" s="6">
        <v>63062.930000000008</v>
      </c>
      <c r="Q73" s="2"/>
      <c r="R73" s="7">
        <f t="shared" si="49"/>
        <v>7.8249971098736989E-3</v>
      </c>
      <c r="S73" s="2"/>
      <c r="T73" s="6">
        <v>20976</v>
      </c>
      <c r="U73" s="2"/>
      <c r="V73" s="7">
        <f t="shared" si="50"/>
        <v>2.6397842263328045E-3</v>
      </c>
      <c r="W73" s="2"/>
      <c r="X73" s="6">
        <f t="shared" si="51"/>
        <v>42086.930000000008</v>
      </c>
      <c r="Y73" s="2"/>
      <c r="Z73" s="7">
        <f t="shared" si="52"/>
        <v>2.00643258962624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/>
      <c r="Q74" s="2"/>
      <c r="R74" s="7">
        <f t="shared" si="49"/>
        <v>0</v>
      </c>
      <c r="S74" s="2"/>
      <c r="T74" s="6">
        <v>140</v>
      </c>
      <c r="U74" s="2"/>
      <c r="V74" s="7">
        <f t="shared" si="50"/>
        <v>1.7618697162785688E-5</v>
      </c>
      <c r="W74" s="2"/>
      <c r="X74" s="6">
        <f t="shared" si="51"/>
        <v>-140</v>
      </c>
      <c r="Y74" s="2"/>
      <c r="Z74" s="7">
        <f t="shared" si="52"/>
        <v>-1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6">
        <v>17.829999999999998</v>
      </c>
      <c r="E75" s="2"/>
      <c r="F75" s="7">
        <f t="shared" si="45"/>
        <v>1.3488569341512251E-5</v>
      </c>
      <c r="G75" s="2"/>
      <c r="H75" s="6">
        <v>1830</v>
      </c>
      <c r="I75" s="2"/>
      <c r="J75" s="7">
        <f t="shared" si="46"/>
        <v>1.4117919342706705E-3</v>
      </c>
      <c r="K75" s="2"/>
      <c r="L75" s="6">
        <f t="shared" si="47"/>
        <v>-1812.17</v>
      </c>
      <c r="M75" s="2"/>
      <c r="N75" s="7">
        <f t="shared" si="48"/>
        <v>-0.99025683060109293</v>
      </c>
      <c r="O75" s="11"/>
      <c r="P75" s="6">
        <v>499.65</v>
      </c>
      <c r="Q75" s="2"/>
      <c r="R75" s="7">
        <f t="shared" si="49"/>
        <v>6.1997750595292554E-5</v>
      </c>
      <c r="S75" s="2"/>
      <c r="T75" s="6">
        <v>5540</v>
      </c>
      <c r="U75" s="2"/>
      <c r="V75" s="7">
        <f t="shared" si="50"/>
        <v>6.9719701629880517E-4</v>
      </c>
      <c r="W75" s="2"/>
      <c r="X75" s="6">
        <f t="shared" si="51"/>
        <v>-5040.3500000000004</v>
      </c>
      <c r="Y75" s="2"/>
      <c r="Z75" s="7">
        <f t="shared" si="52"/>
        <v>-0.9098104693140795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-1054.56</v>
      </c>
      <c r="E76" s="2"/>
      <c r="F76" s="7">
        <f t="shared" si="45"/>
        <v>-7.9778495147420981E-4</v>
      </c>
      <c r="G76" s="2"/>
      <c r="H76" s="6">
        <v>510</v>
      </c>
      <c r="I76" s="2"/>
      <c r="J76" s="7">
        <f t="shared" si="46"/>
        <v>3.9345021119018692E-4</v>
      </c>
      <c r="K76" s="2"/>
      <c r="L76" s="6">
        <f t="shared" si="47"/>
        <v>-1564.56</v>
      </c>
      <c r="M76" s="2"/>
      <c r="N76" s="7">
        <f t="shared" si="48"/>
        <v>-3.0677647058823529</v>
      </c>
      <c r="O76" s="11"/>
      <c r="P76" s="6">
        <v>-545.37</v>
      </c>
      <c r="Q76" s="2"/>
      <c r="R76" s="7">
        <f t="shared" si="49"/>
        <v>-6.7670796041538481E-5</v>
      </c>
      <c r="S76" s="2"/>
      <c r="T76" s="6">
        <v>4080</v>
      </c>
      <c r="U76" s="2"/>
      <c r="V76" s="7">
        <f t="shared" si="50"/>
        <v>5.1345917445832579E-4</v>
      </c>
      <c r="W76" s="2"/>
      <c r="X76" s="6">
        <f t="shared" si="51"/>
        <v>-4625.37</v>
      </c>
      <c r="Y76" s="2"/>
      <c r="Z76" s="7">
        <f t="shared" si="52"/>
        <v>-1.1336691176470588</v>
      </c>
    </row>
    <row r="77" spans="1:26" s="27" customFormat="1" outlineLevel="1" collapsed="1" x14ac:dyDescent="0.25">
      <c r="A77" s="26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SUM(OSRRefD22_13x_0)</f>
        <v>19905.43</v>
      </c>
      <c r="E77" s="1"/>
      <c r="F77" s="5">
        <f t="shared" ref="F77:F81" si="53">IF(D$12=0,0,D77/D$12)</f>
        <v>1.5058652430040283E-2</v>
      </c>
      <c r="G77" s="1"/>
      <c r="H77" s="1">
        <f>SUM(OSRRefH22_13x_0)</f>
        <v>19185</v>
      </c>
      <c r="I77" s="1"/>
      <c r="J77" s="5">
        <f t="shared" ref="J77:J81" si="54">IF(H$12=0,0,H77/H$12)</f>
        <v>1.480067117977203E-2</v>
      </c>
      <c r="K77" s="1"/>
      <c r="L77" s="1">
        <f t="shared" ref="L77:L81" si="55">+D77-H77</f>
        <v>720.43000000000029</v>
      </c>
      <c r="M77" s="1"/>
      <c r="N77" s="5">
        <f t="shared" ref="N77:N81" si="56">IF(H77=0,0,L77/H77)</f>
        <v>3.7551733124837131E-2</v>
      </c>
      <c r="O77" s="13"/>
      <c r="P77" s="1">
        <f>SUM(OSRRefP22_13x_0)</f>
        <v>148858.28999999998</v>
      </c>
      <c r="Q77" s="1"/>
      <c r="R77" s="5">
        <f t="shared" ref="R77:R81" si="57">IF(P$12=0,0,P77/P$12)</f>
        <v>1.847068775635291E-2</v>
      </c>
      <c r="S77" s="1"/>
      <c r="T77" s="1">
        <f>SUM(OSRRefT22_13x_0)</f>
        <v>152722</v>
      </c>
      <c r="U77" s="1"/>
      <c r="V77" s="5">
        <f t="shared" ref="V77:V81" si="58">IF(T$12=0,0,T77/T$12)</f>
        <v>1.9219733343535401E-2</v>
      </c>
      <c r="W77" s="1"/>
      <c r="X77" s="1">
        <f t="shared" ref="X77:X81" si="59">+P77-T77</f>
        <v>-3863.710000000021</v>
      </c>
      <c r="Y77" s="1"/>
      <c r="Z77" s="5">
        <f t="shared" ref="Z77:Z81" si="60">IF(T77=0,0,X77/T77)</f>
        <v>-2.5298974607456823E-2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3016.6</v>
      </c>
      <c r="E78" s="2"/>
      <c r="F78" s="7">
        <f t="shared" si="53"/>
        <v>2.2820873962762682E-3</v>
      </c>
      <c r="G78" s="2"/>
      <c r="H78" s="6">
        <v>1630</v>
      </c>
      <c r="I78" s="2"/>
      <c r="J78" s="7">
        <f t="shared" si="54"/>
        <v>1.2574977338039306E-3</v>
      </c>
      <c r="K78" s="2"/>
      <c r="L78" s="6">
        <f t="shared" si="55"/>
        <v>1386.6</v>
      </c>
      <c r="M78" s="2"/>
      <c r="N78" s="7">
        <f t="shared" si="56"/>
        <v>0.85067484662576687</v>
      </c>
      <c r="O78" s="11"/>
      <c r="P78" s="6">
        <v>13844.7</v>
      </c>
      <c r="Q78" s="2"/>
      <c r="R78" s="7">
        <f t="shared" si="57"/>
        <v>1.7178830334567137E-3</v>
      </c>
      <c r="S78" s="2"/>
      <c r="T78" s="6">
        <v>13040</v>
      </c>
      <c r="U78" s="2"/>
      <c r="V78" s="7">
        <f t="shared" si="58"/>
        <v>1.6410557928766098E-3</v>
      </c>
      <c r="W78" s="2"/>
      <c r="X78" s="6">
        <f t="shared" si="59"/>
        <v>804.70000000000073</v>
      </c>
      <c r="Y78" s="2"/>
      <c r="Z78" s="7">
        <f t="shared" si="60"/>
        <v>6.1710122699386562E-2</v>
      </c>
    </row>
    <row r="79" spans="1:26" s="24" customFormat="1" hidden="1" outlineLevel="2" x14ac:dyDescent="0.25">
      <c r="A79" s="25"/>
      <c r="B79" s="11" t="str">
        <f>CONCATENATE("          ", "6284", " - ", "TRASH REMOVAL EXPENSE")</f>
        <v xml:space="preserve">          6284 - TRASH REMOVAL EXPENSE</v>
      </c>
      <c r="C79" s="11"/>
      <c r="D79" s="6"/>
      <c r="E79" s="2"/>
      <c r="F79" s="7">
        <f t="shared" si="53"/>
        <v>0</v>
      </c>
      <c r="G79" s="2"/>
      <c r="H79" s="6">
        <v>550</v>
      </c>
      <c r="I79" s="2"/>
      <c r="J79" s="7">
        <f t="shared" si="54"/>
        <v>4.2430905128353487E-4</v>
      </c>
      <c r="K79" s="2"/>
      <c r="L79" s="6">
        <f t="shared" si="55"/>
        <v>-550</v>
      </c>
      <c r="M79" s="2"/>
      <c r="N79" s="7">
        <f t="shared" si="56"/>
        <v>-1</v>
      </c>
      <c r="O79" s="11"/>
      <c r="P79" s="6"/>
      <c r="Q79" s="2"/>
      <c r="R79" s="7">
        <f t="shared" si="57"/>
        <v>0</v>
      </c>
      <c r="S79" s="2"/>
      <c r="T79" s="6">
        <v>4350</v>
      </c>
      <c r="U79" s="2"/>
      <c r="V79" s="7">
        <f t="shared" si="58"/>
        <v>5.474380904151268E-4</v>
      </c>
      <c r="W79" s="2"/>
      <c r="X79" s="6">
        <f t="shared" si="59"/>
        <v>-4350</v>
      </c>
      <c r="Y79" s="2"/>
      <c r="Z79" s="7">
        <f t="shared" si="60"/>
        <v>-1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6">
        <v>12248.2</v>
      </c>
      <c r="E80" s="2"/>
      <c r="F80" s="7">
        <f t="shared" si="53"/>
        <v>9.2658830627431518E-3</v>
      </c>
      <c r="G80" s="2"/>
      <c r="H80" s="6">
        <v>12205</v>
      </c>
      <c r="I80" s="2"/>
      <c r="J80" s="7">
        <f t="shared" si="54"/>
        <v>9.4158035834828058E-3</v>
      </c>
      <c r="K80" s="2"/>
      <c r="L80" s="6">
        <f t="shared" si="55"/>
        <v>43.200000000000728</v>
      </c>
      <c r="M80" s="2"/>
      <c r="N80" s="7">
        <f t="shared" si="56"/>
        <v>3.5395329782876468E-3</v>
      </c>
      <c r="O80" s="11"/>
      <c r="P80" s="6">
        <v>98581.42</v>
      </c>
      <c r="Q80" s="2"/>
      <c r="R80" s="7">
        <f t="shared" si="57"/>
        <v>1.2232215131571671E-2</v>
      </c>
      <c r="S80" s="2"/>
      <c r="T80" s="6">
        <v>98532</v>
      </c>
      <c r="U80" s="2"/>
      <c r="V80" s="7">
        <f t="shared" si="58"/>
        <v>1.2400039063168567E-2</v>
      </c>
      <c r="W80" s="2"/>
      <c r="X80" s="6">
        <f t="shared" si="59"/>
        <v>49.419999999998254</v>
      </c>
      <c r="Y80" s="2"/>
      <c r="Z80" s="7">
        <f t="shared" si="60"/>
        <v>5.0156294401816929E-4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6">
        <v>4640.63</v>
      </c>
      <c r="E81" s="2"/>
      <c r="F81" s="7">
        <f t="shared" si="53"/>
        <v>3.5106819710208643E-3</v>
      </c>
      <c r="G81" s="2"/>
      <c r="H81" s="6">
        <v>4800</v>
      </c>
      <c r="I81" s="2"/>
      <c r="J81" s="7">
        <f t="shared" si="54"/>
        <v>3.7030608112017587E-3</v>
      </c>
      <c r="K81" s="2"/>
      <c r="L81" s="6">
        <f t="shared" si="55"/>
        <v>-159.36999999999989</v>
      </c>
      <c r="M81" s="2"/>
      <c r="N81" s="7">
        <f t="shared" si="56"/>
        <v>-3.3202083333333313E-2</v>
      </c>
      <c r="O81" s="11"/>
      <c r="P81" s="6">
        <v>36432.17</v>
      </c>
      <c r="Q81" s="2"/>
      <c r="R81" s="7">
        <f t="shared" si="57"/>
        <v>4.520589591324526E-3</v>
      </c>
      <c r="S81" s="2"/>
      <c r="T81" s="6">
        <v>36800</v>
      </c>
      <c r="U81" s="2"/>
      <c r="V81" s="7">
        <f t="shared" si="58"/>
        <v>4.6312003970750953E-3</v>
      </c>
      <c r="W81" s="2"/>
      <c r="X81" s="6">
        <f t="shared" si="59"/>
        <v>-367.83000000000175</v>
      </c>
      <c r="Y81" s="2"/>
      <c r="Z81" s="7">
        <f t="shared" si="60"/>
        <v>-9.9953804347826559E-3</v>
      </c>
    </row>
    <row r="82" spans="1:26" s="27" customFormat="1" outlineLevel="1" collapsed="1" x14ac:dyDescent="0.25">
      <c r="A82" s="26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SUM(OSRRefD22_14x_0)</f>
        <v>19615.349999999999</v>
      </c>
      <c r="E82" s="1"/>
      <c r="F82" s="5">
        <f t="shared" ref="F82:F91" si="61">IF(D$12=0,0,D82/D$12)</f>
        <v>1.4839204073641747E-2</v>
      </c>
      <c r="G82" s="1"/>
      <c r="H82" s="1">
        <f>SUM(OSRRefH22_14x_0)</f>
        <v>22583</v>
      </c>
      <c r="I82" s="1"/>
      <c r="J82" s="5">
        <f t="shared" ref="J82:J91" si="62">IF(H$12=0,0,H82/H$12)</f>
        <v>1.7422129645701941E-2</v>
      </c>
      <c r="K82" s="1"/>
      <c r="L82" s="1">
        <f t="shared" ref="L82:L91" si="63">+D82-H82</f>
        <v>-2967.6500000000015</v>
      </c>
      <c r="M82" s="1"/>
      <c r="N82" s="5">
        <f t="shared" ref="N82:N91" si="64">IF(H82=0,0,L82/H82)</f>
        <v>-0.13141079573130238</v>
      </c>
      <c r="O82" s="13"/>
      <c r="P82" s="1">
        <f>SUM(OSRRefP22_14x_0)</f>
        <v>169882.46</v>
      </c>
      <c r="Q82" s="1"/>
      <c r="R82" s="5">
        <f t="shared" ref="R82:R91" si="65">IF(P$12=0,0,P82/P$12)</f>
        <v>2.1079416362643377E-2</v>
      </c>
      <c r="S82" s="1"/>
      <c r="T82" s="1">
        <f>SUM(OSRRefT22_14x_0)</f>
        <v>195077</v>
      </c>
      <c r="U82" s="1"/>
      <c r="V82" s="5">
        <f t="shared" ref="V82:V91" si="66">IF(T$12=0,0,T82/T$12)</f>
        <v>2.4550018474462455E-2</v>
      </c>
      <c r="W82" s="1"/>
      <c r="X82" s="1">
        <f t="shared" ref="X82:X91" si="67">+P82-T82</f>
        <v>-25194.540000000008</v>
      </c>
      <c r="Y82" s="1"/>
      <c r="Z82" s="5">
        <f t="shared" ref="Z82:Z91" si="68">IF(T82=0,0,X82/T82)</f>
        <v>-0.12915177083920712</v>
      </c>
    </row>
    <row r="83" spans="1:26" s="24" customFormat="1" hidden="1" outlineLevel="2" x14ac:dyDescent="0.25">
      <c r="A83" s="25"/>
      <c r="B83" s="11" t="str">
        <f>CONCATENATE("          ", "6234", " - ", "EXPENDABLE SUPPLIES &amp; EQUIPMEN")</f>
        <v xml:space="preserve">          6234 - EXPENDABLE SUPPLIES &amp; EQUIPMEN</v>
      </c>
      <c r="C83" s="11"/>
      <c r="D83" s="6">
        <v>18.34</v>
      </c>
      <c r="E83" s="2"/>
      <c r="F83" s="7">
        <f t="shared" si="61"/>
        <v>1.3874389328285739E-5</v>
      </c>
      <c r="G83" s="2"/>
      <c r="H83" s="6">
        <v>0</v>
      </c>
      <c r="I83" s="2"/>
      <c r="J83" s="7">
        <f t="shared" si="62"/>
        <v>0</v>
      </c>
      <c r="K83" s="2"/>
      <c r="L83" s="6">
        <f t="shared" si="63"/>
        <v>18.34</v>
      </c>
      <c r="M83" s="2"/>
      <c r="N83" s="7">
        <f t="shared" si="64"/>
        <v>0</v>
      </c>
      <c r="O83" s="11"/>
      <c r="P83" s="6">
        <v>118.34</v>
      </c>
      <c r="Q83" s="2"/>
      <c r="R83" s="7">
        <f t="shared" si="65"/>
        <v>1.4683906345335578E-5</v>
      </c>
      <c r="S83" s="2"/>
      <c r="T83" s="6">
        <v>800</v>
      </c>
      <c r="U83" s="2"/>
      <c r="V83" s="7">
        <f t="shared" si="66"/>
        <v>1.006782695016325E-4</v>
      </c>
      <c r="W83" s="2"/>
      <c r="X83" s="6">
        <f t="shared" si="67"/>
        <v>-681.66</v>
      </c>
      <c r="Y83" s="2"/>
      <c r="Z83" s="7">
        <f t="shared" si="68"/>
        <v>-0.85207499999999992</v>
      </c>
    </row>
    <row r="84" spans="1:26" s="24" customFormat="1" hidden="1" outlineLevel="2" x14ac:dyDescent="0.25">
      <c r="A84" s="25"/>
      <c r="B84" s="11" t="str">
        <f>CONCATENATE("          ", "6237", " - ", "JANITORIAL SUPPLIES")</f>
        <v xml:space="preserve">          6237 - JANITORIAL SUPPLIES</v>
      </c>
      <c r="C84" s="11"/>
      <c r="D84" s="6">
        <v>8859.7999999999993</v>
      </c>
      <c r="E84" s="2"/>
      <c r="F84" s="7">
        <f t="shared" si="61"/>
        <v>6.7025253310112314E-3</v>
      </c>
      <c r="G84" s="2"/>
      <c r="H84" s="6">
        <v>9955</v>
      </c>
      <c r="I84" s="2"/>
      <c r="J84" s="7">
        <f t="shared" si="62"/>
        <v>7.6799938282319817E-3</v>
      </c>
      <c r="K84" s="2"/>
      <c r="L84" s="6">
        <f t="shared" si="63"/>
        <v>-1095.2000000000007</v>
      </c>
      <c r="M84" s="2"/>
      <c r="N84" s="7">
        <f t="shared" si="64"/>
        <v>-0.11001506780512313</v>
      </c>
      <c r="O84" s="11"/>
      <c r="P84" s="6">
        <v>65255.92</v>
      </c>
      <c r="Q84" s="2"/>
      <c r="R84" s="7">
        <f t="shared" si="65"/>
        <v>8.0971084819901201E-3</v>
      </c>
      <c r="S84" s="2"/>
      <c r="T84" s="6">
        <v>77685</v>
      </c>
      <c r="U84" s="2"/>
      <c r="V84" s="7">
        <f t="shared" si="66"/>
        <v>9.776489207792902E-3</v>
      </c>
      <c r="W84" s="2"/>
      <c r="X84" s="6">
        <f t="shared" si="67"/>
        <v>-12429.080000000002</v>
      </c>
      <c r="Y84" s="2"/>
      <c r="Z84" s="7">
        <f t="shared" si="68"/>
        <v>-0.15999330630108774</v>
      </c>
    </row>
    <row r="85" spans="1:26" s="24" customFormat="1" hidden="1" outlineLevel="2" x14ac:dyDescent="0.25">
      <c r="A85" s="25"/>
      <c r="B85" s="11" t="str">
        <f>CONCATENATE("          ", "6239", " - ", "KITCHEN SUPPLIES")</f>
        <v xml:space="preserve">          6239 - KITCHEN SUPPLIES</v>
      </c>
      <c r="C85" s="11"/>
      <c r="D85" s="6">
        <v>1711.77</v>
      </c>
      <c r="E85" s="2"/>
      <c r="F85" s="7">
        <f t="shared" si="61"/>
        <v>1.2949707426651951E-3</v>
      </c>
      <c r="G85" s="2"/>
      <c r="H85" s="6">
        <v>3700</v>
      </c>
      <c r="I85" s="2"/>
      <c r="J85" s="7">
        <f t="shared" si="62"/>
        <v>2.8544427086346891E-3</v>
      </c>
      <c r="K85" s="2"/>
      <c r="L85" s="6">
        <f t="shared" si="63"/>
        <v>-1988.23</v>
      </c>
      <c r="M85" s="2"/>
      <c r="N85" s="7">
        <f t="shared" si="64"/>
        <v>-0.53735945945945951</v>
      </c>
      <c r="O85" s="11"/>
      <c r="P85" s="6">
        <v>26642.92</v>
      </c>
      <c r="Q85" s="2"/>
      <c r="R85" s="7">
        <f t="shared" si="65"/>
        <v>3.3059163600326867E-3</v>
      </c>
      <c r="S85" s="2"/>
      <c r="T85" s="6">
        <v>34750</v>
      </c>
      <c r="U85" s="2"/>
      <c r="V85" s="7">
        <f t="shared" si="66"/>
        <v>4.3732123314771621E-3</v>
      </c>
      <c r="W85" s="2"/>
      <c r="X85" s="6">
        <f t="shared" si="67"/>
        <v>-8107.0800000000017</v>
      </c>
      <c r="Y85" s="2"/>
      <c r="Z85" s="7">
        <f t="shared" si="68"/>
        <v>-0.23329726618705041</v>
      </c>
    </row>
    <row r="86" spans="1:26" s="24" customFormat="1" hidden="1" outlineLevel="2" x14ac:dyDescent="0.25">
      <c r="A86" s="25"/>
      <c r="B86" s="11" t="str">
        <f>CONCATENATE("          ", "6241", " - ", "OFFICE EXPENSE")</f>
        <v xml:space="preserve">          6241 - OFFICE EXPENSE</v>
      </c>
      <c r="C86" s="11"/>
      <c r="D86" s="6">
        <v>1056.43</v>
      </c>
      <c r="E86" s="2"/>
      <c r="F86" s="7">
        <f t="shared" si="61"/>
        <v>7.9919962475904604E-4</v>
      </c>
      <c r="G86" s="2"/>
      <c r="H86" s="6">
        <v>1379</v>
      </c>
      <c r="I86" s="2"/>
      <c r="J86" s="7">
        <f t="shared" si="62"/>
        <v>1.0638585122181719E-3</v>
      </c>
      <c r="K86" s="2"/>
      <c r="L86" s="6">
        <f t="shared" si="63"/>
        <v>-322.56999999999994</v>
      </c>
      <c r="M86" s="2"/>
      <c r="N86" s="7">
        <f t="shared" si="64"/>
        <v>-0.23391588107324143</v>
      </c>
      <c r="O86" s="11"/>
      <c r="P86" s="6">
        <v>27429.62</v>
      </c>
      <c r="Q86" s="2"/>
      <c r="R86" s="7">
        <f t="shared" si="65"/>
        <v>3.4035319517335106E-3</v>
      </c>
      <c r="S86" s="2"/>
      <c r="T86" s="6">
        <v>10858</v>
      </c>
      <c r="U86" s="2"/>
      <c r="V86" s="7">
        <f t="shared" si="66"/>
        <v>1.3664558128109073E-3</v>
      </c>
      <c r="W86" s="2"/>
      <c r="X86" s="6">
        <f t="shared" si="67"/>
        <v>16571.62</v>
      </c>
      <c r="Y86" s="2"/>
      <c r="Z86" s="7">
        <f t="shared" si="68"/>
        <v>1.5262129305581138</v>
      </c>
    </row>
    <row r="87" spans="1:26" s="24" customFormat="1" hidden="1" outlineLevel="2" x14ac:dyDescent="0.25">
      <c r="A87" s="25"/>
      <c r="B87" s="11" t="str">
        <f>CONCATENATE("          ", "6243", " - ", "PAPER SUPPLIES")</f>
        <v xml:space="preserve">          6243 - PAPER SUPPLIES</v>
      </c>
      <c r="C87" s="11"/>
      <c r="D87" s="6">
        <v>7969.01</v>
      </c>
      <c r="E87" s="2"/>
      <c r="F87" s="7">
        <f t="shared" si="61"/>
        <v>6.0286339858779897E-3</v>
      </c>
      <c r="G87" s="2"/>
      <c r="H87" s="6">
        <v>6859</v>
      </c>
      <c r="I87" s="2"/>
      <c r="J87" s="7">
        <f t="shared" si="62"/>
        <v>5.2915196050068464E-3</v>
      </c>
      <c r="K87" s="2"/>
      <c r="L87" s="6">
        <f t="shared" si="63"/>
        <v>1110.0100000000002</v>
      </c>
      <c r="M87" s="2"/>
      <c r="N87" s="7">
        <f t="shared" si="64"/>
        <v>0.16183262866307044</v>
      </c>
      <c r="O87" s="11"/>
      <c r="P87" s="6">
        <v>50112.780000000006</v>
      </c>
      <c r="Q87" s="2"/>
      <c r="R87" s="7">
        <f t="shared" si="65"/>
        <v>6.2181119505188938E-3</v>
      </c>
      <c r="S87" s="2"/>
      <c r="T87" s="6">
        <v>53063</v>
      </c>
      <c r="U87" s="2"/>
      <c r="V87" s="7">
        <f t="shared" si="66"/>
        <v>6.6778637682064074E-3</v>
      </c>
      <c r="W87" s="2"/>
      <c r="X87" s="6">
        <f t="shared" si="67"/>
        <v>-2950.2199999999939</v>
      </c>
      <c r="Y87" s="2"/>
      <c r="Z87" s="7">
        <f t="shared" si="68"/>
        <v>-5.5598439590675119E-2</v>
      </c>
    </row>
    <row r="88" spans="1:26" s="24" customFormat="1" hidden="1" outlineLevel="2" x14ac:dyDescent="0.25">
      <c r="A88" s="25"/>
      <c r="B88" s="11" t="str">
        <f>CONCATENATE("          ", "6244", " - ", "SAFETY SUPPLY EXPENSE")</f>
        <v xml:space="preserve">          6244 - SAFETY SUPPLY EXPENSE</v>
      </c>
      <c r="C88" s="11"/>
      <c r="D88" s="6"/>
      <c r="E88" s="2"/>
      <c r="F88" s="7">
        <f t="shared" si="61"/>
        <v>0</v>
      </c>
      <c r="G88" s="2"/>
      <c r="H88" s="6">
        <v>125</v>
      </c>
      <c r="I88" s="2"/>
      <c r="J88" s="7">
        <f t="shared" si="62"/>
        <v>9.6433875291712472E-5</v>
      </c>
      <c r="K88" s="2"/>
      <c r="L88" s="6">
        <f t="shared" si="63"/>
        <v>-125</v>
      </c>
      <c r="M88" s="2"/>
      <c r="N88" s="7">
        <f t="shared" si="64"/>
        <v>-1</v>
      </c>
      <c r="O88" s="11"/>
      <c r="P88" s="6"/>
      <c r="Q88" s="2"/>
      <c r="R88" s="7">
        <f t="shared" si="65"/>
        <v>0</v>
      </c>
      <c r="S88" s="2"/>
      <c r="T88" s="6">
        <v>1000</v>
      </c>
      <c r="U88" s="2"/>
      <c r="V88" s="7">
        <f t="shared" si="66"/>
        <v>1.2584783687704062E-4</v>
      </c>
      <c r="W88" s="2"/>
      <c r="X88" s="6">
        <f t="shared" si="67"/>
        <v>-1000</v>
      </c>
      <c r="Y88" s="2"/>
      <c r="Z88" s="7">
        <f t="shared" si="68"/>
        <v>-1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6"/>
      <c r="E89" s="2"/>
      <c r="F89" s="7">
        <f t="shared" si="61"/>
        <v>0</v>
      </c>
      <c r="G89" s="2"/>
      <c r="H89" s="6">
        <v>160</v>
      </c>
      <c r="I89" s="2"/>
      <c r="J89" s="7">
        <f t="shared" si="62"/>
        <v>1.2343536037339196E-4</v>
      </c>
      <c r="K89" s="2"/>
      <c r="L89" s="6">
        <f t="shared" si="63"/>
        <v>-160</v>
      </c>
      <c r="M89" s="2"/>
      <c r="N89" s="7">
        <f t="shared" si="64"/>
        <v>-1</v>
      </c>
      <c r="O89" s="11"/>
      <c r="P89" s="6">
        <v>1351.44</v>
      </c>
      <c r="Q89" s="2"/>
      <c r="R89" s="7">
        <f t="shared" si="65"/>
        <v>1.6768986303312755E-4</v>
      </c>
      <c r="S89" s="2"/>
      <c r="T89" s="6">
        <v>1270</v>
      </c>
      <c r="U89" s="2"/>
      <c r="V89" s="7">
        <f t="shared" si="66"/>
        <v>1.5982675283384161E-4</v>
      </c>
      <c r="W89" s="2"/>
      <c r="X89" s="6">
        <f t="shared" si="67"/>
        <v>81.440000000000055</v>
      </c>
      <c r="Y89" s="2"/>
      <c r="Z89" s="7">
        <f t="shared" si="68"/>
        <v>6.412598425196854E-2</v>
      </c>
    </row>
    <row r="90" spans="1:26" s="24" customFormat="1" hidden="1" outlineLevel="2" x14ac:dyDescent="0.25">
      <c r="A90" s="25"/>
      <c r="B90" s="11" t="str">
        <f>CONCATENATE("          ", "6247", " - ", "STORE SUPPLIES")</f>
        <v xml:space="preserve">          6247 - STORE SUPPLIES</v>
      </c>
      <c r="C90" s="11"/>
      <c r="D90" s="6"/>
      <c r="E90" s="2"/>
      <c r="F90" s="7">
        <f t="shared" si="61"/>
        <v>0</v>
      </c>
      <c r="G90" s="2"/>
      <c r="H90" s="6">
        <v>30</v>
      </c>
      <c r="I90" s="2"/>
      <c r="J90" s="7">
        <f t="shared" si="62"/>
        <v>2.3144130070010993E-5</v>
      </c>
      <c r="K90" s="2"/>
      <c r="L90" s="6">
        <f t="shared" si="63"/>
        <v>-30</v>
      </c>
      <c r="M90" s="2"/>
      <c r="N90" s="7">
        <f t="shared" si="64"/>
        <v>-1</v>
      </c>
      <c r="O90" s="11"/>
      <c r="P90" s="6">
        <v>667.78</v>
      </c>
      <c r="Q90" s="2"/>
      <c r="R90" s="7">
        <f t="shared" si="65"/>
        <v>8.2859717587360085E-5</v>
      </c>
      <c r="S90" s="2"/>
      <c r="T90" s="6">
        <v>151</v>
      </c>
      <c r="U90" s="2"/>
      <c r="V90" s="7">
        <f t="shared" si="66"/>
        <v>1.9003023368433135E-5</v>
      </c>
      <c r="W90" s="2"/>
      <c r="X90" s="6">
        <f t="shared" si="67"/>
        <v>516.78</v>
      </c>
      <c r="Y90" s="2"/>
      <c r="Z90" s="7">
        <f t="shared" si="68"/>
        <v>3.4223841059602647</v>
      </c>
    </row>
    <row r="91" spans="1:26" s="24" customFormat="1" hidden="1" outlineLevel="2" x14ac:dyDescent="0.25">
      <c r="A91" s="25"/>
      <c r="B91" s="11" t="str">
        <f>CONCATENATE("          ", "6248", " - ", "UNIFORMS")</f>
        <v xml:space="preserve">          6248 - UNIFORMS</v>
      </c>
      <c r="C91" s="11"/>
      <c r="D91" s="6"/>
      <c r="E91" s="2"/>
      <c r="F91" s="7">
        <f t="shared" si="61"/>
        <v>0</v>
      </c>
      <c r="G91" s="2"/>
      <c r="H91" s="6">
        <v>375</v>
      </c>
      <c r="I91" s="2"/>
      <c r="J91" s="7">
        <f t="shared" si="62"/>
        <v>2.8930162587513742E-4</v>
      </c>
      <c r="K91" s="2"/>
      <c r="L91" s="6">
        <f t="shared" si="63"/>
        <v>-375</v>
      </c>
      <c r="M91" s="2"/>
      <c r="N91" s="7">
        <f t="shared" si="64"/>
        <v>-1</v>
      </c>
      <c r="O91" s="11"/>
      <c r="P91" s="6">
        <v>-1696.34</v>
      </c>
      <c r="Q91" s="2"/>
      <c r="R91" s="7">
        <f t="shared" si="65"/>
        <v>-2.104858685976555E-4</v>
      </c>
      <c r="S91" s="2"/>
      <c r="T91" s="6">
        <v>15500</v>
      </c>
      <c r="U91" s="2"/>
      <c r="V91" s="7">
        <f t="shared" si="66"/>
        <v>1.95064147159413E-3</v>
      </c>
      <c r="W91" s="2"/>
      <c r="X91" s="6">
        <f t="shared" si="67"/>
        <v>-17196.34</v>
      </c>
      <c r="Y91" s="2"/>
      <c r="Z91" s="7">
        <f t="shared" si="68"/>
        <v>-1.1094412903225808</v>
      </c>
    </row>
    <row r="92" spans="1:26" s="27" customFormat="1" outlineLevel="1" collapsed="1" x14ac:dyDescent="0.25">
      <c r="A92" s="26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SUM(OSRRefD22_15x_0)</f>
        <v>736.8</v>
      </c>
      <c r="E92" s="1"/>
      <c r="F92" s="5">
        <f t="shared" ref="F92:F98" si="69">IF(D$12=0,0,D92/D$12)</f>
        <v>5.573964044209886E-4</v>
      </c>
      <c r="G92" s="1"/>
      <c r="H92" s="1">
        <f>SUM(OSRRefH22_15x_0)</f>
        <v>793</v>
      </c>
      <c r="I92" s="1"/>
      <c r="J92" s="5">
        <f t="shared" ref="J92:J98" si="70">IF(H$12=0,0,H92/H$12)</f>
        <v>6.1177650485062394E-4</v>
      </c>
      <c r="K92" s="1"/>
      <c r="L92" s="1">
        <f t="shared" ref="L92:L98" si="71">+D92-H92</f>
        <v>-56.200000000000045</v>
      </c>
      <c r="M92" s="1"/>
      <c r="N92" s="5">
        <f t="shared" ref="N92:N98" si="72">IF(H92=0,0,L92/H92)</f>
        <v>-7.0870113493064366E-2</v>
      </c>
      <c r="O92" s="13"/>
      <c r="P92" s="1">
        <f>SUM(OSRRefP22_15x_0)</f>
        <v>5169</v>
      </c>
      <c r="Q92" s="1"/>
      <c r="R92" s="5">
        <f t="shared" ref="R92:R98" si="73">IF(P$12=0,0,P92/P$12)</f>
        <v>6.4138171285313167E-4</v>
      </c>
      <c r="S92" s="1"/>
      <c r="T92" s="1">
        <f>SUM(OSRRefT22_15x_0)</f>
        <v>6344</v>
      </c>
      <c r="U92" s="1"/>
      <c r="V92" s="5">
        <f t="shared" ref="V92:V98" si="74">IF(T$12=0,0,T92/T$12)</f>
        <v>7.9837867714794577E-4</v>
      </c>
      <c r="W92" s="1"/>
      <c r="X92" s="1">
        <f t="shared" ref="X92:X98" si="75">+P92-T92</f>
        <v>-1175</v>
      </c>
      <c r="Y92" s="1"/>
      <c r="Z92" s="5">
        <f t="shared" ref="Z92:Z98" si="76">IF(T92=0,0,X92/T92)</f>
        <v>-0.18521437578814628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6">
        <v>736.8</v>
      </c>
      <c r="E93" s="2"/>
      <c r="F93" s="7">
        <f t="shared" si="69"/>
        <v>5.573964044209886E-4</v>
      </c>
      <c r="G93" s="2"/>
      <c r="H93" s="6">
        <v>793</v>
      </c>
      <c r="I93" s="2"/>
      <c r="J93" s="7">
        <f t="shared" si="70"/>
        <v>6.1177650485062394E-4</v>
      </c>
      <c r="K93" s="2"/>
      <c r="L93" s="6">
        <f t="shared" si="71"/>
        <v>-56.200000000000045</v>
      </c>
      <c r="M93" s="2"/>
      <c r="N93" s="7">
        <f t="shared" si="72"/>
        <v>-7.0870113493064366E-2</v>
      </c>
      <c r="O93" s="11"/>
      <c r="P93" s="6">
        <v>5169</v>
      </c>
      <c r="Q93" s="2"/>
      <c r="R93" s="7">
        <f t="shared" si="73"/>
        <v>6.4138171285313167E-4</v>
      </c>
      <c r="S93" s="2"/>
      <c r="T93" s="6">
        <v>6344</v>
      </c>
      <c r="U93" s="2"/>
      <c r="V93" s="7">
        <f t="shared" si="74"/>
        <v>7.9837867714794577E-4</v>
      </c>
      <c r="W93" s="2"/>
      <c r="X93" s="6">
        <f t="shared" si="75"/>
        <v>-1175</v>
      </c>
      <c r="Y93" s="2"/>
      <c r="Z93" s="7">
        <f t="shared" si="76"/>
        <v>-0.18521437578814628</v>
      </c>
    </row>
    <row r="94" spans="1:26" s="27" customFormat="1" outlineLevel="1" collapsed="1" x14ac:dyDescent="0.25">
      <c r="A94" s="26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SUM(OSRRefD22_16x_0)</f>
        <v>363.54</v>
      </c>
      <c r="E94" s="1"/>
      <c r="F94" s="5">
        <f t="shared" si="69"/>
        <v>2.7502156468947641E-4</v>
      </c>
      <c r="G94" s="1"/>
      <c r="H94" s="1">
        <f>SUM(OSRRefH22_16x_0)</f>
        <v>1000</v>
      </c>
      <c r="I94" s="1"/>
      <c r="J94" s="5">
        <f t="shared" si="70"/>
        <v>7.7147100233369978E-4</v>
      </c>
      <c r="K94" s="1"/>
      <c r="L94" s="1">
        <f t="shared" si="71"/>
        <v>-636.46</v>
      </c>
      <c r="M94" s="1"/>
      <c r="N94" s="5">
        <f t="shared" si="72"/>
        <v>-0.63646000000000003</v>
      </c>
      <c r="O94" s="13"/>
      <c r="P94" s="1">
        <f>SUM(OSRRefP22_16x_0)</f>
        <v>6398.23</v>
      </c>
      <c r="Q94" s="1"/>
      <c r="R94" s="5">
        <f t="shared" si="73"/>
        <v>7.939074708122059E-4</v>
      </c>
      <c r="S94" s="1"/>
      <c r="T94" s="1">
        <f>SUM(OSRRefT22_16x_0)</f>
        <v>14137</v>
      </c>
      <c r="U94" s="1"/>
      <c r="V94" s="5">
        <f t="shared" si="74"/>
        <v>1.7791108699307236E-3</v>
      </c>
      <c r="W94" s="1"/>
      <c r="X94" s="1">
        <f t="shared" si="75"/>
        <v>-7738.77</v>
      </c>
      <c r="Y94" s="1"/>
      <c r="Z94" s="5">
        <f t="shared" si="76"/>
        <v>-0.54741246374761265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6">
        <v>363.54</v>
      </c>
      <c r="E95" s="2"/>
      <c r="F95" s="7">
        <f t="shared" si="69"/>
        <v>2.7502156468947641E-4</v>
      </c>
      <c r="G95" s="2"/>
      <c r="H95" s="6">
        <v>1000</v>
      </c>
      <c r="I95" s="2"/>
      <c r="J95" s="7">
        <f t="shared" si="70"/>
        <v>7.7147100233369978E-4</v>
      </c>
      <c r="K95" s="2"/>
      <c r="L95" s="6">
        <f t="shared" si="71"/>
        <v>-636.46</v>
      </c>
      <c r="M95" s="2"/>
      <c r="N95" s="7">
        <f t="shared" si="72"/>
        <v>-0.63646000000000003</v>
      </c>
      <c r="O95" s="11"/>
      <c r="P95" s="6">
        <v>6398.23</v>
      </c>
      <c r="Q95" s="2"/>
      <c r="R95" s="7">
        <f t="shared" si="73"/>
        <v>7.939074708122059E-4</v>
      </c>
      <c r="S95" s="2"/>
      <c r="T95" s="6">
        <v>14137</v>
      </c>
      <c r="U95" s="2"/>
      <c r="V95" s="7">
        <f t="shared" si="74"/>
        <v>1.7791108699307236E-3</v>
      </c>
      <c r="W95" s="2"/>
      <c r="X95" s="6">
        <f t="shared" si="75"/>
        <v>-7738.77</v>
      </c>
      <c r="Y95" s="2"/>
      <c r="Z95" s="7">
        <f t="shared" si="76"/>
        <v>-0.54741246374761265</v>
      </c>
    </row>
    <row r="96" spans="1:26" s="27" customFormat="1" outlineLevel="1" collapsed="1" x14ac:dyDescent="0.25">
      <c r="A96" s="26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SUM(OSRRefD22_17x_0)</f>
        <v>0</v>
      </c>
      <c r="E96" s="1"/>
      <c r="F96" s="5">
        <f t="shared" si="69"/>
        <v>0</v>
      </c>
      <c r="G96" s="1"/>
      <c r="H96" s="1">
        <f>SUM(OSRRefH22_17x_0)</f>
        <v>410</v>
      </c>
      <c r="I96" s="1"/>
      <c r="J96" s="5">
        <f t="shared" si="70"/>
        <v>3.1630311095681691E-4</v>
      </c>
      <c r="K96" s="1"/>
      <c r="L96" s="1">
        <f t="shared" si="71"/>
        <v>-410</v>
      </c>
      <c r="M96" s="1"/>
      <c r="N96" s="5">
        <f t="shared" si="72"/>
        <v>-1</v>
      </c>
      <c r="O96" s="13"/>
      <c r="P96" s="1">
        <f>SUM(OSRRefP22_17x_0)</f>
        <v>1894.26</v>
      </c>
      <c r="Q96" s="1"/>
      <c r="R96" s="5">
        <f t="shared" si="73"/>
        <v>2.3504424905961951E-4</v>
      </c>
      <c r="S96" s="1"/>
      <c r="T96" s="1">
        <f>SUM(OSRRefT22_17x_0)</f>
        <v>3280</v>
      </c>
      <c r="U96" s="1"/>
      <c r="V96" s="5">
        <f t="shared" si="74"/>
        <v>4.1278090495669331E-4</v>
      </c>
      <c r="W96" s="1"/>
      <c r="X96" s="1">
        <f t="shared" si="75"/>
        <v>-1385.74</v>
      </c>
      <c r="Y96" s="1"/>
      <c r="Z96" s="5">
        <f t="shared" si="76"/>
        <v>-0.42248170731707319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6"/>
      <c r="E97" s="2"/>
      <c r="F97" s="7">
        <f t="shared" si="69"/>
        <v>0</v>
      </c>
      <c r="G97" s="2"/>
      <c r="H97" s="6">
        <v>300</v>
      </c>
      <c r="I97" s="2"/>
      <c r="J97" s="7">
        <f t="shared" si="70"/>
        <v>2.3144130070010992E-4</v>
      </c>
      <c r="K97" s="2"/>
      <c r="L97" s="6">
        <f t="shared" si="71"/>
        <v>-300</v>
      </c>
      <c r="M97" s="2"/>
      <c r="N97" s="7">
        <f t="shared" si="72"/>
        <v>-1</v>
      </c>
      <c r="O97" s="11"/>
      <c r="P97" s="6">
        <v>1894.26</v>
      </c>
      <c r="Q97" s="2"/>
      <c r="R97" s="7">
        <f t="shared" si="73"/>
        <v>2.3504424905961951E-4</v>
      </c>
      <c r="S97" s="2"/>
      <c r="T97" s="6">
        <v>2400</v>
      </c>
      <c r="U97" s="2"/>
      <c r="V97" s="7">
        <f t="shared" si="74"/>
        <v>3.0203480850489754E-4</v>
      </c>
      <c r="W97" s="2"/>
      <c r="X97" s="6">
        <f t="shared" si="75"/>
        <v>-505.74</v>
      </c>
      <c r="Y97" s="2"/>
      <c r="Z97" s="7">
        <f t="shared" si="76"/>
        <v>-0.210725</v>
      </c>
    </row>
    <row r="98" spans="1:26" s="24" customFormat="1" hidden="1" outlineLevel="2" x14ac:dyDescent="0.25">
      <c r="A98" s="25"/>
      <c r="B98" s="11" t="str">
        <f>CONCATENATE("          ", "6298", " - ", "VEHICLE MILEAGE")</f>
        <v xml:space="preserve">          6298 - VEHICLE MILEAGE</v>
      </c>
      <c r="C98" s="11"/>
      <c r="D98" s="6"/>
      <c r="E98" s="2"/>
      <c r="F98" s="7">
        <f t="shared" si="69"/>
        <v>0</v>
      </c>
      <c r="G98" s="2"/>
      <c r="H98" s="6">
        <v>110</v>
      </c>
      <c r="I98" s="2"/>
      <c r="J98" s="7">
        <f t="shared" si="70"/>
        <v>8.486181025670697E-5</v>
      </c>
      <c r="K98" s="2"/>
      <c r="L98" s="6">
        <f t="shared" si="71"/>
        <v>-110</v>
      </c>
      <c r="M98" s="2"/>
      <c r="N98" s="7">
        <f t="shared" si="72"/>
        <v>-1</v>
      </c>
      <c r="O98" s="11"/>
      <c r="P98" s="6"/>
      <c r="Q98" s="2"/>
      <c r="R98" s="7">
        <f t="shared" si="73"/>
        <v>0</v>
      </c>
      <c r="S98" s="2"/>
      <c r="T98" s="6">
        <v>880</v>
      </c>
      <c r="U98" s="2"/>
      <c r="V98" s="7">
        <f t="shared" si="74"/>
        <v>1.1074609645179576E-4</v>
      </c>
      <c r="W98" s="2"/>
      <c r="X98" s="6">
        <f t="shared" si="75"/>
        <v>-880</v>
      </c>
      <c r="Y98" s="2"/>
      <c r="Z98" s="7">
        <f t="shared" si="76"/>
        <v>-1</v>
      </c>
    </row>
    <row r="99" spans="1:26" s="53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3</v>
      </c>
      <c r="C102" s="28"/>
      <c r="D102" s="21">
        <f>+D25-D27+D100</f>
        <v>403842.24000000011</v>
      </c>
      <c r="E102" s="14"/>
      <c r="F102" s="22">
        <f>IF(D$12=0,0,D102/D$12)</f>
        <v>0.30551060332426444</v>
      </c>
      <c r="G102" s="14"/>
      <c r="H102" s="21">
        <f>+H25-H27+H100</f>
        <v>425655.36288037954</v>
      </c>
      <c r="I102" s="14"/>
      <c r="J102" s="22">
        <f>IF(H$12=0,0,H102/H$12)</f>
        <v>0.32838076945004113</v>
      </c>
      <c r="K102" s="15"/>
      <c r="L102" s="21">
        <f>+D102-H102</f>
        <v>-21813.122880379437</v>
      </c>
      <c r="M102" s="15"/>
      <c r="N102" s="22">
        <f>IF(H102=0,0,L102/H102)</f>
        <v>-5.1245972170470465E-2</v>
      </c>
      <c r="O102" s="29"/>
      <c r="P102" s="21">
        <f>+P25-P27+P100</f>
        <v>2171373.6499999994</v>
      </c>
      <c r="Q102" s="14"/>
      <c r="R102" s="22">
        <f>IF(P$12=0,0,P102/P$12)</f>
        <v>0.26942916441887327</v>
      </c>
      <c r="S102" s="14"/>
      <c r="T102" s="21">
        <f>+T25-T27+T100</f>
        <v>1992590.8851403175</v>
      </c>
      <c r="U102" s="14"/>
      <c r="V102" s="22">
        <f>IF(T$12=0,0,T102/T$12)</f>
        <v>0.25076325267581667</v>
      </c>
      <c r="W102" s="15"/>
      <c r="X102" s="21">
        <f>+P102-T102</f>
        <v>178782.76485968195</v>
      </c>
      <c r="Y102" s="15"/>
      <c r="Z102" s="22">
        <f>IF(T102=0,0,X102/T102)</f>
        <v>8.9723769285982719E-2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118782.76</v>
      </c>
      <c r="E104" s="4"/>
      <c r="F104" s="12">
        <f>IF(D$12=0,0,D104/D$12)</f>
        <v>8.9860319396310034E-2</v>
      </c>
      <c r="G104" s="4"/>
      <c r="H104" s="4">
        <v>136767</v>
      </c>
      <c r="I104" s="4"/>
      <c r="J104" s="12">
        <f>IF(H$12=0,0,H104/H$12)</f>
        <v>0.10551177457617311</v>
      </c>
      <c r="K104" s="4"/>
      <c r="L104" s="4">
        <f>+D104-H104</f>
        <v>-17984.240000000005</v>
      </c>
      <c r="M104" s="4"/>
      <c r="N104" s="12">
        <f>IF(H104=0,0,L104/H104)</f>
        <v>-0.13149546308685578</v>
      </c>
      <c r="O104" s="10"/>
      <c r="P104" s="4">
        <v>821388.08</v>
      </c>
      <c r="Q104" s="4"/>
      <c r="R104" s="12">
        <f>IF(P$12=0,0,P104/P$12)</f>
        <v>0.10191977049091606</v>
      </c>
      <c r="S104" s="4"/>
      <c r="T104" s="4">
        <v>955528</v>
      </c>
      <c r="U104" s="4"/>
      <c r="V104" s="12">
        <f>IF(T$12=0,0,T104/T$12)</f>
        <v>0.12025113187544488</v>
      </c>
      <c r="W104" s="4"/>
      <c r="X104" s="4">
        <f>+P104-T104</f>
        <v>-134139.92000000004</v>
      </c>
      <c r="Y104" s="4"/>
      <c r="Z104" s="12">
        <f>IF(T104=0,0,X104/T104)</f>
        <v>-0.14038303430145432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4</v>
      </c>
      <c r="C106" s="28"/>
      <c r="D106" s="31">
        <f>+D102-D104</f>
        <v>285059.4800000001</v>
      </c>
      <c r="E106" s="14"/>
      <c r="F106" s="32">
        <f>IF(D$12=0,0,D106/D$12)</f>
        <v>0.21565028392795438</v>
      </c>
      <c r="G106" s="14"/>
      <c r="H106" s="31">
        <f>+H102-H104</f>
        <v>288888.36288037954</v>
      </c>
      <c r="I106" s="14"/>
      <c r="J106" s="32">
        <f>IF(H$12=0,0,H106/H$12)</f>
        <v>0.22286899487386799</v>
      </c>
      <c r="K106" s="15"/>
      <c r="L106" s="31">
        <f>D106-H106</f>
        <v>-3828.8828803794459</v>
      </c>
      <c r="M106" s="15"/>
      <c r="N106" s="32">
        <f>IF(H106=0,0,L106/H106)</f>
        <v>-1.3253849487751355E-2</v>
      </c>
      <c r="O106" s="29"/>
      <c r="P106" s="31">
        <f>+P102-P104</f>
        <v>1349985.5699999994</v>
      </c>
      <c r="Q106" s="14"/>
      <c r="R106" s="32">
        <f>IF(P$12=0,0,P106/P$12)</f>
        <v>0.16750939392795722</v>
      </c>
      <c r="S106" s="14"/>
      <c r="T106" s="31">
        <f>+T102-T104</f>
        <v>1037062.8851403175</v>
      </c>
      <c r="U106" s="14"/>
      <c r="V106" s="32">
        <f>IF(T$12=0,0,T106/T$12)</f>
        <v>0.13051212080037181</v>
      </c>
      <c r="W106" s="15"/>
      <c r="X106" s="31">
        <f>P106-T106</f>
        <v>312922.68485968187</v>
      </c>
      <c r="Y106" s="15"/>
      <c r="Z106" s="32">
        <f>IF(T106=0,0,X106/T106)</f>
        <v>0.30173935384578204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5</v>
      </c>
      <c r="C109" s="28"/>
      <c r="D109" s="33">
        <f>SUM(D106:D108)</f>
        <v>285059.4800000001</v>
      </c>
      <c r="E109" s="14"/>
      <c r="F109" s="30">
        <f>IF(D$12=0,0,D109/D$12)</f>
        <v>0.21565028392795438</v>
      </c>
      <c r="G109" s="14"/>
      <c r="H109" s="33">
        <f>SUM(H106:H108)</f>
        <v>288888.36288037954</v>
      </c>
      <c r="I109" s="14"/>
      <c r="J109" s="30">
        <f>IF(H$12=0,0,H109/H$12)</f>
        <v>0.22286899487386799</v>
      </c>
      <c r="K109" s="15"/>
      <c r="L109" s="33">
        <f>+D109-H109</f>
        <v>-3828.8828803794459</v>
      </c>
      <c r="M109" s="15"/>
      <c r="N109" s="30">
        <f>IF(H109=0,0,L109/H109)</f>
        <v>-1.3253849487751355E-2</v>
      </c>
      <c r="O109" s="29"/>
      <c r="P109" s="33">
        <f>SUM(P106:P108)</f>
        <v>1349985.5699999994</v>
      </c>
      <c r="Q109" s="14"/>
      <c r="R109" s="30">
        <f>IF(P$12=0,0,P109/P$12)</f>
        <v>0.16750939392795722</v>
      </c>
      <c r="S109" s="14"/>
      <c r="T109" s="33">
        <f>SUM(T106:T108)</f>
        <v>1037062.8851403175</v>
      </c>
      <c r="U109" s="14"/>
      <c r="V109" s="30">
        <f>IF(T$12=0,0,T109/T$12)</f>
        <v>0.13051212080037181</v>
      </c>
      <c r="W109" s="15"/>
      <c r="X109" s="33">
        <f>+P109-T109</f>
        <v>312922.68485968187</v>
      </c>
      <c r="Y109" s="15"/>
      <c r="Z109" s="30">
        <f>IF(T109=0,0,X109/T109)</f>
        <v>0.30173935384578204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9">
        <v>43908.494277083337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63" t="s">
        <v>314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7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54350.12</v>
      </c>
      <c r="E18" s="20"/>
      <c r="F18" s="34">
        <f t="shared" ref="F18:F28" si="0">IF(D$12=0,0,D18/D$12)</f>
        <v>0</v>
      </c>
      <c r="G18" s="20"/>
      <c r="H18" s="20">
        <f>SUM(OSRRefH22x_0)</f>
        <v>13408.050783619999</v>
      </c>
      <c r="I18" s="20"/>
      <c r="J18" s="34">
        <f t="shared" ref="J18:J28" si="1">IF(H$12=0,0,H18/H$12)</f>
        <v>0</v>
      </c>
      <c r="K18" s="4"/>
      <c r="L18" s="20">
        <f t="shared" ref="L18:L28" si="2">+D18-H18</f>
        <v>40942.069216380005</v>
      </c>
      <c r="M18" s="4"/>
      <c r="N18" s="34">
        <f t="shared" ref="N18:N28" si="3">IF(H18=0,0,L18/H18)</f>
        <v>3.0535437161676815</v>
      </c>
      <c r="O18" s="10"/>
      <c r="P18" s="20">
        <f>SUM(OSRRefP22x_0)</f>
        <v>162717.88</v>
      </c>
      <c r="Q18" s="20"/>
      <c r="R18" s="34">
        <f t="shared" ref="R18:R28" si="4">IF(P$12=0,0,P18/P$12)</f>
        <v>0</v>
      </c>
      <c r="S18" s="20"/>
      <c r="T18" s="20">
        <f>SUM(OSRRefT22x_0)</f>
        <v>115618.944356675</v>
      </c>
      <c r="U18" s="20"/>
      <c r="V18" s="34">
        <f t="shared" ref="V18:V28" si="5">IF(T$12=0,0,T18/T$12)</f>
        <v>0</v>
      </c>
      <c r="W18" s="4"/>
      <c r="X18" s="20">
        <f t="shared" ref="X18:X28" si="6">+P18-T18</f>
        <v>47098.935643325007</v>
      </c>
      <c r="Y18" s="4"/>
      <c r="Z18" s="34">
        <f t="shared" ref="Z18:Z28" si="7">IF(T18=0,0,X18/T18)</f>
        <v>0.40736348100557501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5554.93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1102.4098163800008</v>
      </c>
      <c r="M19" s="1"/>
      <c r="N19" s="5">
        <f t="shared" si="3"/>
        <v>0.24759232320508354</v>
      </c>
      <c r="O19" s="13"/>
      <c r="P19" s="1">
        <f>SUM(OSRRefP22_0x_0)</f>
        <v>46812.45</v>
      </c>
      <c r="Q19" s="1"/>
      <c r="R19" s="5">
        <f t="shared" si="4"/>
        <v>0</v>
      </c>
      <c r="S19" s="1"/>
      <c r="T19" s="1">
        <f>SUM(OSRRefT22_0x_0)</f>
        <v>37476.801606675006</v>
      </c>
      <c r="U19" s="1"/>
      <c r="V19" s="5">
        <f t="shared" si="5"/>
        <v>0</v>
      </c>
      <c r="W19" s="1"/>
      <c r="X19" s="1">
        <f t="shared" si="6"/>
        <v>9335.648393324991</v>
      </c>
      <c r="Y19" s="1"/>
      <c r="Z19" s="5">
        <f t="shared" si="7"/>
        <v>0.24910472593963875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623.1</v>
      </c>
      <c r="E20" s="2"/>
      <c r="F20" s="7">
        <f t="shared" si="0"/>
        <v>0</v>
      </c>
      <c r="G20" s="2"/>
      <c r="H20" s="6">
        <v>623.33945201999995</v>
      </c>
      <c r="I20" s="2"/>
      <c r="J20" s="7">
        <f t="shared" si="1"/>
        <v>0</v>
      </c>
      <c r="K20" s="2"/>
      <c r="L20" s="6">
        <f t="shared" si="2"/>
        <v>-0.2394520199999306</v>
      </c>
      <c r="M20" s="2"/>
      <c r="N20" s="7">
        <f t="shared" si="3"/>
        <v>-3.8414385488349894E-4</v>
      </c>
      <c r="O20" s="11"/>
      <c r="P20" s="6">
        <v>6161.74</v>
      </c>
      <c r="Q20" s="2"/>
      <c r="R20" s="7">
        <f t="shared" si="4"/>
        <v>0</v>
      </c>
      <c r="S20" s="2"/>
      <c r="T20" s="6">
        <v>5454.220205175</v>
      </c>
      <c r="U20" s="2"/>
      <c r="V20" s="7">
        <f t="shared" si="5"/>
        <v>0</v>
      </c>
      <c r="W20" s="2"/>
      <c r="X20" s="6">
        <f t="shared" si="6"/>
        <v>707.51979482499974</v>
      </c>
      <c r="Y20" s="2"/>
      <c r="Z20" s="7">
        <f t="shared" si="7"/>
        <v>0.12971969744707049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316.02999999999997</v>
      </c>
      <c r="E21" s="2"/>
      <c r="F21" s="7">
        <f t="shared" si="0"/>
        <v>0</v>
      </c>
      <c r="G21" s="2"/>
      <c r="H21" s="6">
        <v>316.02731920000002</v>
      </c>
      <c r="I21" s="2"/>
      <c r="J21" s="7">
        <f t="shared" si="1"/>
        <v>0</v>
      </c>
      <c r="K21" s="2"/>
      <c r="L21" s="6">
        <f t="shared" si="2"/>
        <v>2.6807999999505228E-3</v>
      </c>
      <c r="M21" s="2"/>
      <c r="N21" s="7">
        <f t="shared" si="3"/>
        <v>8.4828109377909844E-6</v>
      </c>
      <c r="O21" s="11"/>
      <c r="P21" s="6">
        <v>2534.81</v>
      </c>
      <c r="Q21" s="2"/>
      <c r="R21" s="7">
        <f t="shared" si="4"/>
        <v>0</v>
      </c>
      <c r="S21" s="2"/>
      <c r="T21" s="6">
        <v>2765.239043</v>
      </c>
      <c r="U21" s="2"/>
      <c r="V21" s="7">
        <f t="shared" si="5"/>
        <v>0</v>
      </c>
      <c r="W21" s="2"/>
      <c r="X21" s="6">
        <f t="shared" si="6"/>
        <v>-230.42904300000009</v>
      </c>
      <c r="Y21" s="2"/>
      <c r="Z21" s="7">
        <f t="shared" si="7"/>
        <v>-8.3330605208730257E-2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760.90000000000009</v>
      </c>
      <c r="M22" s="2"/>
      <c r="N22" s="7">
        <f t="shared" si="3"/>
        <v>0.38487607486090042</v>
      </c>
      <c r="O22" s="11"/>
      <c r="P22" s="6">
        <v>21859.4</v>
      </c>
      <c r="Q22" s="2"/>
      <c r="R22" s="7">
        <f t="shared" si="4"/>
        <v>0</v>
      </c>
      <c r="S22" s="2"/>
      <c r="T22" s="6">
        <v>15816</v>
      </c>
      <c r="U22" s="2"/>
      <c r="V22" s="7">
        <f t="shared" si="5"/>
        <v>0</v>
      </c>
      <c r="W22" s="2"/>
      <c r="X22" s="6">
        <f t="shared" si="6"/>
        <v>6043.4000000000015</v>
      </c>
      <c r="Y22" s="2"/>
      <c r="Z22" s="7">
        <f t="shared" si="7"/>
        <v>0.38210672736469409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21.18</v>
      </c>
      <c r="E23" s="2"/>
      <c r="F23" s="7">
        <f t="shared" si="0"/>
        <v>0</v>
      </c>
      <c r="G23" s="2"/>
      <c r="H23" s="6">
        <v>21.177088399999999</v>
      </c>
      <c r="I23" s="2"/>
      <c r="J23" s="7">
        <f t="shared" si="1"/>
        <v>0</v>
      </c>
      <c r="K23" s="2"/>
      <c r="L23" s="6">
        <f t="shared" si="2"/>
        <v>2.9116000000009024E-3</v>
      </c>
      <c r="M23" s="2"/>
      <c r="N23" s="7">
        <f t="shared" si="3"/>
        <v>1.3748821108008891E-4</v>
      </c>
      <c r="O23" s="11"/>
      <c r="P23" s="6">
        <v>208.93</v>
      </c>
      <c r="Q23" s="2"/>
      <c r="R23" s="7">
        <f t="shared" si="4"/>
        <v>0</v>
      </c>
      <c r="S23" s="2"/>
      <c r="T23" s="6">
        <v>185.29952349999999</v>
      </c>
      <c r="U23" s="2"/>
      <c r="V23" s="7">
        <f t="shared" si="5"/>
        <v>0</v>
      </c>
      <c r="W23" s="2"/>
      <c r="X23" s="6">
        <f t="shared" si="6"/>
        <v>23.630476500000015</v>
      </c>
      <c r="Y23" s="2"/>
      <c r="Z23" s="7">
        <f t="shared" si="7"/>
        <v>0.12752583521889096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700.47292400000003</v>
      </c>
      <c r="I24" s="2"/>
      <c r="J24" s="7">
        <f t="shared" si="1"/>
        <v>0</v>
      </c>
      <c r="K24" s="2"/>
      <c r="L24" s="6">
        <f t="shared" si="2"/>
        <v>-131.54292400000008</v>
      </c>
      <c r="M24" s="2"/>
      <c r="N24" s="7">
        <f t="shared" si="3"/>
        <v>-0.18779158978598876</v>
      </c>
      <c r="O24" s="11"/>
      <c r="P24" s="6">
        <v>4835.91</v>
      </c>
      <c r="Q24" s="2"/>
      <c r="R24" s="7">
        <f t="shared" si="4"/>
        <v>0</v>
      </c>
      <c r="S24" s="2"/>
      <c r="T24" s="6">
        <v>6129.1380850000005</v>
      </c>
      <c r="U24" s="2"/>
      <c r="V24" s="7">
        <f t="shared" si="5"/>
        <v>0</v>
      </c>
      <c r="W24" s="2"/>
      <c r="X24" s="6">
        <f t="shared" si="6"/>
        <v>-1293.2280850000006</v>
      </c>
      <c r="Y24" s="2"/>
      <c r="Z24" s="7">
        <f t="shared" si="7"/>
        <v>-0.21099672858814381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752.4</v>
      </c>
      <c r="E26" s="2"/>
      <c r="F26" s="7">
        <f t="shared" si="0"/>
        <v>0</v>
      </c>
      <c r="G26" s="2"/>
      <c r="H26" s="6">
        <v>570.15237999999999</v>
      </c>
      <c r="I26" s="2"/>
      <c r="J26" s="7">
        <f t="shared" si="1"/>
        <v>0</v>
      </c>
      <c r="K26" s="2"/>
      <c r="L26" s="6">
        <f t="shared" si="2"/>
        <v>182.24761999999998</v>
      </c>
      <c r="M26" s="2"/>
      <c r="N26" s="7">
        <f t="shared" si="3"/>
        <v>0.31964721431137405</v>
      </c>
      <c r="O26" s="11"/>
      <c r="P26" s="6">
        <v>6735.85</v>
      </c>
      <c r="Q26" s="2"/>
      <c r="R26" s="7">
        <f t="shared" si="4"/>
        <v>0</v>
      </c>
      <c r="S26" s="2"/>
      <c r="T26" s="6">
        <v>4988.8333249999996</v>
      </c>
      <c r="U26" s="2"/>
      <c r="V26" s="7">
        <f t="shared" si="5"/>
        <v>0</v>
      </c>
      <c r="W26" s="2"/>
      <c r="X26" s="6">
        <f t="shared" si="6"/>
        <v>1747.0166750000008</v>
      </c>
      <c r="Y26" s="2"/>
      <c r="Z26" s="7">
        <f t="shared" si="7"/>
        <v>0.3501854163468171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375.68</v>
      </c>
      <c r="E27" s="2"/>
      <c r="F27" s="7">
        <f t="shared" si="0"/>
        <v>0</v>
      </c>
      <c r="G27" s="2"/>
      <c r="H27" s="6">
        <v>244.35102000000001</v>
      </c>
      <c r="I27" s="2"/>
      <c r="J27" s="7">
        <f t="shared" si="1"/>
        <v>0</v>
      </c>
      <c r="K27" s="2"/>
      <c r="L27" s="6">
        <f t="shared" si="2"/>
        <v>131.32898</v>
      </c>
      <c r="M27" s="2"/>
      <c r="N27" s="7">
        <f t="shared" si="3"/>
        <v>0.53746033063418353</v>
      </c>
      <c r="O27" s="11"/>
      <c r="P27" s="6">
        <v>3423.78</v>
      </c>
      <c r="Q27" s="2"/>
      <c r="R27" s="7">
        <f t="shared" si="4"/>
        <v>0</v>
      </c>
      <c r="S27" s="2"/>
      <c r="T27" s="6">
        <v>2138.0714250000001</v>
      </c>
      <c r="U27" s="2"/>
      <c r="V27" s="7">
        <f t="shared" si="5"/>
        <v>0</v>
      </c>
      <c r="W27" s="2"/>
      <c r="X27" s="6">
        <f t="shared" si="6"/>
        <v>1285.7085750000001</v>
      </c>
      <c r="Y27" s="2"/>
      <c r="Z27" s="7">
        <f t="shared" si="7"/>
        <v>0.60134032940457083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159.71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159.71</v>
      </c>
      <c r="M28" s="2"/>
      <c r="N28" s="7">
        <f t="shared" si="3"/>
        <v>0</v>
      </c>
      <c r="O28" s="11"/>
      <c r="P28" s="6">
        <v>1052.03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1052.03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8349.0400000000009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1018.5094000000008</v>
      </c>
      <c r="M29" s="1"/>
      <c r="N29" s="5">
        <f t="shared" ref="N29:N39" si="11">IF(H29=0,0,L29/H29)</f>
        <v>0.13894074734508316</v>
      </c>
      <c r="O29" s="13"/>
      <c r="P29" s="1">
        <f>SUM(OSRRefP22_1x_0)</f>
        <v>62513.319999999992</v>
      </c>
      <c r="Q29" s="1"/>
      <c r="R29" s="5">
        <f t="shared" ref="R29:R39" si="12">IF(P$12=0,0,P29/P$12)</f>
        <v>0</v>
      </c>
      <c r="S29" s="1"/>
      <c r="T29" s="1">
        <f>SUM(OSRRefT22_1x_0)</f>
        <v>64142.142749999992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-1628.8227499999994</v>
      </c>
      <c r="Y29" s="1"/>
      <c r="Z29" s="5">
        <f t="shared" ref="Z29:Z39" si="15">IF(T29=0,0,X29/T29)</f>
        <v>-2.5393955988475294E-2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8349.0400000000009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8349.0400000000009</v>
      </c>
      <c r="M30" s="2"/>
      <c r="N30" s="7">
        <f t="shared" si="11"/>
        <v>0</v>
      </c>
      <c r="O30" s="11"/>
      <c r="P30" s="6">
        <v>62513.319999999992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62513.319999999992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7330.5306</v>
      </c>
      <c r="I31" s="2"/>
      <c r="J31" s="7">
        <f t="shared" si="9"/>
        <v>0</v>
      </c>
      <c r="K31" s="2"/>
      <c r="L31" s="6">
        <f t="shared" si="10"/>
        <v>-7330.5306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64142.142749999992</v>
      </c>
      <c r="U31" s="2"/>
      <c r="V31" s="7">
        <f t="shared" si="13"/>
        <v>0</v>
      </c>
      <c r="W31" s="2"/>
      <c r="X31" s="6">
        <f t="shared" si="14"/>
        <v>-64142.142749999992</v>
      </c>
      <c r="Y31" s="2"/>
      <c r="Z31" s="7">
        <f t="shared" si="15"/>
        <v>-1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1000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-1000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1000</v>
      </c>
      <c r="U41" s="2"/>
      <c r="V41" s="7">
        <f t="shared" si="21"/>
        <v>0</v>
      </c>
      <c r="W41" s="2"/>
      <c r="X41" s="6">
        <f t="shared" si="22"/>
        <v>-1000</v>
      </c>
      <c r="Y41" s="2"/>
      <c r="Z41" s="7">
        <f t="shared" si="23"/>
        <v>-1</v>
      </c>
    </row>
    <row r="42" spans="1:26" s="27" customFormat="1" outlineLevel="1" collapsed="1" x14ac:dyDescent="0.25">
      <c r="A42" s="26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800</v>
      </c>
      <c r="U42" s="1"/>
      <c r="V42" s="5">
        <f t="shared" si="21"/>
        <v>0</v>
      </c>
      <c r="W42" s="1"/>
      <c r="X42" s="1">
        <f t="shared" si="22"/>
        <v>-800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800</v>
      </c>
      <c r="U43" s="2"/>
      <c r="V43" s="7">
        <f t="shared" si="21"/>
        <v>0</v>
      </c>
      <c r="W43" s="2"/>
      <c r="X43" s="6">
        <f t="shared" si="22"/>
        <v>-800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2400</v>
      </c>
      <c r="U44" s="1"/>
      <c r="V44" s="5">
        <f t="shared" si="21"/>
        <v>0</v>
      </c>
      <c r="W44" s="1"/>
      <c r="X44" s="1">
        <f t="shared" si="22"/>
        <v>-2400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2400</v>
      </c>
      <c r="U45" s="2"/>
      <c r="V45" s="7">
        <f t="shared" si="21"/>
        <v>0</v>
      </c>
      <c r="W45" s="2"/>
      <c r="X45" s="6">
        <f t="shared" si="22"/>
        <v>-2400</v>
      </c>
      <c r="Y45" s="2"/>
      <c r="Z45" s="7">
        <f t="shared" si="23"/>
        <v>-1</v>
      </c>
    </row>
    <row r="46" spans="1:26" s="27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-7.73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-207.73</v>
      </c>
      <c r="M46" s="1"/>
      <c r="N46" s="5">
        <f t="shared" si="19"/>
        <v>-1.0386499999999999</v>
      </c>
      <c r="O46" s="13"/>
      <c r="P46" s="1">
        <f>SUM(OSRRefP22_5x_0)</f>
        <v>206.82</v>
      </c>
      <c r="Q46" s="1"/>
      <c r="R46" s="5">
        <f t="shared" si="20"/>
        <v>0</v>
      </c>
      <c r="S46" s="1"/>
      <c r="T46" s="1">
        <f>SUM(OSRRefT22_5x_0)</f>
        <v>1600</v>
      </c>
      <c r="U46" s="1"/>
      <c r="V46" s="5">
        <f t="shared" si="21"/>
        <v>0</v>
      </c>
      <c r="W46" s="1"/>
      <c r="X46" s="1">
        <f t="shared" si="22"/>
        <v>-1393.18</v>
      </c>
      <c r="Y46" s="1"/>
      <c r="Z46" s="5">
        <f t="shared" si="23"/>
        <v>-0.87073750000000005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-7.73</v>
      </c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-207.73</v>
      </c>
      <c r="M47" s="2"/>
      <c r="N47" s="7">
        <f t="shared" si="19"/>
        <v>-1.0386499999999999</v>
      </c>
      <c r="O47" s="11"/>
      <c r="P47" s="6">
        <v>206.82</v>
      </c>
      <c r="Q47" s="2"/>
      <c r="R47" s="7">
        <f t="shared" si="20"/>
        <v>0</v>
      </c>
      <c r="S47" s="2"/>
      <c r="T47" s="6">
        <v>1600</v>
      </c>
      <c r="U47" s="2"/>
      <c r="V47" s="7">
        <f t="shared" si="21"/>
        <v>0</v>
      </c>
      <c r="W47" s="2"/>
      <c r="X47" s="6">
        <f t="shared" si="22"/>
        <v>-1393.18</v>
      </c>
      <c r="Y47" s="2"/>
      <c r="Z47" s="7">
        <f t="shared" si="23"/>
        <v>-0.87073750000000005</v>
      </c>
    </row>
    <row r="48" spans="1:26" s="27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40245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40245</v>
      </c>
      <c r="M48" s="1"/>
      <c r="N48" s="5">
        <f t="shared" si="19"/>
        <v>0</v>
      </c>
      <c r="O48" s="13"/>
      <c r="P48" s="1">
        <f>SUM(OSRRefP22_6x_0)</f>
        <v>46585.43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46585.43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6">
        <v>40245</v>
      </c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40245</v>
      </c>
      <c r="M49" s="2"/>
      <c r="N49" s="7">
        <f t="shared" si="19"/>
        <v>0</v>
      </c>
      <c r="O49" s="11"/>
      <c r="P49" s="6">
        <v>46585.43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46585.43</v>
      </c>
      <c r="Y49" s="2"/>
      <c r="Z49" s="7">
        <f t="shared" si="23"/>
        <v>0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158.88</v>
      </c>
      <c r="E50" s="1"/>
      <c r="F50" s="5">
        <f t="shared" si="16"/>
        <v>0</v>
      </c>
      <c r="G50" s="1"/>
      <c r="H50" s="1">
        <f>SUM(OSRRefH22_7x_0)</f>
        <v>200</v>
      </c>
      <c r="I50" s="1"/>
      <c r="J50" s="5">
        <f t="shared" si="17"/>
        <v>0</v>
      </c>
      <c r="K50" s="1"/>
      <c r="L50" s="1">
        <f t="shared" si="18"/>
        <v>-41.120000000000005</v>
      </c>
      <c r="M50" s="1"/>
      <c r="N50" s="5">
        <f t="shared" si="19"/>
        <v>-0.20560000000000003</v>
      </c>
      <c r="O50" s="13"/>
      <c r="P50" s="1">
        <f>SUM(OSRRefP22_7x_0)</f>
        <v>3823.89</v>
      </c>
      <c r="Q50" s="1"/>
      <c r="R50" s="5">
        <f t="shared" si="20"/>
        <v>0</v>
      </c>
      <c r="S50" s="1"/>
      <c r="T50" s="1">
        <f>SUM(OSRRefT22_7x_0)</f>
        <v>2600</v>
      </c>
      <c r="U50" s="1"/>
      <c r="V50" s="5">
        <f t="shared" si="21"/>
        <v>0</v>
      </c>
      <c r="W50" s="1"/>
      <c r="X50" s="1">
        <f t="shared" si="22"/>
        <v>1223.8899999999999</v>
      </c>
      <c r="Y50" s="1"/>
      <c r="Z50" s="5">
        <f t="shared" si="23"/>
        <v>0.47072692307692304</v>
      </c>
    </row>
    <row r="51" spans="1:26" s="24" customFormat="1" hidden="1" outlineLevel="2" x14ac:dyDescent="0.25">
      <c r="A51" s="25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>
        <v>0</v>
      </c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800</v>
      </c>
      <c r="U51" s="2"/>
      <c r="V51" s="7">
        <f t="shared" si="21"/>
        <v>0</v>
      </c>
      <c r="W51" s="2"/>
      <c r="X51" s="6">
        <f t="shared" si="22"/>
        <v>-800</v>
      </c>
      <c r="Y51" s="2"/>
      <c r="Z51" s="7">
        <f t="shared" si="23"/>
        <v>-1</v>
      </c>
    </row>
    <row r="52" spans="1:26" s="24" customFormat="1" hidden="1" outlineLevel="2" x14ac:dyDescent="0.25">
      <c r="A52" s="25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16"/>
        <v>0</v>
      </c>
      <c r="G52" s="2"/>
      <c r="H52" s="6">
        <v>100</v>
      </c>
      <c r="I52" s="2"/>
      <c r="J52" s="7">
        <f t="shared" si="17"/>
        <v>0</v>
      </c>
      <c r="K52" s="2"/>
      <c r="L52" s="6">
        <f t="shared" si="18"/>
        <v>-100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800</v>
      </c>
      <c r="U52" s="2"/>
      <c r="V52" s="7">
        <f t="shared" si="21"/>
        <v>0</v>
      </c>
      <c r="W52" s="2"/>
      <c r="X52" s="6">
        <f t="shared" si="22"/>
        <v>-800</v>
      </c>
      <c r="Y52" s="2"/>
      <c r="Z52" s="7">
        <f t="shared" si="23"/>
        <v>-1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>
        <v>158.88</v>
      </c>
      <c r="E53" s="2"/>
      <c r="F53" s="7">
        <f t="shared" si="16"/>
        <v>0</v>
      </c>
      <c r="G53" s="2"/>
      <c r="H53" s="6">
        <v>100</v>
      </c>
      <c r="I53" s="2"/>
      <c r="J53" s="7">
        <f t="shared" si="17"/>
        <v>0</v>
      </c>
      <c r="K53" s="2"/>
      <c r="L53" s="6">
        <f t="shared" si="18"/>
        <v>58.879999999999995</v>
      </c>
      <c r="M53" s="2"/>
      <c r="N53" s="7">
        <f t="shared" si="19"/>
        <v>0.58879999999999999</v>
      </c>
      <c r="O53" s="11"/>
      <c r="P53" s="6">
        <v>3823.89</v>
      </c>
      <c r="Q53" s="2"/>
      <c r="R53" s="7">
        <f t="shared" si="20"/>
        <v>0</v>
      </c>
      <c r="S53" s="2"/>
      <c r="T53" s="6">
        <v>1000</v>
      </c>
      <c r="U53" s="2"/>
      <c r="V53" s="7">
        <f t="shared" si="21"/>
        <v>0</v>
      </c>
      <c r="W53" s="2"/>
      <c r="X53" s="6">
        <f t="shared" si="22"/>
        <v>2823.89</v>
      </c>
      <c r="Y53" s="2"/>
      <c r="Z53" s="7">
        <f t="shared" si="23"/>
        <v>2.82389</v>
      </c>
    </row>
    <row r="54" spans="1:26" s="27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-500</v>
      </c>
      <c r="Q54" s="1"/>
      <c r="R54" s="5">
        <f t="shared" ref="R54:R59" si="28">IF(P$12=0,0,P54/P$12)</f>
        <v>0</v>
      </c>
      <c r="S54" s="1"/>
      <c r="T54" s="1">
        <f>SUM(OSRRefT22_8x_0)</f>
        <v>800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-1300</v>
      </c>
      <c r="Y54" s="1"/>
      <c r="Z54" s="5">
        <f t="shared" ref="Z54:Z59" si="31">IF(T54=0,0,X54/T54)</f>
        <v>-1.625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6">
        <v>50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-50</v>
      </c>
      <c r="M55" s="2"/>
      <c r="N55" s="7">
        <f t="shared" si="27"/>
        <v>-0.5</v>
      </c>
      <c r="O55" s="11"/>
      <c r="P55" s="6">
        <v>-500</v>
      </c>
      <c r="Q55" s="2"/>
      <c r="R55" s="7">
        <f t="shared" si="28"/>
        <v>0</v>
      </c>
      <c r="S55" s="2"/>
      <c r="T55" s="6">
        <v>800</v>
      </c>
      <c r="U55" s="2"/>
      <c r="V55" s="7">
        <f t="shared" si="29"/>
        <v>0</v>
      </c>
      <c r="W55" s="2"/>
      <c r="X55" s="6">
        <f t="shared" si="30"/>
        <v>-1300</v>
      </c>
      <c r="Y55" s="2"/>
      <c r="Z55" s="7">
        <f t="shared" si="31"/>
        <v>-1.625</v>
      </c>
    </row>
    <row r="56" spans="1:26" s="27" customFormat="1" outlineLevel="1" collapsed="1" x14ac:dyDescent="0.25">
      <c r="A56" s="26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2950.22</v>
      </c>
      <c r="Q56" s="1"/>
      <c r="R56" s="5">
        <f t="shared" si="28"/>
        <v>0</v>
      </c>
      <c r="S56" s="1"/>
      <c r="T56" s="1">
        <f>SUM(OSRRefT22_9x_0)</f>
        <v>2400</v>
      </c>
      <c r="U56" s="1"/>
      <c r="V56" s="5">
        <f t="shared" si="29"/>
        <v>0</v>
      </c>
      <c r="W56" s="1"/>
      <c r="X56" s="1">
        <f t="shared" si="30"/>
        <v>550.2199999999998</v>
      </c>
      <c r="Y56" s="1"/>
      <c r="Z56" s="5">
        <f t="shared" si="31"/>
        <v>0.22925833333333326</v>
      </c>
    </row>
    <row r="57" spans="1:26" s="24" customFormat="1" hidden="1" outlineLevel="2" x14ac:dyDescent="0.25">
      <c r="A57" s="25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2950.22</v>
      </c>
      <c r="Q57" s="2"/>
      <c r="R57" s="7">
        <f t="shared" si="28"/>
        <v>0</v>
      </c>
      <c r="S57" s="2"/>
      <c r="T57" s="6">
        <v>2400</v>
      </c>
      <c r="U57" s="2"/>
      <c r="V57" s="7">
        <f t="shared" si="29"/>
        <v>0</v>
      </c>
      <c r="W57" s="2"/>
      <c r="X57" s="6">
        <f t="shared" si="30"/>
        <v>550.2199999999998</v>
      </c>
      <c r="Y57" s="2"/>
      <c r="Z57" s="7">
        <f t="shared" si="31"/>
        <v>0.22925833333333326</v>
      </c>
    </row>
    <row r="58" spans="1:26" s="27" customFormat="1" outlineLevel="1" collapsed="1" x14ac:dyDescent="0.25">
      <c r="A58" s="26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-300</v>
      </c>
      <c r="M58" s="1"/>
      <c r="N58" s="5">
        <f t="shared" si="27"/>
        <v>-1</v>
      </c>
      <c r="O58" s="13"/>
      <c r="P58" s="1">
        <f>SUM(OSRRefP22_10x_0)</f>
        <v>325.75</v>
      </c>
      <c r="Q58" s="1"/>
      <c r="R58" s="5">
        <f t="shared" si="28"/>
        <v>0</v>
      </c>
      <c r="S58" s="1"/>
      <c r="T58" s="1">
        <f>SUM(OSRRefT22_10x_0)</f>
        <v>2400</v>
      </c>
      <c r="U58" s="1"/>
      <c r="V58" s="5">
        <f t="shared" si="29"/>
        <v>0</v>
      </c>
      <c r="W58" s="1"/>
      <c r="X58" s="1">
        <f t="shared" si="30"/>
        <v>-2074.25</v>
      </c>
      <c r="Y58" s="1"/>
      <c r="Z58" s="5">
        <f t="shared" si="31"/>
        <v>-0.86427083333333332</v>
      </c>
    </row>
    <row r="59" spans="1:26" s="24" customFormat="1" hidden="1" outlineLevel="2" x14ac:dyDescent="0.25">
      <c r="A59" s="25"/>
      <c r="B59" s="11" t="str">
        <f>CONCATENATE("          ", "6292", " - ", "TRAVEL/CONFERENCE")</f>
        <v xml:space="preserve">          6292 - TRAVEL/CONFERENCE</v>
      </c>
      <c r="C59" s="11"/>
      <c r="D59" s="6"/>
      <c r="E59" s="2"/>
      <c r="F59" s="7">
        <f t="shared" si="24"/>
        <v>0</v>
      </c>
      <c r="G59" s="2"/>
      <c r="H59" s="6">
        <v>300</v>
      </c>
      <c r="I59" s="2"/>
      <c r="J59" s="7">
        <f t="shared" si="25"/>
        <v>0</v>
      </c>
      <c r="K59" s="2"/>
      <c r="L59" s="6">
        <f t="shared" si="26"/>
        <v>-300</v>
      </c>
      <c r="M59" s="2"/>
      <c r="N59" s="7">
        <f t="shared" si="27"/>
        <v>-1</v>
      </c>
      <c r="O59" s="11"/>
      <c r="P59" s="6">
        <v>325.75</v>
      </c>
      <c r="Q59" s="2"/>
      <c r="R59" s="7">
        <f t="shared" si="28"/>
        <v>0</v>
      </c>
      <c r="S59" s="2"/>
      <c r="T59" s="6">
        <v>2400</v>
      </c>
      <c r="U59" s="2"/>
      <c r="V59" s="7">
        <f t="shared" si="29"/>
        <v>0</v>
      </c>
      <c r="W59" s="2"/>
      <c r="X59" s="6">
        <f t="shared" si="30"/>
        <v>-2074.25</v>
      </c>
      <c r="Y59" s="2"/>
      <c r="Z59" s="7">
        <f t="shared" si="31"/>
        <v>-0.86427083333333332</v>
      </c>
    </row>
    <row r="60" spans="1:26" s="53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1">
        <f>+D16-D18+D61</f>
        <v>-54350.12</v>
      </c>
      <c r="E63" s="14"/>
      <c r="F63" s="22">
        <f>IF(D$12=0,0,D63/D$12)</f>
        <v>0</v>
      </c>
      <c r="G63" s="14"/>
      <c r="H63" s="21">
        <f>+H16-H18+H61</f>
        <v>-13408.050783619999</v>
      </c>
      <c r="I63" s="14"/>
      <c r="J63" s="22">
        <f>IF(H$12=0,0,H63/H$12)</f>
        <v>0</v>
      </c>
      <c r="K63" s="15"/>
      <c r="L63" s="21">
        <f>+D63-H63</f>
        <v>-40942.069216380005</v>
      </c>
      <c r="M63" s="15"/>
      <c r="N63" s="22">
        <f>IF(H63=0,0,L63/H63)</f>
        <v>3.0535437161676815</v>
      </c>
      <c r="O63" s="29"/>
      <c r="P63" s="21">
        <f>+P16-P18+P61</f>
        <v>-162717.88</v>
      </c>
      <c r="Q63" s="14"/>
      <c r="R63" s="22">
        <f>IF(P$12=0,0,P63/P$12)</f>
        <v>0</v>
      </c>
      <c r="S63" s="14"/>
      <c r="T63" s="21">
        <f>+T16-T18+T61</f>
        <v>-115618.944356675</v>
      </c>
      <c r="U63" s="14"/>
      <c r="V63" s="22">
        <f>IF(T$12=0,0,T63/T$12)</f>
        <v>0</v>
      </c>
      <c r="W63" s="15"/>
      <c r="X63" s="21">
        <f>+P63-T63</f>
        <v>-47098.935643325007</v>
      </c>
      <c r="Y63" s="15"/>
      <c r="Z63" s="22">
        <f>IF(T63=0,0,X63/T63)</f>
        <v>0.40736348100557501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1">
        <f>+D63-D65</f>
        <v>-54350.12</v>
      </c>
      <c r="E67" s="14"/>
      <c r="F67" s="32">
        <f>IF(D$12=0,0,D67/D$12)</f>
        <v>0</v>
      </c>
      <c r="G67" s="14"/>
      <c r="H67" s="31">
        <f>+H63-H65</f>
        <v>-13408.050783619999</v>
      </c>
      <c r="I67" s="14"/>
      <c r="J67" s="32">
        <f>IF(H$12=0,0,H67/H$12)</f>
        <v>0</v>
      </c>
      <c r="K67" s="15"/>
      <c r="L67" s="31">
        <f>D67-H67</f>
        <v>-40942.069216380005</v>
      </c>
      <c r="M67" s="15"/>
      <c r="N67" s="32">
        <f>IF(H67=0,0,L67/H67)</f>
        <v>3.0535437161676815</v>
      </c>
      <c r="O67" s="29"/>
      <c r="P67" s="31">
        <f>+P63-P65</f>
        <v>-162717.88</v>
      </c>
      <c r="Q67" s="14"/>
      <c r="R67" s="32">
        <f>IF(P$12=0,0,P67/P$12)</f>
        <v>0</v>
      </c>
      <c r="S67" s="14"/>
      <c r="T67" s="31">
        <f>+T63-T65</f>
        <v>-115618.944356675</v>
      </c>
      <c r="U67" s="14"/>
      <c r="V67" s="32">
        <f>IF(T$12=0,0,T67/T$12)</f>
        <v>0</v>
      </c>
      <c r="W67" s="15"/>
      <c r="X67" s="31">
        <f>P67-T67</f>
        <v>-47098.935643325007</v>
      </c>
      <c r="Y67" s="15"/>
      <c r="Z67" s="32">
        <f>IF(T67=0,0,X67/T67)</f>
        <v>0.40736348100557501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3">
        <f>SUM(D67:D69)</f>
        <v>-54350.12</v>
      </c>
      <c r="E70" s="14"/>
      <c r="F70" s="30">
        <f>IF(D$12=0,0,D70/D$12)</f>
        <v>0</v>
      </c>
      <c r="G70" s="14"/>
      <c r="H70" s="33">
        <f>SUM(H67:H69)</f>
        <v>-13408.050783619999</v>
      </c>
      <c r="I70" s="14"/>
      <c r="J70" s="30">
        <f>IF(H$12=0,0,H70/H$12)</f>
        <v>0</v>
      </c>
      <c r="K70" s="15"/>
      <c r="L70" s="33">
        <f>+D70-H70</f>
        <v>-40942.069216380005</v>
      </c>
      <c r="M70" s="15"/>
      <c r="N70" s="30">
        <f>IF(H70=0,0,L70/H70)</f>
        <v>3.0535437161676815</v>
      </c>
      <c r="O70" s="29"/>
      <c r="P70" s="33">
        <f>SUM(P67:P69)</f>
        <v>-162717.88</v>
      </c>
      <c r="Q70" s="14"/>
      <c r="R70" s="30">
        <f>IF(P$12=0,0,P70/P$12)</f>
        <v>0</v>
      </c>
      <c r="S70" s="14"/>
      <c r="T70" s="33">
        <f>SUM(T67:T69)</f>
        <v>-115618.944356675</v>
      </c>
      <c r="U70" s="14"/>
      <c r="V70" s="30">
        <f>IF(T$12=0,0,T70/T$12)</f>
        <v>0</v>
      </c>
      <c r="W70" s="15"/>
      <c r="X70" s="33">
        <f>+P70-T70</f>
        <v>-47098.935643325007</v>
      </c>
      <c r="Y70" s="15"/>
      <c r="Z70" s="30">
        <f>IF(T70=0,0,X70/T70)</f>
        <v>0.40736348100557501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9">
        <v>43908.495326122684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3" t="s">
        <v>314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7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515968.29999999993</v>
      </c>
      <c r="E12" s="4"/>
      <c r="F12" s="12"/>
      <c r="G12" s="4"/>
      <c r="H12" s="4">
        <f>SUM(OSRRefH13x_0)</f>
        <v>500059.00000000006</v>
      </c>
      <c r="I12" s="4"/>
      <c r="J12" s="12"/>
      <c r="K12" s="4"/>
      <c r="L12" s="4">
        <f t="shared" ref="L12:L16" si="0">+D12-H12</f>
        <v>15909.299999999872</v>
      </c>
      <c r="M12" s="4"/>
      <c r="N12" s="12">
        <f t="shared" ref="N12:N16" si="1">IF(H12=0,0,L12/H12)</f>
        <v>3.1814845848189652E-2</v>
      </c>
      <c r="O12" s="10"/>
      <c r="P12" s="4">
        <f>SUM(OSRRefP13x_0)</f>
        <v>3279552.8899999997</v>
      </c>
      <c r="Q12" s="4"/>
      <c r="R12" s="12"/>
      <c r="S12" s="4"/>
      <c r="T12" s="4">
        <f>SUM(OSRRefT13x_0)</f>
        <v>3253079</v>
      </c>
      <c r="U12" s="4"/>
      <c r="V12" s="12"/>
      <c r="W12" s="4"/>
      <c r="X12" s="4">
        <f t="shared" ref="X12:X16" si="2">+P12-T12</f>
        <v>26473.889999999665</v>
      </c>
      <c r="Y12" s="4"/>
      <c r="Z12" s="12">
        <f t="shared" ref="Z12:Z16" si="3">IF(T12=0,0,X12/T12)</f>
        <v>8.138102394685055E-3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--968.92</f>
        <v>968.92</v>
      </c>
      <c r="E13" s="2"/>
      <c r="F13" s="19"/>
      <c r="G13" s="2"/>
      <c r="H13" s="2"/>
      <c r="I13" s="2"/>
      <c r="J13" s="19"/>
      <c r="K13" s="2"/>
      <c r="L13" s="2">
        <f t="shared" si="0"/>
        <v>968.92</v>
      </c>
      <c r="M13" s="2"/>
      <c r="N13" s="19">
        <f t="shared" si="1"/>
        <v>0</v>
      </c>
      <c r="O13" s="11"/>
      <c r="P13" s="2">
        <f>--19287.92</f>
        <v>19287.919999999998</v>
      </c>
      <c r="Q13" s="2"/>
      <c r="R13" s="19"/>
      <c r="S13" s="2"/>
      <c r="T13" s="2"/>
      <c r="U13" s="2"/>
      <c r="V13" s="19"/>
      <c r="W13" s="2"/>
      <c r="X13" s="2">
        <f t="shared" si="2"/>
        <v>19287.919999999998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500059.00000000006</v>
      </c>
      <c r="I14" s="2"/>
      <c r="J14" s="19"/>
      <c r="K14" s="2"/>
      <c r="L14" s="2">
        <f t="shared" si="0"/>
        <v>-500059.00000000006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3253079</v>
      </c>
      <c r="U14" s="2"/>
      <c r="V14" s="19"/>
      <c r="W14" s="2"/>
      <c r="X14" s="2">
        <f t="shared" si="2"/>
        <v>-3253079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--497179.6</f>
        <v>497179.6</v>
      </c>
      <c r="E15" s="2"/>
      <c r="F15" s="19"/>
      <c r="G15" s="2"/>
      <c r="H15" s="2"/>
      <c r="I15" s="2"/>
      <c r="J15" s="19"/>
      <c r="K15" s="2"/>
      <c r="L15" s="2">
        <f t="shared" si="0"/>
        <v>497179.6</v>
      </c>
      <c r="M15" s="2"/>
      <c r="N15" s="19">
        <f t="shared" si="1"/>
        <v>0</v>
      </c>
      <c r="O15" s="11"/>
      <c r="P15" s="2">
        <f>--3022143.51</f>
        <v>3022143.51</v>
      </c>
      <c r="Q15" s="2"/>
      <c r="R15" s="19"/>
      <c r="S15" s="2"/>
      <c r="T15" s="2"/>
      <c r="U15" s="2"/>
      <c r="V15" s="19"/>
      <c r="W15" s="2"/>
      <c r="X15" s="2">
        <f t="shared" si="2"/>
        <v>3022143.51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--17819.78</f>
        <v>17819.78</v>
      </c>
      <c r="E16" s="2"/>
      <c r="F16" s="19"/>
      <c r="G16" s="2"/>
      <c r="H16" s="2"/>
      <c r="I16" s="2"/>
      <c r="J16" s="19"/>
      <c r="K16" s="2"/>
      <c r="L16" s="2">
        <f t="shared" si="0"/>
        <v>17819.78</v>
      </c>
      <c r="M16" s="2"/>
      <c r="N16" s="19">
        <f t="shared" si="1"/>
        <v>0</v>
      </c>
      <c r="O16" s="11"/>
      <c r="P16" s="2">
        <f>--238121.46</f>
        <v>238121.46</v>
      </c>
      <c r="Q16" s="2"/>
      <c r="R16" s="19"/>
      <c r="S16" s="2"/>
      <c r="T16" s="2"/>
      <c r="U16" s="2"/>
      <c r="V16" s="19"/>
      <c r="W16" s="2"/>
      <c r="X16" s="2">
        <f t="shared" si="2"/>
        <v>238121.46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132424.53</v>
      </c>
      <c r="E18" s="4"/>
      <c r="F18" s="12">
        <f t="shared" ref="F18:F21" si="4">IF(D$12=0,0,D18/D$12)</f>
        <v>0.25665245326117908</v>
      </c>
      <c r="G18" s="4"/>
      <c r="H18" s="4">
        <f>SUM(OSRRefH16x_0)</f>
        <v>135016</v>
      </c>
      <c r="I18" s="4"/>
      <c r="J18" s="12">
        <f t="shared" ref="J18:J21" si="5">IF(H$12=0,0,H18/H$12)</f>
        <v>0.27000013998348193</v>
      </c>
      <c r="K18" s="4"/>
      <c r="L18" s="4">
        <f t="shared" ref="L18:L21" si="6">+D18-H18</f>
        <v>-2591.4700000000012</v>
      </c>
      <c r="M18" s="4"/>
      <c r="N18" s="12">
        <f t="shared" ref="N18:N21" si="7">IF(H18=0,0,L18/H18)</f>
        <v>-1.9193799253421826E-2</v>
      </c>
      <c r="O18" s="10"/>
      <c r="P18" s="4">
        <f>SUM(OSRRefP16x_0)</f>
        <v>786788.23</v>
      </c>
      <c r="Q18" s="4"/>
      <c r="R18" s="12">
        <f t="shared" ref="R18:R21" si="8">IF(P$12=0,0,P18/P$12)</f>
        <v>0.23990716307673271</v>
      </c>
      <c r="S18" s="4"/>
      <c r="T18" s="4">
        <f>SUM(OSRRefT16x_0)</f>
        <v>869580</v>
      </c>
      <c r="U18" s="4"/>
      <c r="V18" s="12">
        <f t="shared" ref="V18:V21" si="9">IF(T$12=0,0,T18/T$12)</f>
        <v>0.26730983170098238</v>
      </c>
      <c r="W18" s="4"/>
      <c r="X18" s="4">
        <f t="shared" ref="X18:X21" si="10">+P18-T18</f>
        <v>-82791.770000000019</v>
      </c>
      <c r="Y18" s="4"/>
      <c r="Z18" s="12">
        <f t="shared" ref="Z18:Z21" si="11">IF(T18=0,0,X18/T18)</f>
        <v>-9.5208916948411895E-2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135016</v>
      </c>
      <c r="I19" s="2"/>
      <c r="J19" s="19">
        <f t="shared" si="5"/>
        <v>0.27000013998348193</v>
      </c>
      <c r="K19" s="2"/>
      <c r="L19" s="2">
        <f t="shared" si="6"/>
        <v>-135016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869580</v>
      </c>
      <c r="U19" s="2"/>
      <c r="V19" s="19">
        <f t="shared" si="9"/>
        <v>0.26730983170098238</v>
      </c>
      <c r="W19" s="2"/>
      <c r="X19" s="2">
        <f t="shared" si="10"/>
        <v>-869580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129668.53</v>
      </c>
      <c r="E20" s="2"/>
      <c r="F20" s="19">
        <f t="shared" si="4"/>
        <v>0.25131103984488973</v>
      </c>
      <c r="G20" s="2"/>
      <c r="H20" s="2"/>
      <c r="I20" s="2"/>
      <c r="J20" s="19">
        <f t="shared" si="5"/>
        <v>0</v>
      </c>
      <c r="K20" s="2"/>
      <c r="L20" s="2">
        <f t="shared" si="6"/>
        <v>129668.53</v>
      </c>
      <c r="M20" s="2"/>
      <c r="N20" s="19">
        <f t="shared" si="7"/>
        <v>0</v>
      </c>
      <c r="O20" s="11"/>
      <c r="P20" s="2">
        <v>808047.23</v>
      </c>
      <c r="Q20" s="2"/>
      <c r="R20" s="19">
        <f t="shared" si="8"/>
        <v>0.24638944914225794</v>
      </c>
      <c r="S20" s="2"/>
      <c r="T20" s="2"/>
      <c r="U20" s="2"/>
      <c r="V20" s="19">
        <f t="shared" si="9"/>
        <v>0</v>
      </c>
      <c r="W20" s="2"/>
      <c r="X20" s="2">
        <f t="shared" si="10"/>
        <v>808047.23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2756</v>
      </c>
      <c r="E21" s="2"/>
      <c r="F21" s="19">
        <f t="shared" si="4"/>
        <v>5.3414134162893352E-3</v>
      </c>
      <c r="G21" s="2"/>
      <c r="H21" s="2"/>
      <c r="I21" s="2"/>
      <c r="J21" s="19">
        <f t="shared" si="5"/>
        <v>0</v>
      </c>
      <c r="K21" s="2"/>
      <c r="L21" s="2">
        <f t="shared" si="6"/>
        <v>2756</v>
      </c>
      <c r="M21" s="2"/>
      <c r="N21" s="19">
        <f t="shared" si="7"/>
        <v>0</v>
      </c>
      <c r="O21" s="11"/>
      <c r="P21" s="2">
        <v>-21259</v>
      </c>
      <c r="Q21" s="2"/>
      <c r="R21" s="19">
        <f t="shared" si="8"/>
        <v>-6.4822860655252314E-3</v>
      </c>
      <c r="S21" s="2"/>
      <c r="T21" s="2"/>
      <c r="U21" s="2"/>
      <c r="V21" s="19">
        <f t="shared" si="9"/>
        <v>0</v>
      </c>
      <c r="W21" s="2"/>
      <c r="X21" s="2">
        <f t="shared" si="10"/>
        <v>-21259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383543.7699999999</v>
      </c>
      <c r="E23" s="14"/>
      <c r="F23" s="22">
        <f>IF(D$12=0,0,D23/D$12)</f>
        <v>0.74334754673882086</v>
      </c>
      <c r="G23" s="14"/>
      <c r="H23" s="21">
        <f>H12-H18</f>
        <v>365043.00000000006</v>
      </c>
      <c r="I23" s="14"/>
      <c r="J23" s="22">
        <f>IF(H$12=0,0,H23/H$12)</f>
        <v>0.72999986001651807</v>
      </c>
      <c r="K23" s="15"/>
      <c r="L23" s="21">
        <f>+D23-H23</f>
        <v>18500.769999999844</v>
      </c>
      <c r="M23" s="15"/>
      <c r="N23" s="22">
        <f>IF(H23=0,0,L23/H23)</f>
        <v>5.0681070449234311E-2</v>
      </c>
      <c r="O23" s="29"/>
      <c r="P23" s="21">
        <f>P12-P18</f>
        <v>2492764.6599999997</v>
      </c>
      <c r="Q23" s="14"/>
      <c r="R23" s="22">
        <f>IF(P$12=0,0,P23/P$12)</f>
        <v>0.76009283692326723</v>
      </c>
      <c r="S23" s="14"/>
      <c r="T23" s="21">
        <f>T12-T18</f>
        <v>2383499</v>
      </c>
      <c r="U23" s="14"/>
      <c r="V23" s="22">
        <f>IF(T$12=0,0,T23/T$12)</f>
        <v>0.73269016829901767</v>
      </c>
      <c r="W23" s="15"/>
      <c r="X23" s="21">
        <f>+P23-T23</f>
        <v>109265.65999999968</v>
      </c>
      <c r="Y23" s="15"/>
      <c r="Z23" s="22">
        <f>IF(T23=0,0,X23/T23)</f>
        <v>4.5842544930792789E-2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193896.33</v>
      </c>
      <c r="E25" s="20"/>
      <c r="F25" s="34">
        <f t="shared" ref="F25:F36" si="12">IF(D$12=0,0,D25/D$12)</f>
        <v>0.37579116779073446</v>
      </c>
      <c r="G25" s="20"/>
      <c r="H25" s="20">
        <f>SUM(OSRRefH22x_0)</f>
        <v>205700.66482348338</v>
      </c>
      <c r="I25" s="20"/>
      <c r="J25" s="34">
        <f t="shared" ref="J25:J36" si="13">IF(H$12=0,0,H25/H$12)</f>
        <v>0.41135279001774461</v>
      </c>
      <c r="K25" s="4"/>
      <c r="L25" s="20">
        <f t="shared" ref="L25:L36" si="14">+D25-H25</f>
        <v>-11804.334823483397</v>
      </c>
      <c r="M25" s="4"/>
      <c r="N25" s="34">
        <f t="shared" ref="N25:N36" si="15">IF(H25=0,0,L25/H25)</f>
        <v>-5.7385982848489947E-2</v>
      </c>
      <c r="O25" s="10"/>
      <c r="P25" s="20">
        <f>SUM(OSRRefP22x_0)</f>
        <v>1351082.38</v>
      </c>
      <c r="Q25" s="20"/>
      <c r="R25" s="34">
        <f t="shared" ref="R25:R36" si="16">IF(P$12=0,0,P25/P$12)</f>
        <v>0.41197151725154829</v>
      </c>
      <c r="S25" s="20"/>
      <c r="T25" s="20">
        <f>SUM(OSRRefT22x_0)</f>
        <v>1467072.5573056331</v>
      </c>
      <c r="U25" s="20"/>
      <c r="V25" s="34">
        <f t="shared" ref="V25:V36" si="17">IF(T$12=0,0,T25/T$12)</f>
        <v>0.45097968948975203</v>
      </c>
      <c r="W25" s="4"/>
      <c r="X25" s="20">
        <f t="shared" ref="X25:X36" si="18">+P25-T25</f>
        <v>-115990.1773056332</v>
      </c>
      <c r="Y25" s="4"/>
      <c r="Z25" s="34">
        <f t="shared" ref="Z25:Z36" si="19">IF(T25=0,0,X25/T25)</f>
        <v>-7.9062331803585864E-2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28795.71</v>
      </c>
      <c r="E26" s="1"/>
      <c r="F26" s="5">
        <f t="shared" si="12"/>
        <v>5.5809068115231113E-2</v>
      </c>
      <c r="G26" s="1"/>
      <c r="H26" s="1">
        <f>SUM(OSRRefH22_0x_0)</f>
        <v>28769.94644871417</v>
      </c>
      <c r="I26" s="1"/>
      <c r="J26" s="5">
        <f t="shared" si="13"/>
        <v>5.753310399115738E-2</v>
      </c>
      <c r="K26" s="1"/>
      <c r="L26" s="1">
        <f t="shared" si="14"/>
        <v>25.763551285828726</v>
      </c>
      <c r="M26" s="1"/>
      <c r="N26" s="5">
        <f t="shared" si="15"/>
        <v>8.9550223292056874E-4</v>
      </c>
      <c r="O26" s="13"/>
      <c r="P26" s="1">
        <f>SUM(OSRRefP22_0x_0)</f>
        <v>224028.61</v>
      </c>
      <c r="Q26" s="1"/>
      <c r="R26" s="5">
        <f t="shared" si="16"/>
        <v>6.831071719657493E-2</v>
      </c>
      <c r="S26" s="1"/>
      <c r="T26" s="1">
        <f>SUM(OSRRefT22_0x_0)</f>
        <v>244988.60952640267</v>
      </c>
      <c r="U26" s="1"/>
      <c r="V26" s="5">
        <f t="shared" si="17"/>
        <v>7.5309763312358127E-2</v>
      </c>
      <c r="W26" s="1"/>
      <c r="X26" s="1">
        <f t="shared" si="18"/>
        <v>-20959.99952640268</v>
      </c>
      <c r="Y26" s="1"/>
      <c r="Z26" s="5">
        <f t="shared" si="19"/>
        <v>-8.5554996074802409E-2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3928.4</v>
      </c>
      <c r="E27" s="2"/>
      <c r="F27" s="7">
        <f t="shared" si="12"/>
        <v>7.6136460321302698E-3</v>
      </c>
      <c r="G27" s="2"/>
      <c r="H27" s="6">
        <v>4144.8353583203098</v>
      </c>
      <c r="I27" s="2"/>
      <c r="J27" s="7">
        <f t="shared" si="13"/>
        <v>8.2886926509078106E-3</v>
      </c>
      <c r="K27" s="2"/>
      <c r="L27" s="6">
        <f t="shared" si="14"/>
        <v>-216.43535832030966</v>
      </c>
      <c r="M27" s="2"/>
      <c r="N27" s="7">
        <f t="shared" si="15"/>
        <v>-5.2218083375938931E-2</v>
      </c>
      <c r="O27" s="11"/>
      <c r="P27" s="6">
        <v>34442.97</v>
      </c>
      <c r="Q27" s="2"/>
      <c r="R27" s="7">
        <f t="shared" si="16"/>
        <v>1.050233710364098E-2</v>
      </c>
      <c r="S27" s="2"/>
      <c r="T27" s="6">
        <v>39627.955969302711</v>
      </c>
      <c r="U27" s="2"/>
      <c r="V27" s="7">
        <f t="shared" si="17"/>
        <v>1.2181676488429181E-2</v>
      </c>
      <c r="W27" s="2"/>
      <c r="X27" s="6">
        <f t="shared" si="18"/>
        <v>-5184.9859693027101</v>
      </c>
      <c r="Y27" s="2"/>
      <c r="Z27" s="7">
        <f t="shared" si="19"/>
        <v>-0.13084162032781083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4070.85</v>
      </c>
      <c r="E28" s="2"/>
      <c r="F28" s="7">
        <f t="shared" si="12"/>
        <v>7.889728884507053E-3</v>
      </c>
      <c r="G28" s="2"/>
      <c r="H28" s="6">
        <v>3971.3590733415399</v>
      </c>
      <c r="I28" s="2"/>
      <c r="J28" s="7">
        <f t="shared" si="13"/>
        <v>7.9417810165231285E-3</v>
      </c>
      <c r="K28" s="2"/>
      <c r="L28" s="6">
        <f t="shared" si="14"/>
        <v>99.490926658460012</v>
      </c>
      <c r="M28" s="2"/>
      <c r="N28" s="7">
        <f t="shared" si="15"/>
        <v>2.5052110580055756E-2</v>
      </c>
      <c r="O28" s="11"/>
      <c r="P28" s="6">
        <v>22077.279999999999</v>
      </c>
      <c r="Q28" s="2"/>
      <c r="R28" s="7">
        <f t="shared" si="16"/>
        <v>6.7317956869419483E-3</v>
      </c>
      <c r="S28" s="2"/>
      <c r="T28" s="6">
        <v>29645.118031738457</v>
      </c>
      <c r="U28" s="2"/>
      <c r="V28" s="7">
        <f t="shared" si="17"/>
        <v>9.1129413185903133E-3</v>
      </c>
      <c r="W28" s="2"/>
      <c r="X28" s="6">
        <f t="shared" si="18"/>
        <v>-7567.8380317384581</v>
      </c>
      <c r="Y28" s="2"/>
      <c r="Z28" s="7">
        <f t="shared" si="19"/>
        <v>-0.25528108957556622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13844.04</v>
      </c>
      <c r="E29" s="2"/>
      <c r="F29" s="7">
        <f t="shared" si="12"/>
        <v>2.6831183233543617E-2</v>
      </c>
      <c r="G29" s="2"/>
      <c r="H29" s="6">
        <v>14965.615384615401</v>
      </c>
      <c r="I29" s="2"/>
      <c r="J29" s="7">
        <f t="shared" si="13"/>
        <v>2.9927699300713314E-2</v>
      </c>
      <c r="K29" s="2"/>
      <c r="L29" s="6">
        <f t="shared" si="14"/>
        <v>-1121.5753846154003</v>
      </c>
      <c r="M29" s="2"/>
      <c r="N29" s="7">
        <f t="shared" si="15"/>
        <v>-7.4943485836765231E-2</v>
      </c>
      <c r="O29" s="11"/>
      <c r="P29" s="6">
        <v>104004.25</v>
      </c>
      <c r="Q29" s="2"/>
      <c r="R29" s="7">
        <f t="shared" si="16"/>
        <v>3.1712935722771653E-2</v>
      </c>
      <c r="S29" s="2"/>
      <c r="T29" s="6">
        <v>130073.5384615384</v>
      </c>
      <c r="U29" s="2"/>
      <c r="V29" s="7">
        <f t="shared" si="17"/>
        <v>3.9984746285453995E-2</v>
      </c>
      <c r="W29" s="2"/>
      <c r="X29" s="6">
        <f t="shared" si="18"/>
        <v>-26069.288461538395</v>
      </c>
      <c r="Y29" s="2"/>
      <c r="Z29" s="7">
        <f t="shared" si="19"/>
        <v>-0.20041961470316158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272.8</v>
      </c>
      <c r="E30" s="2"/>
      <c r="F30" s="7">
        <f t="shared" si="12"/>
        <v>5.2871465165592552E-4</v>
      </c>
      <c r="G30" s="2"/>
      <c r="H30" s="6">
        <v>266.12199975999999</v>
      </c>
      <c r="I30" s="2"/>
      <c r="J30" s="7">
        <f t="shared" si="13"/>
        <v>5.3218120213814764E-4</v>
      </c>
      <c r="K30" s="2"/>
      <c r="L30" s="6">
        <f t="shared" si="14"/>
        <v>6.6780002400000171</v>
      </c>
      <c r="M30" s="2"/>
      <c r="N30" s="7">
        <f t="shared" si="15"/>
        <v>2.5093754917002421E-2</v>
      </c>
      <c r="O30" s="11"/>
      <c r="P30" s="6">
        <v>1790.64</v>
      </c>
      <c r="Q30" s="2"/>
      <c r="R30" s="7">
        <f t="shared" si="16"/>
        <v>5.4600125689694247E-4</v>
      </c>
      <c r="S30" s="2"/>
      <c r="T30" s="6">
        <v>1986.5285278999997</v>
      </c>
      <c r="U30" s="2"/>
      <c r="V30" s="7">
        <f t="shared" si="17"/>
        <v>6.1066101619419624E-4</v>
      </c>
      <c r="W30" s="2"/>
      <c r="X30" s="6">
        <f t="shared" si="18"/>
        <v>-195.88852789999964</v>
      </c>
      <c r="Y30" s="2"/>
      <c r="Z30" s="7">
        <f t="shared" si="19"/>
        <v>-9.8608464539433241E-2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1221.6600000000001</v>
      </c>
      <c r="E31" s="2"/>
      <c r="F31" s="7">
        <f t="shared" si="12"/>
        <v>2.3677035972946405E-3</v>
      </c>
      <c r="G31" s="2"/>
      <c r="H31" s="6">
        <v>1270.4277151384601</v>
      </c>
      <c r="I31" s="2"/>
      <c r="J31" s="7">
        <f t="shared" si="13"/>
        <v>2.5405556447108441E-3</v>
      </c>
      <c r="K31" s="2"/>
      <c r="L31" s="6">
        <f t="shared" si="14"/>
        <v>-48.767715138460062</v>
      </c>
      <c r="M31" s="2"/>
      <c r="N31" s="7">
        <f t="shared" si="15"/>
        <v>-3.8386847639847822E-2</v>
      </c>
      <c r="O31" s="11"/>
      <c r="P31" s="6">
        <v>10769.31</v>
      </c>
      <c r="Q31" s="2"/>
      <c r="R31" s="7">
        <f t="shared" si="16"/>
        <v>3.28377384394005E-3</v>
      </c>
      <c r="S31" s="2"/>
      <c r="T31" s="6">
        <v>11116.24250746154</v>
      </c>
      <c r="U31" s="2"/>
      <c r="V31" s="7">
        <f t="shared" si="17"/>
        <v>3.417144959425068E-3</v>
      </c>
      <c r="W31" s="2"/>
      <c r="X31" s="6">
        <f t="shared" si="18"/>
        <v>-346.93250746154081</v>
      </c>
      <c r="Y31" s="2"/>
      <c r="Z31" s="7">
        <f t="shared" si="19"/>
        <v>-3.1209512317554224E-2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310.86</v>
      </c>
      <c r="E33" s="2"/>
      <c r="F33" s="7">
        <f t="shared" si="12"/>
        <v>6.0247887321759896E-4</v>
      </c>
      <c r="G33" s="2"/>
      <c r="H33" s="6"/>
      <c r="I33" s="2"/>
      <c r="J33" s="7">
        <f t="shared" si="13"/>
        <v>0</v>
      </c>
      <c r="K33" s="2"/>
      <c r="L33" s="6">
        <f t="shared" si="14"/>
        <v>310.86</v>
      </c>
      <c r="M33" s="2"/>
      <c r="N33" s="7">
        <f t="shared" si="15"/>
        <v>0</v>
      </c>
      <c r="O33" s="11"/>
      <c r="P33" s="6">
        <v>3822.36</v>
      </c>
      <c r="Q33" s="2"/>
      <c r="R33" s="7">
        <f t="shared" si="16"/>
        <v>1.1655125342406052E-3</v>
      </c>
      <c r="S33" s="2"/>
      <c r="T33" s="6"/>
      <c r="U33" s="2"/>
      <c r="V33" s="7">
        <f t="shared" si="17"/>
        <v>0</v>
      </c>
      <c r="W33" s="2"/>
      <c r="X33" s="6">
        <f t="shared" si="18"/>
        <v>3822.36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2209.12</v>
      </c>
      <c r="E34" s="2"/>
      <c r="F34" s="7">
        <f t="shared" si="12"/>
        <v>4.2815033404183939E-3</v>
      </c>
      <c r="G34" s="2"/>
      <c r="H34" s="6">
        <v>1293.5404587692301</v>
      </c>
      <c r="I34" s="2"/>
      <c r="J34" s="7">
        <f t="shared" si="13"/>
        <v>2.5867756780084549E-3</v>
      </c>
      <c r="K34" s="2"/>
      <c r="L34" s="6">
        <f t="shared" si="14"/>
        <v>915.57954123076979</v>
      </c>
      <c r="M34" s="2"/>
      <c r="N34" s="7">
        <f t="shared" si="15"/>
        <v>0.70780897112558794</v>
      </c>
      <c r="O34" s="11"/>
      <c r="P34" s="6">
        <v>20211.79</v>
      </c>
      <c r="Q34" s="2"/>
      <c r="R34" s="7">
        <f t="shared" si="16"/>
        <v>6.1629711969670362E-3</v>
      </c>
      <c r="S34" s="2"/>
      <c r="T34" s="6">
        <v>11531.071014230769</v>
      </c>
      <c r="U34" s="2"/>
      <c r="V34" s="7">
        <f t="shared" si="17"/>
        <v>3.5446636906852767E-3</v>
      </c>
      <c r="W34" s="2"/>
      <c r="X34" s="6">
        <f t="shared" si="18"/>
        <v>8680.7189857692319</v>
      </c>
      <c r="Y34" s="2"/>
      <c r="Z34" s="7">
        <f t="shared" si="19"/>
        <v>0.75281116342585608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1528.04</v>
      </c>
      <c r="E35" s="2"/>
      <c r="F35" s="7">
        <f t="shared" si="12"/>
        <v>2.9614997665554262E-3</v>
      </c>
      <c r="G35" s="2"/>
      <c r="H35" s="6">
        <v>2858.0464587692304</v>
      </c>
      <c r="I35" s="2"/>
      <c r="J35" s="7">
        <f t="shared" si="13"/>
        <v>5.7154184981556781E-3</v>
      </c>
      <c r="K35" s="2"/>
      <c r="L35" s="6">
        <f t="shared" si="14"/>
        <v>-1330.0064587692304</v>
      </c>
      <c r="M35" s="2"/>
      <c r="N35" s="7">
        <f t="shared" si="15"/>
        <v>-0.46535508710448864</v>
      </c>
      <c r="O35" s="11"/>
      <c r="P35" s="6">
        <v>17653.96</v>
      </c>
      <c r="Q35" s="2"/>
      <c r="R35" s="7">
        <f t="shared" si="16"/>
        <v>5.3830386617122073E-3</v>
      </c>
      <c r="S35" s="2"/>
      <c r="T35" s="6">
        <v>21008.155014230768</v>
      </c>
      <c r="U35" s="2"/>
      <c r="V35" s="7">
        <f t="shared" si="17"/>
        <v>6.4579295535800909E-3</v>
      </c>
      <c r="W35" s="2"/>
      <c r="X35" s="6">
        <f t="shared" si="18"/>
        <v>-3354.1950142307687</v>
      </c>
      <c r="Y35" s="2"/>
      <c r="Z35" s="7">
        <f t="shared" si="19"/>
        <v>-0.15966157008831389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1409.94</v>
      </c>
      <c r="E36" s="2"/>
      <c r="F36" s="7">
        <f t="shared" si="12"/>
        <v>2.7326097359081951E-3</v>
      </c>
      <c r="G36" s="2"/>
      <c r="H36" s="6"/>
      <c r="I36" s="2"/>
      <c r="J36" s="7">
        <f t="shared" si="13"/>
        <v>0</v>
      </c>
      <c r="K36" s="2"/>
      <c r="L36" s="6">
        <f t="shared" si="14"/>
        <v>1409.94</v>
      </c>
      <c r="M36" s="2"/>
      <c r="N36" s="7">
        <f t="shared" si="15"/>
        <v>0</v>
      </c>
      <c r="O36" s="11"/>
      <c r="P36" s="6">
        <v>9256.0499999999993</v>
      </c>
      <c r="Q36" s="2"/>
      <c r="R36" s="7">
        <f t="shared" si="16"/>
        <v>2.8223511894635124E-3</v>
      </c>
      <c r="S36" s="2"/>
      <c r="T36" s="6"/>
      <c r="U36" s="2"/>
      <c r="V36" s="7">
        <f t="shared" si="17"/>
        <v>0</v>
      </c>
      <c r="W36" s="2"/>
      <c r="X36" s="6">
        <f t="shared" si="18"/>
        <v>9256.0499999999993</v>
      </c>
      <c r="Y36" s="2"/>
      <c r="Z36" s="7">
        <f t="shared" si="19"/>
        <v>0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100172.85999999999</v>
      </c>
      <c r="E37" s="1"/>
      <c r="F37" s="5">
        <f t="shared" ref="F37:F47" si="20">IF(D$12=0,0,D37/D$12)</f>
        <v>0.19414537676054905</v>
      </c>
      <c r="G37" s="1"/>
      <c r="H37" s="1">
        <f>SUM(OSRRefH22_1x_0)</f>
        <v>100192.7183747692</v>
      </c>
      <c r="I37" s="1"/>
      <c r="J37" s="5">
        <f t="shared" ref="J37:J47" si="21">IF(H$12=0,0,H37/H$12)</f>
        <v>0.20036179405783955</v>
      </c>
      <c r="K37" s="1"/>
      <c r="L37" s="1">
        <f t="shared" ref="L37:L47" si="22">+D37-H37</f>
        <v>-19.858374769217335</v>
      </c>
      <c r="M37" s="1"/>
      <c r="N37" s="5">
        <f t="shared" ref="N37:N47" si="23">IF(H37=0,0,L37/H37)</f>
        <v>-1.9820177644983553E-4</v>
      </c>
      <c r="O37" s="13"/>
      <c r="P37" s="1">
        <f>SUM(OSRRefP22_1x_0)</f>
        <v>685548.13</v>
      </c>
      <c r="Q37" s="1"/>
      <c r="R37" s="5">
        <f t="shared" ref="R37:R47" si="24">IF(P$12=0,0,P37/P$12)</f>
        <v>0.20903707090389387</v>
      </c>
      <c r="S37" s="1"/>
      <c r="T37" s="1">
        <f>SUM(OSRRefT22_1x_0)</f>
        <v>744813.94777923054</v>
      </c>
      <c r="U37" s="1"/>
      <c r="V37" s="5">
        <f t="shared" ref="V37:V47" si="25">IF(T$12=0,0,T37/T$12)</f>
        <v>0.22895661242141077</v>
      </c>
      <c r="W37" s="1"/>
      <c r="X37" s="1">
        <f t="shared" ref="X37:X47" si="26">+P37-T37</f>
        <v>-59265.817779230536</v>
      </c>
      <c r="Y37" s="1"/>
      <c r="Z37" s="5">
        <f t="shared" ref="Z37:Z47" si="27">IF(T37=0,0,X37/T37)</f>
        <v>-7.9571304962722647E-2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14374.72</v>
      </c>
      <c r="E39" s="2"/>
      <c r="F39" s="7">
        <f t="shared" si="20"/>
        <v>2.7859696031713579E-2</v>
      </c>
      <c r="G39" s="2"/>
      <c r="H39" s="6">
        <v>13886.0703747692</v>
      </c>
      <c r="I39" s="2"/>
      <c r="J39" s="7">
        <f t="shared" si="21"/>
        <v>2.7768864023583615E-2</v>
      </c>
      <c r="K39" s="2"/>
      <c r="L39" s="6">
        <f t="shared" si="22"/>
        <v>488.64962523079885</v>
      </c>
      <c r="M39" s="2"/>
      <c r="N39" s="7">
        <f t="shared" si="23"/>
        <v>3.5189914212063085E-2</v>
      </c>
      <c r="O39" s="11"/>
      <c r="P39" s="6">
        <v>118171.48000000001</v>
      </c>
      <c r="Q39" s="2"/>
      <c r="R39" s="7">
        <f t="shared" si="24"/>
        <v>3.6032802020155873E-2</v>
      </c>
      <c r="S39" s="2"/>
      <c r="T39" s="6">
        <v>121503.1157792305</v>
      </c>
      <c r="U39" s="2"/>
      <c r="V39" s="7">
        <f t="shared" si="25"/>
        <v>3.7350189091390186E-2</v>
      </c>
      <c r="W39" s="2"/>
      <c r="X39" s="6">
        <f t="shared" si="26"/>
        <v>-3331.6357792304916</v>
      </c>
      <c r="Y39" s="2"/>
      <c r="Z39" s="7">
        <f t="shared" si="27"/>
        <v>-2.7420167440677226E-2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18440.72</v>
      </c>
      <c r="E41" s="2"/>
      <c r="F41" s="7">
        <f t="shared" si="20"/>
        <v>3.5740025113945958E-2</v>
      </c>
      <c r="G41" s="2"/>
      <c r="H41" s="6">
        <v>38111.648000000001</v>
      </c>
      <c r="I41" s="2"/>
      <c r="J41" s="7">
        <f t="shared" si="21"/>
        <v>7.6214302712279941E-2</v>
      </c>
      <c r="K41" s="2"/>
      <c r="L41" s="6">
        <f t="shared" si="22"/>
        <v>-19670.928</v>
      </c>
      <c r="M41" s="2"/>
      <c r="N41" s="7">
        <f t="shared" si="23"/>
        <v>-0.51613952773703198</v>
      </c>
      <c r="O41" s="11"/>
      <c r="P41" s="6">
        <v>144694.54</v>
      </c>
      <c r="Q41" s="2"/>
      <c r="R41" s="7">
        <f t="shared" si="24"/>
        <v>4.4120203226849015E-2</v>
      </c>
      <c r="S41" s="2"/>
      <c r="T41" s="6">
        <v>329820.83199999999</v>
      </c>
      <c r="U41" s="2"/>
      <c r="V41" s="7">
        <f t="shared" si="25"/>
        <v>0.10138728017364472</v>
      </c>
      <c r="W41" s="2"/>
      <c r="X41" s="6">
        <f t="shared" si="26"/>
        <v>-185126.29199999999</v>
      </c>
      <c r="Y41" s="2"/>
      <c r="Z41" s="7">
        <f t="shared" si="27"/>
        <v>-0.56129350859196181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17518.98</v>
      </c>
      <c r="E42" s="2"/>
      <c r="F42" s="7">
        <f t="shared" si="20"/>
        <v>3.3953597536902948E-2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17518.98</v>
      </c>
      <c r="M42" s="2"/>
      <c r="N42" s="7">
        <f t="shared" si="23"/>
        <v>0</v>
      </c>
      <c r="O42" s="11"/>
      <c r="P42" s="6">
        <v>110870.81</v>
      </c>
      <c r="Q42" s="2"/>
      <c r="R42" s="7">
        <f t="shared" si="24"/>
        <v>3.3806684544733782E-2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110870.81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10133.07</v>
      </c>
      <c r="Q43" s="2"/>
      <c r="R43" s="7">
        <f t="shared" si="24"/>
        <v>3.0897717889831013E-3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10133.07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45369.689999999995</v>
      </c>
      <c r="E44" s="2"/>
      <c r="F44" s="7">
        <f t="shared" si="20"/>
        <v>8.7931157786243844E-2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45369.689999999995</v>
      </c>
      <c r="M44" s="2"/>
      <c r="N44" s="7">
        <f t="shared" si="23"/>
        <v>0</v>
      </c>
      <c r="O44" s="11"/>
      <c r="P44" s="6">
        <v>278354.98</v>
      </c>
      <c r="Q44" s="2"/>
      <c r="R44" s="7">
        <f t="shared" si="24"/>
        <v>8.4875892945272799E-2</v>
      </c>
      <c r="S44" s="2"/>
      <c r="T44" s="6">
        <v>47250</v>
      </c>
      <c r="U44" s="2"/>
      <c r="V44" s="7">
        <f t="shared" si="25"/>
        <v>1.4524701060134107E-2</v>
      </c>
      <c r="W44" s="2"/>
      <c r="X44" s="6">
        <f t="shared" si="26"/>
        <v>231104.97999999998</v>
      </c>
      <c r="Y44" s="2"/>
      <c r="Z44" s="7">
        <f t="shared" si="27"/>
        <v>4.8911106878306878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4468.75</v>
      </c>
      <c r="E45" s="2"/>
      <c r="F45" s="7">
        <f t="shared" si="20"/>
        <v>8.6609002917427298E-3</v>
      </c>
      <c r="G45" s="2"/>
      <c r="H45" s="6">
        <v>48195</v>
      </c>
      <c r="I45" s="2"/>
      <c r="J45" s="7">
        <f t="shared" si="21"/>
        <v>9.6378627321975996E-2</v>
      </c>
      <c r="K45" s="2"/>
      <c r="L45" s="6">
        <f t="shared" si="22"/>
        <v>-43726.25</v>
      </c>
      <c r="M45" s="2"/>
      <c r="N45" s="7">
        <f t="shared" si="23"/>
        <v>-0.90727772590517686</v>
      </c>
      <c r="O45" s="11"/>
      <c r="P45" s="6">
        <v>23323.25</v>
      </c>
      <c r="Q45" s="2"/>
      <c r="R45" s="7">
        <f t="shared" si="24"/>
        <v>7.1117163778993062E-3</v>
      </c>
      <c r="S45" s="2"/>
      <c r="T45" s="6">
        <v>246240</v>
      </c>
      <c r="U45" s="2"/>
      <c r="V45" s="7">
        <f t="shared" si="25"/>
        <v>7.5694442096241751E-2</v>
      </c>
      <c r="W45" s="2"/>
      <c r="X45" s="6">
        <f t="shared" si="26"/>
        <v>-222916.75</v>
      </c>
      <c r="Y45" s="2"/>
      <c r="Z45" s="7">
        <f t="shared" si="27"/>
        <v>-0.90528244801819369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56.26</v>
      </c>
      <c r="E48" s="1"/>
      <c r="F48" s="5">
        <f t="shared" ref="F48:F67" si="28">IF(D$12=0,0,D48/D$12)</f>
        <v>1.0903770638622567E-4</v>
      </c>
      <c r="G48" s="1"/>
      <c r="H48" s="1">
        <f>SUM(OSRRefH22_2x_0)</f>
        <v>250</v>
      </c>
      <c r="I48" s="1"/>
      <c r="J48" s="5">
        <f t="shared" ref="J48:J67" si="29">IF(H$12=0,0,H48/H$12)</f>
        <v>4.9994100696117854E-4</v>
      </c>
      <c r="K48" s="1"/>
      <c r="L48" s="1">
        <f t="shared" ref="L48:L67" si="30">+D48-H48</f>
        <v>-193.74</v>
      </c>
      <c r="M48" s="1"/>
      <c r="N48" s="5">
        <f t="shared" ref="N48:N67" si="31">IF(H48=0,0,L48/H48)</f>
        <v>-0.77495999999999998</v>
      </c>
      <c r="O48" s="13"/>
      <c r="P48" s="1">
        <f>SUM(OSRRefP22_2x_0)</f>
        <v>2828.94</v>
      </c>
      <c r="Q48" s="1"/>
      <c r="R48" s="5">
        <f t="shared" ref="R48:R67" si="32">IF(P$12=0,0,P48/P$12)</f>
        <v>8.6259929169796084E-4</v>
      </c>
      <c r="S48" s="1"/>
      <c r="T48" s="1">
        <f>SUM(OSRRefT22_2x_0)</f>
        <v>3900</v>
      </c>
      <c r="U48" s="1"/>
      <c r="V48" s="5">
        <f t="shared" ref="V48:V67" si="33">IF(T$12=0,0,T48/T$12)</f>
        <v>1.1988642144872596E-3</v>
      </c>
      <c r="W48" s="1"/>
      <c r="X48" s="1">
        <f t="shared" ref="X48:X67" si="34">+P48-T48</f>
        <v>-1071.06</v>
      </c>
      <c r="Y48" s="1"/>
      <c r="Z48" s="5">
        <f t="shared" ref="Z48:Z67" si="35">IF(T48=0,0,X48/T48)</f>
        <v>-0.27463076923076923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56.26</v>
      </c>
      <c r="E49" s="2"/>
      <c r="F49" s="7">
        <f t="shared" si="28"/>
        <v>1.0903770638622567E-4</v>
      </c>
      <c r="G49" s="2"/>
      <c r="H49" s="6">
        <v>250</v>
      </c>
      <c r="I49" s="2"/>
      <c r="J49" s="7">
        <f t="shared" si="29"/>
        <v>4.9994100696117854E-4</v>
      </c>
      <c r="K49" s="2"/>
      <c r="L49" s="6">
        <f t="shared" si="30"/>
        <v>-193.74</v>
      </c>
      <c r="M49" s="2"/>
      <c r="N49" s="7">
        <f t="shared" si="31"/>
        <v>-0.77495999999999998</v>
      </c>
      <c r="O49" s="11"/>
      <c r="P49" s="6">
        <v>2828.94</v>
      </c>
      <c r="Q49" s="2"/>
      <c r="R49" s="7">
        <f t="shared" si="32"/>
        <v>8.6259929169796084E-4</v>
      </c>
      <c r="S49" s="2"/>
      <c r="T49" s="6">
        <v>3900</v>
      </c>
      <c r="U49" s="2"/>
      <c r="V49" s="7">
        <f t="shared" si="33"/>
        <v>1.1988642144872596E-3</v>
      </c>
      <c r="W49" s="2"/>
      <c r="X49" s="6">
        <f t="shared" si="34"/>
        <v>-1071.06</v>
      </c>
      <c r="Y49" s="2"/>
      <c r="Z49" s="7">
        <f t="shared" si="35"/>
        <v>-0.27463076923076923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1</v>
      </c>
      <c r="E50" s="1"/>
      <c r="F50" s="5">
        <f t="shared" si="28"/>
        <v>1.9381035617885828E-6</v>
      </c>
      <c r="G50" s="1"/>
      <c r="H50" s="1">
        <f>SUM(OSRRefH22_3x_0)</f>
        <v>10</v>
      </c>
      <c r="I50" s="1"/>
      <c r="J50" s="5">
        <f t="shared" si="29"/>
        <v>1.9997640278447142E-5</v>
      </c>
      <c r="K50" s="1"/>
      <c r="L50" s="1">
        <f t="shared" si="30"/>
        <v>-9</v>
      </c>
      <c r="M50" s="1"/>
      <c r="N50" s="5">
        <f t="shared" si="31"/>
        <v>-0.9</v>
      </c>
      <c r="O50" s="13"/>
      <c r="P50" s="1">
        <f>SUM(OSRRefP22_3x_0)</f>
        <v>1.95</v>
      </c>
      <c r="Q50" s="1"/>
      <c r="R50" s="5">
        <f t="shared" si="32"/>
        <v>5.9459324652025966E-7</v>
      </c>
      <c r="S50" s="1"/>
      <c r="T50" s="1">
        <f>SUM(OSRRefT22_3x_0)</f>
        <v>82</v>
      </c>
      <c r="U50" s="1"/>
      <c r="V50" s="5">
        <f t="shared" si="33"/>
        <v>2.5206888612296229E-5</v>
      </c>
      <c r="W50" s="1"/>
      <c r="X50" s="1">
        <f t="shared" si="34"/>
        <v>-80.05</v>
      </c>
      <c r="Y50" s="1"/>
      <c r="Z50" s="5">
        <f t="shared" si="35"/>
        <v>-0.97621951219512193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1</v>
      </c>
      <c r="E51" s="2"/>
      <c r="F51" s="7">
        <f t="shared" si="28"/>
        <v>1.9381035617885828E-6</v>
      </c>
      <c r="G51" s="2"/>
      <c r="H51" s="6">
        <v>10</v>
      </c>
      <c r="I51" s="2"/>
      <c r="J51" s="7">
        <f t="shared" si="29"/>
        <v>1.9997640278447142E-5</v>
      </c>
      <c r="K51" s="2"/>
      <c r="L51" s="6">
        <f t="shared" si="30"/>
        <v>-9</v>
      </c>
      <c r="M51" s="2"/>
      <c r="N51" s="7">
        <f t="shared" si="31"/>
        <v>-0.9</v>
      </c>
      <c r="O51" s="11"/>
      <c r="P51" s="6">
        <v>1.95</v>
      </c>
      <c r="Q51" s="2"/>
      <c r="R51" s="7">
        <f t="shared" si="32"/>
        <v>5.9459324652025966E-7</v>
      </c>
      <c r="S51" s="2"/>
      <c r="T51" s="6">
        <v>82</v>
      </c>
      <c r="U51" s="2"/>
      <c r="V51" s="7">
        <f t="shared" si="33"/>
        <v>2.5206888612296229E-5</v>
      </c>
      <c r="W51" s="2"/>
      <c r="X51" s="6">
        <f t="shared" si="34"/>
        <v>-80.05</v>
      </c>
      <c r="Y51" s="2"/>
      <c r="Z51" s="7">
        <f t="shared" si="35"/>
        <v>-0.97621951219512193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159.88999999999999</v>
      </c>
      <c r="E52" s="1"/>
      <c r="F52" s="5">
        <f t="shared" si="28"/>
        <v>3.0988337849437652E-4</v>
      </c>
      <c r="G52" s="1"/>
      <c r="H52" s="1">
        <f>SUM(OSRRefH22_4x_0)</f>
        <v>225</v>
      </c>
      <c r="I52" s="1"/>
      <c r="J52" s="5">
        <f t="shared" si="29"/>
        <v>4.4994690626506067E-4</v>
      </c>
      <c r="K52" s="1"/>
      <c r="L52" s="1">
        <f t="shared" si="30"/>
        <v>-65.110000000000014</v>
      </c>
      <c r="M52" s="1"/>
      <c r="N52" s="5">
        <f t="shared" si="31"/>
        <v>-0.28937777777777784</v>
      </c>
      <c r="O52" s="13"/>
      <c r="P52" s="1">
        <f>SUM(OSRRefP22_4x_0)</f>
        <v>1763.05</v>
      </c>
      <c r="Q52" s="1"/>
      <c r="R52" s="5">
        <f t="shared" si="32"/>
        <v>5.375885247577148E-4</v>
      </c>
      <c r="S52" s="1"/>
      <c r="T52" s="1">
        <f>SUM(OSRRefT22_4x_0)</f>
        <v>1800</v>
      </c>
      <c r="U52" s="1"/>
      <c r="V52" s="5">
        <f t="shared" si="33"/>
        <v>5.5332194514796592E-4</v>
      </c>
      <c r="W52" s="1"/>
      <c r="X52" s="1">
        <f t="shared" si="34"/>
        <v>-36.950000000000045</v>
      </c>
      <c r="Y52" s="1"/>
      <c r="Z52" s="5">
        <f t="shared" si="35"/>
        <v>-2.0527777777777804E-2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159.88999999999999</v>
      </c>
      <c r="E53" s="2"/>
      <c r="F53" s="7">
        <f t="shared" si="28"/>
        <v>3.0988337849437652E-4</v>
      </c>
      <c r="G53" s="2"/>
      <c r="H53" s="6">
        <v>225</v>
      </c>
      <c r="I53" s="2"/>
      <c r="J53" s="7">
        <f t="shared" si="29"/>
        <v>4.4994690626506067E-4</v>
      </c>
      <c r="K53" s="2"/>
      <c r="L53" s="6">
        <f t="shared" si="30"/>
        <v>-65.110000000000014</v>
      </c>
      <c r="M53" s="2"/>
      <c r="N53" s="7">
        <f t="shared" si="31"/>
        <v>-0.28937777777777784</v>
      </c>
      <c r="O53" s="11"/>
      <c r="P53" s="6">
        <v>1763.05</v>
      </c>
      <c r="Q53" s="2"/>
      <c r="R53" s="7">
        <f t="shared" si="32"/>
        <v>5.375885247577148E-4</v>
      </c>
      <c r="S53" s="2"/>
      <c r="T53" s="6">
        <v>1800</v>
      </c>
      <c r="U53" s="2"/>
      <c r="V53" s="7">
        <f t="shared" si="33"/>
        <v>5.5332194514796592E-4</v>
      </c>
      <c r="W53" s="2"/>
      <c r="X53" s="6">
        <f t="shared" si="34"/>
        <v>-36.950000000000045</v>
      </c>
      <c r="Y53" s="2"/>
      <c r="Z53" s="7">
        <f t="shared" si="35"/>
        <v>-2.0527777777777804E-2</v>
      </c>
    </row>
    <row r="54" spans="1:26" s="27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11586.15</v>
      </c>
      <c r="E54" s="1"/>
      <c r="F54" s="5">
        <f t="shared" si="28"/>
        <v>2.2455158582416791E-2</v>
      </c>
      <c r="G54" s="1"/>
      <c r="H54" s="1">
        <f>SUM(OSRRefH22_5x_0)</f>
        <v>9000</v>
      </c>
      <c r="I54" s="1"/>
      <c r="J54" s="5">
        <f t="shared" si="29"/>
        <v>1.7997876250602427E-2</v>
      </c>
      <c r="K54" s="1"/>
      <c r="L54" s="1">
        <f t="shared" si="30"/>
        <v>2586.1499999999996</v>
      </c>
      <c r="M54" s="1"/>
      <c r="N54" s="5">
        <f t="shared" si="31"/>
        <v>0.28734999999999994</v>
      </c>
      <c r="O54" s="13"/>
      <c r="P54" s="1">
        <f>SUM(OSRRefP22_5x_0)</f>
        <v>63456.429999999993</v>
      </c>
      <c r="Q54" s="1"/>
      <c r="R54" s="5">
        <f t="shared" si="32"/>
        <v>1.9349110116043896E-2</v>
      </c>
      <c r="S54" s="1"/>
      <c r="T54" s="1">
        <f>SUM(OSRRefT22_5x_0)</f>
        <v>57000</v>
      </c>
      <c r="U54" s="1"/>
      <c r="V54" s="5">
        <f t="shared" si="33"/>
        <v>1.7521861596352255E-2</v>
      </c>
      <c r="W54" s="1"/>
      <c r="X54" s="1">
        <f t="shared" si="34"/>
        <v>6456.429999999993</v>
      </c>
      <c r="Y54" s="1"/>
      <c r="Z54" s="5">
        <f t="shared" si="35"/>
        <v>0.11327070175438585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6">
        <v>11586.15</v>
      </c>
      <c r="E55" s="2"/>
      <c r="F55" s="7">
        <f t="shared" si="28"/>
        <v>2.2455158582416791E-2</v>
      </c>
      <c r="G55" s="2"/>
      <c r="H55" s="6">
        <v>9000</v>
      </c>
      <c r="I55" s="2"/>
      <c r="J55" s="7">
        <f t="shared" si="29"/>
        <v>1.7997876250602427E-2</v>
      </c>
      <c r="K55" s="2"/>
      <c r="L55" s="6">
        <f t="shared" si="30"/>
        <v>2586.1499999999996</v>
      </c>
      <c r="M55" s="2"/>
      <c r="N55" s="7">
        <f t="shared" si="31"/>
        <v>0.28734999999999994</v>
      </c>
      <c r="O55" s="11"/>
      <c r="P55" s="6">
        <v>63456.429999999993</v>
      </c>
      <c r="Q55" s="2"/>
      <c r="R55" s="7">
        <f t="shared" si="32"/>
        <v>1.9349110116043896E-2</v>
      </c>
      <c r="S55" s="2"/>
      <c r="T55" s="6">
        <v>57000</v>
      </c>
      <c r="U55" s="2"/>
      <c r="V55" s="7">
        <f t="shared" si="33"/>
        <v>1.7521861596352255E-2</v>
      </c>
      <c r="W55" s="2"/>
      <c r="X55" s="6">
        <f t="shared" si="34"/>
        <v>6456.429999999993</v>
      </c>
      <c r="Y55" s="2"/>
      <c r="Z55" s="7">
        <f t="shared" si="35"/>
        <v>0.11327070175438585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160</v>
      </c>
      <c r="I56" s="1"/>
      <c r="J56" s="5">
        <f t="shared" si="29"/>
        <v>3.1996224445515428E-4</v>
      </c>
      <c r="K56" s="1"/>
      <c r="L56" s="1">
        <f t="shared" si="30"/>
        <v>-160</v>
      </c>
      <c r="M56" s="1"/>
      <c r="N56" s="5">
        <f t="shared" si="31"/>
        <v>-1</v>
      </c>
      <c r="O56" s="13"/>
      <c r="P56" s="1">
        <f>SUM(OSRRefP22_6x_0)</f>
        <v>172.29</v>
      </c>
      <c r="Q56" s="1"/>
      <c r="R56" s="5">
        <f t="shared" si="32"/>
        <v>5.2534600227166942E-5</v>
      </c>
      <c r="S56" s="1"/>
      <c r="T56" s="1">
        <f>SUM(OSRRefT22_6x_0)</f>
        <v>1290</v>
      </c>
      <c r="U56" s="1"/>
      <c r="V56" s="5">
        <f t="shared" si="33"/>
        <v>3.9654739402270896E-4</v>
      </c>
      <c r="W56" s="1"/>
      <c r="X56" s="1">
        <f t="shared" si="34"/>
        <v>-1117.71</v>
      </c>
      <c r="Y56" s="1"/>
      <c r="Z56" s="5">
        <f t="shared" si="35"/>
        <v>-0.86644186046511629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160</v>
      </c>
      <c r="I57" s="2"/>
      <c r="J57" s="7">
        <f t="shared" si="29"/>
        <v>3.1996224445515428E-4</v>
      </c>
      <c r="K57" s="2"/>
      <c r="L57" s="6">
        <f t="shared" si="30"/>
        <v>-160</v>
      </c>
      <c r="M57" s="2"/>
      <c r="N57" s="7">
        <f t="shared" si="31"/>
        <v>-1</v>
      </c>
      <c r="O57" s="11"/>
      <c r="P57" s="6">
        <v>172.29</v>
      </c>
      <c r="Q57" s="2"/>
      <c r="R57" s="7">
        <f t="shared" si="32"/>
        <v>5.2534600227166942E-5</v>
      </c>
      <c r="S57" s="2"/>
      <c r="T57" s="6">
        <v>1290</v>
      </c>
      <c r="U57" s="2"/>
      <c r="V57" s="7">
        <f t="shared" si="33"/>
        <v>3.9654739402270896E-4</v>
      </c>
      <c r="W57" s="2"/>
      <c r="X57" s="6">
        <f t="shared" si="34"/>
        <v>-1117.71</v>
      </c>
      <c r="Y57" s="2"/>
      <c r="Z57" s="7">
        <f t="shared" si="35"/>
        <v>-0.86644186046511629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88.89</v>
      </c>
      <c r="E58" s="1"/>
      <c r="F58" s="5">
        <f t="shared" si="28"/>
        <v>1.7227802560738713E-4</v>
      </c>
      <c r="G58" s="1"/>
      <c r="H58" s="1">
        <f>SUM(OSRRefH22_7x_0)</f>
        <v>400</v>
      </c>
      <c r="I58" s="1"/>
      <c r="J58" s="5">
        <f t="shared" si="29"/>
        <v>7.9990561113788558E-4</v>
      </c>
      <c r="K58" s="1"/>
      <c r="L58" s="1">
        <f t="shared" si="30"/>
        <v>-311.11</v>
      </c>
      <c r="M58" s="1"/>
      <c r="N58" s="5">
        <f t="shared" si="31"/>
        <v>-0.77777499999999999</v>
      </c>
      <c r="O58" s="13"/>
      <c r="P58" s="1">
        <f>SUM(OSRRefP22_7x_0)</f>
        <v>1958.21</v>
      </c>
      <c r="Q58" s="1"/>
      <c r="R58" s="5">
        <f t="shared" si="32"/>
        <v>5.9709663654791678E-4</v>
      </c>
      <c r="S58" s="1"/>
      <c r="T58" s="1">
        <f>SUM(OSRRefT22_7x_0)</f>
        <v>3400</v>
      </c>
      <c r="U58" s="1"/>
      <c r="V58" s="5">
        <f t="shared" si="33"/>
        <v>1.0451636741683802E-3</v>
      </c>
      <c r="W58" s="1"/>
      <c r="X58" s="1">
        <f t="shared" si="34"/>
        <v>-1441.79</v>
      </c>
      <c r="Y58" s="1"/>
      <c r="Z58" s="5">
        <f t="shared" si="35"/>
        <v>-0.42405588235294117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88.89</v>
      </c>
      <c r="E59" s="2"/>
      <c r="F59" s="7">
        <f t="shared" si="28"/>
        <v>1.7227802560738713E-4</v>
      </c>
      <c r="G59" s="2"/>
      <c r="H59" s="6">
        <v>400</v>
      </c>
      <c r="I59" s="2"/>
      <c r="J59" s="7">
        <f t="shared" si="29"/>
        <v>7.9990561113788558E-4</v>
      </c>
      <c r="K59" s="2"/>
      <c r="L59" s="6">
        <f t="shared" si="30"/>
        <v>-311.11</v>
      </c>
      <c r="M59" s="2"/>
      <c r="N59" s="7">
        <f t="shared" si="31"/>
        <v>-0.77777499999999999</v>
      </c>
      <c r="O59" s="11"/>
      <c r="P59" s="6">
        <v>1958.21</v>
      </c>
      <c r="Q59" s="2"/>
      <c r="R59" s="7">
        <f t="shared" si="32"/>
        <v>5.9709663654791678E-4</v>
      </c>
      <c r="S59" s="2"/>
      <c r="T59" s="6">
        <v>3400</v>
      </c>
      <c r="U59" s="2"/>
      <c r="V59" s="7">
        <f t="shared" si="33"/>
        <v>1.0451636741683802E-3</v>
      </c>
      <c r="W59" s="2"/>
      <c r="X59" s="6">
        <f t="shared" si="34"/>
        <v>-1441.79</v>
      </c>
      <c r="Y59" s="2"/>
      <c r="Z59" s="7">
        <f t="shared" si="35"/>
        <v>-0.42405588235294117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250</v>
      </c>
      <c r="I60" s="1"/>
      <c r="J60" s="5">
        <f t="shared" si="29"/>
        <v>4.9994100696117854E-4</v>
      </c>
      <c r="K60" s="1"/>
      <c r="L60" s="1">
        <f t="shared" si="30"/>
        <v>-250</v>
      </c>
      <c r="M60" s="1"/>
      <c r="N60" s="5">
        <f t="shared" si="31"/>
        <v>-1</v>
      </c>
      <c r="O60" s="13"/>
      <c r="P60" s="1">
        <f>SUM(OSRRefP22_8x_0)</f>
        <v>2391.19</v>
      </c>
      <c r="Q60" s="1"/>
      <c r="R60" s="5">
        <f t="shared" si="32"/>
        <v>7.2912073084450252E-4</v>
      </c>
      <c r="S60" s="1"/>
      <c r="T60" s="1">
        <f>SUM(OSRRefT22_8x_0)</f>
        <v>2995</v>
      </c>
      <c r="U60" s="1"/>
      <c r="V60" s="5">
        <f t="shared" si="33"/>
        <v>9.2066623651008788E-4</v>
      </c>
      <c r="W60" s="1"/>
      <c r="X60" s="1">
        <f t="shared" si="34"/>
        <v>-603.80999999999995</v>
      </c>
      <c r="Y60" s="1"/>
      <c r="Z60" s="5">
        <f t="shared" si="35"/>
        <v>-0.20160601001669448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>
        <v>250</v>
      </c>
      <c r="I61" s="2"/>
      <c r="J61" s="7">
        <f t="shared" si="29"/>
        <v>4.9994100696117854E-4</v>
      </c>
      <c r="K61" s="2"/>
      <c r="L61" s="6">
        <f t="shared" si="30"/>
        <v>-250</v>
      </c>
      <c r="M61" s="2"/>
      <c r="N61" s="7">
        <f t="shared" si="31"/>
        <v>-1</v>
      </c>
      <c r="O61" s="11"/>
      <c r="P61" s="6">
        <v>2391.19</v>
      </c>
      <c r="Q61" s="2"/>
      <c r="R61" s="7">
        <f t="shared" si="32"/>
        <v>7.2912073084450252E-4</v>
      </c>
      <c r="S61" s="2"/>
      <c r="T61" s="6">
        <v>2995</v>
      </c>
      <c r="U61" s="2"/>
      <c r="V61" s="7">
        <f t="shared" si="33"/>
        <v>9.2066623651008788E-4</v>
      </c>
      <c r="W61" s="2"/>
      <c r="X61" s="6">
        <f t="shared" si="34"/>
        <v>-603.80999999999995</v>
      </c>
      <c r="Y61" s="2"/>
      <c r="Z61" s="7">
        <f t="shared" si="35"/>
        <v>-0.20160601001669448</v>
      </c>
    </row>
    <row r="62" spans="1:26" s="27" customFormat="1" outlineLevel="1" collapsed="1" x14ac:dyDescent="0.25">
      <c r="A62" s="26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38847.480000000003</v>
      </c>
      <c r="E62" s="1"/>
      <c r="F62" s="5">
        <f t="shared" si="28"/>
        <v>7.5290439354510755E-2</v>
      </c>
      <c r="G62" s="1"/>
      <c r="H62" s="1">
        <f>SUM(OSRRefH22_9x_0)</f>
        <v>40005</v>
      </c>
      <c r="I62" s="1"/>
      <c r="J62" s="5">
        <f t="shared" si="29"/>
        <v>8.0000559933927781E-2</v>
      </c>
      <c r="K62" s="1"/>
      <c r="L62" s="1">
        <f t="shared" si="30"/>
        <v>-1157.5199999999968</v>
      </c>
      <c r="M62" s="1"/>
      <c r="N62" s="5">
        <f t="shared" si="31"/>
        <v>-2.8934383202099657E-2</v>
      </c>
      <c r="O62" s="13"/>
      <c r="P62" s="1">
        <f>SUM(OSRRefP22_9x_0)</f>
        <v>252421.51</v>
      </c>
      <c r="Q62" s="1"/>
      <c r="R62" s="5">
        <f t="shared" si="32"/>
        <v>7.6968269293562153E-2</v>
      </c>
      <c r="S62" s="1"/>
      <c r="T62" s="1">
        <f>SUM(OSRRefT22_9x_0)</f>
        <v>260247</v>
      </c>
      <c r="U62" s="1"/>
      <c r="V62" s="5">
        <f t="shared" si="33"/>
        <v>8.0000209032734831E-2</v>
      </c>
      <c r="W62" s="1"/>
      <c r="X62" s="1">
        <f t="shared" si="34"/>
        <v>-7825.4899999999907</v>
      </c>
      <c r="Y62" s="1"/>
      <c r="Z62" s="5">
        <f t="shared" si="35"/>
        <v>-3.0069472462698862E-2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6">
        <v>38847.480000000003</v>
      </c>
      <c r="E63" s="2"/>
      <c r="F63" s="7">
        <f t="shared" si="28"/>
        <v>7.5290439354510755E-2</v>
      </c>
      <c r="G63" s="2"/>
      <c r="H63" s="6">
        <v>40005</v>
      </c>
      <c r="I63" s="2"/>
      <c r="J63" s="7">
        <f t="shared" si="29"/>
        <v>8.0000559933927781E-2</v>
      </c>
      <c r="K63" s="2"/>
      <c r="L63" s="6">
        <f t="shared" si="30"/>
        <v>-1157.5199999999968</v>
      </c>
      <c r="M63" s="2"/>
      <c r="N63" s="7">
        <f t="shared" si="31"/>
        <v>-2.8934383202099657E-2</v>
      </c>
      <c r="O63" s="11"/>
      <c r="P63" s="6">
        <v>252421.51</v>
      </c>
      <c r="Q63" s="2"/>
      <c r="R63" s="7">
        <f t="shared" si="32"/>
        <v>7.6968269293562153E-2</v>
      </c>
      <c r="S63" s="2"/>
      <c r="T63" s="6">
        <v>260247</v>
      </c>
      <c r="U63" s="2"/>
      <c r="V63" s="7">
        <f t="shared" si="33"/>
        <v>8.0000209032734831E-2</v>
      </c>
      <c r="W63" s="2"/>
      <c r="X63" s="6">
        <f t="shared" si="34"/>
        <v>-7825.4899999999907</v>
      </c>
      <c r="Y63" s="2"/>
      <c r="Z63" s="7">
        <f t="shared" si="35"/>
        <v>-3.0069472462698862E-2</v>
      </c>
    </row>
    <row r="64" spans="1:26" s="27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0</v>
      </c>
      <c r="E64" s="1"/>
      <c r="F64" s="5">
        <f t="shared" si="28"/>
        <v>0</v>
      </c>
      <c r="G64" s="1"/>
      <c r="H64" s="1">
        <f>SUM(OSRRefH22_10x_0)</f>
        <v>11050</v>
      </c>
      <c r="I64" s="1"/>
      <c r="J64" s="5">
        <f t="shared" si="29"/>
        <v>2.209739250768409E-2</v>
      </c>
      <c r="K64" s="1"/>
      <c r="L64" s="1">
        <f t="shared" si="30"/>
        <v>-11050</v>
      </c>
      <c r="M64" s="1"/>
      <c r="N64" s="5">
        <f t="shared" si="31"/>
        <v>-1</v>
      </c>
      <c r="O64" s="13"/>
      <c r="P64" s="1">
        <f>SUM(OSRRefP22_10x_0)</f>
        <v>8530.3700000000008</v>
      </c>
      <c r="Q64" s="1"/>
      <c r="R64" s="5">
        <f t="shared" si="32"/>
        <v>2.6010771242661684E-3</v>
      </c>
      <c r="S64" s="1"/>
      <c r="T64" s="1">
        <f>SUM(OSRRefT22_10x_0)</f>
        <v>16300</v>
      </c>
      <c r="U64" s="1"/>
      <c r="V64" s="5">
        <f t="shared" si="33"/>
        <v>5.0106376143954695E-3</v>
      </c>
      <c r="W64" s="1"/>
      <c r="X64" s="1">
        <f t="shared" si="34"/>
        <v>-7769.6299999999992</v>
      </c>
      <c r="Y64" s="1"/>
      <c r="Z64" s="5">
        <f t="shared" si="35"/>
        <v>-0.47666441717791408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8"/>
        <v>0</v>
      </c>
      <c r="G65" s="2"/>
      <c r="H65" s="6">
        <v>9000</v>
      </c>
      <c r="I65" s="2"/>
      <c r="J65" s="7">
        <f t="shared" si="29"/>
        <v>1.7997876250602427E-2</v>
      </c>
      <c r="K65" s="2"/>
      <c r="L65" s="6">
        <f t="shared" si="30"/>
        <v>-9000</v>
      </c>
      <c r="M65" s="2"/>
      <c r="N65" s="7">
        <f t="shared" si="31"/>
        <v>-1</v>
      </c>
      <c r="O65" s="11"/>
      <c r="P65" s="6">
        <v>8238.75</v>
      </c>
      <c r="Q65" s="2"/>
      <c r="R65" s="7">
        <f t="shared" si="32"/>
        <v>2.5121564665480972E-3</v>
      </c>
      <c r="S65" s="2"/>
      <c r="T65" s="6">
        <v>9000</v>
      </c>
      <c r="U65" s="2"/>
      <c r="V65" s="7">
        <f t="shared" si="33"/>
        <v>2.7666097257398299E-3</v>
      </c>
      <c r="W65" s="2"/>
      <c r="X65" s="6">
        <f t="shared" si="34"/>
        <v>-761.25</v>
      </c>
      <c r="Y65" s="2"/>
      <c r="Z65" s="7">
        <f t="shared" si="35"/>
        <v>-8.458333333333333E-2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/>
      <c r="E66" s="2"/>
      <c r="F66" s="7">
        <f t="shared" si="28"/>
        <v>0</v>
      </c>
      <c r="G66" s="2"/>
      <c r="H66" s="6">
        <v>1800</v>
      </c>
      <c r="I66" s="2"/>
      <c r="J66" s="7">
        <f t="shared" si="29"/>
        <v>3.5995752501204853E-3</v>
      </c>
      <c r="K66" s="2"/>
      <c r="L66" s="6">
        <f t="shared" si="30"/>
        <v>-1800</v>
      </c>
      <c r="M66" s="2"/>
      <c r="N66" s="7">
        <f t="shared" si="31"/>
        <v>-1</v>
      </c>
      <c r="O66" s="11"/>
      <c r="P66" s="6">
        <v>139.84</v>
      </c>
      <c r="Q66" s="2"/>
      <c r="R66" s="7">
        <f t="shared" si="32"/>
        <v>4.2639958765842627E-5</v>
      </c>
      <c r="S66" s="2"/>
      <c r="T66" s="6">
        <v>5300</v>
      </c>
      <c r="U66" s="2"/>
      <c r="V66" s="7">
        <f t="shared" si="33"/>
        <v>1.6292257273801221E-3</v>
      </c>
      <c r="W66" s="2"/>
      <c r="X66" s="6">
        <f t="shared" si="34"/>
        <v>-5160.16</v>
      </c>
      <c r="Y66" s="2"/>
      <c r="Z66" s="7">
        <f t="shared" si="35"/>
        <v>-0.97361509433962257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28"/>
        <v>0</v>
      </c>
      <c r="G67" s="2"/>
      <c r="H67" s="6">
        <v>250</v>
      </c>
      <c r="I67" s="2"/>
      <c r="J67" s="7">
        <f t="shared" si="29"/>
        <v>4.9994100696117854E-4</v>
      </c>
      <c r="K67" s="2"/>
      <c r="L67" s="6">
        <f t="shared" si="30"/>
        <v>-250</v>
      </c>
      <c r="M67" s="2"/>
      <c r="N67" s="7">
        <f t="shared" si="31"/>
        <v>-1</v>
      </c>
      <c r="O67" s="11"/>
      <c r="P67" s="6">
        <v>151.78</v>
      </c>
      <c r="Q67" s="2"/>
      <c r="R67" s="7">
        <f t="shared" si="32"/>
        <v>4.6280698952228219E-5</v>
      </c>
      <c r="S67" s="2"/>
      <c r="T67" s="6">
        <v>2000</v>
      </c>
      <c r="U67" s="2"/>
      <c r="V67" s="7">
        <f t="shared" si="33"/>
        <v>6.148021612755178E-4</v>
      </c>
      <c r="W67" s="2"/>
      <c r="X67" s="6">
        <f t="shared" si="34"/>
        <v>-1848.22</v>
      </c>
      <c r="Y67" s="2"/>
      <c r="Z67" s="7">
        <f t="shared" si="35"/>
        <v>-0.92410999999999999</v>
      </c>
    </row>
    <row r="68" spans="1:26" s="27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6957.6500000000005</v>
      </c>
      <c r="E68" s="1"/>
      <c r="F68" s="5">
        <f t="shared" ref="F68:F72" si="36">IF(D$12=0,0,D68/D$12)</f>
        <v>1.3484646246678335E-2</v>
      </c>
      <c r="G68" s="1"/>
      <c r="H68" s="1">
        <f>SUM(OSRRefH22_11x_0)</f>
        <v>6758</v>
      </c>
      <c r="I68" s="1"/>
      <c r="J68" s="5">
        <f t="shared" ref="J68:J72" si="37">IF(H$12=0,0,H68/H$12)</f>
        <v>1.3514405300174578E-2</v>
      </c>
      <c r="K68" s="1"/>
      <c r="L68" s="1">
        <f t="shared" ref="L68:L72" si="38">+D68-H68</f>
        <v>199.65000000000055</v>
      </c>
      <c r="M68" s="1"/>
      <c r="N68" s="5">
        <f t="shared" ref="N68:N72" si="39">IF(H68=0,0,L68/H68)</f>
        <v>2.9542764131399904E-2</v>
      </c>
      <c r="O68" s="13"/>
      <c r="P68" s="1">
        <f>SUM(OSRRefP22_11x_0)</f>
        <v>50811.1</v>
      </c>
      <c r="Q68" s="1"/>
      <c r="R68" s="5">
        <f t="shared" ref="R68:R72" si="40">IF(P$12=0,0,P68/P$12)</f>
        <v>1.5493300978597727E-2</v>
      </c>
      <c r="S68" s="1"/>
      <c r="T68" s="1">
        <f>SUM(OSRRefT22_11x_0)</f>
        <v>52626</v>
      </c>
      <c r="U68" s="1"/>
      <c r="V68" s="5">
        <f t="shared" ref="V68:V72" si="41">IF(T$12=0,0,T68/T$12)</f>
        <v>1.6177289269642698E-2</v>
      </c>
      <c r="W68" s="1"/>
      <c r="X68" s="1">
        <f t="shared" ref="X68:X72" si="42">+P68-T68</f>
        <v>-1814.9000000000015</v>
      </c>
      <c r="Y68" s="1"/>
      <c r="Z68" s="5">
        <f t="shared" ref="Z68:Z72" si="43">IF(T68=0,0,X68/T68)</f>
        <v>-3.448675559609321E-2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834.64</v>
      </c>
      <c r="E69" s="2"/>
      <c r="F69" s="7">
        <f t="shared" si="36"/>
        <v>1.617618756811223E-3</v>
      </c>
      <c r="G69" s="2"/>
      <c r="H69" s="6">
        <v>450</v>
      </c>
      <c r="I69" s="2"/>
      <c r="J69" s="7">
        <f t="shared" si="37"/>
        <v>8.9989381253012134E-4</v>
      </c>
      <c r="K69" s="2"/>
      <c r="L69" s="6">
        <f t="shared" si="38"/>
        <v>384.64</v>
      </c>
      <c r="M69" s="2"/>
      <c r="N69" s="7">
        <f t="shared" si="39"/>
        <v>0.85475555555555549</v>
      </c>
      <c r="O69" s="11"/>
      <c r="P69" s="6">
        <v>3875.88</v>
      </c>
      <c r="Q69" s="2"/>
      <c r="R69" s="7">
        <f t="shared" si="40"/>
        <v>1.1818318319604842E-3</v>
      </c>
      <c r="S69" s="2"/>
      <c r="T69" s="6">
        <v>3600</v>
      </c>
      <c r="U69" s="2"/>
      <c r="V69" s="7">
        <f t="shared" si="41"/>
        <v>1.1066438902959318E-3</v>
      </c>
      <c r="W69" s="2"/>
      <c r="X69" s="6">
        <f t="shared" si="42"/>
        <v>275.88000000000011</v>
      </c>
      <c r="Y69" s="2"/>
      <c r="Z69" s="7">
        <f t="shared" si="43"/>
        <v>7.6633333333333359E-2</v>
      </c>
    </row>
    <row r="70" spans="1:26" s="24" customFormat="1" hidden="1" outlineLevel="2" x14ac:dyDescent="0.25">
      <c r="A70" s="25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550</v>
      </c>
      <c r="I70" s="2"/>
      <c r="J70" s="7">
        <f t="shared" si="37"/>
        <v>1.0998702153145927E-3</v>
      </c>
      <c r="K70" s="2"/>
      <c r="L70" s="6">
        <f t="shared" si="38"/>
        <v>-550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4350</v>
      </c>
      <c r="U70" s="2"/>
      <c r="V70" s="7">
        <f t="shared" si="41"/>
        <v>1.337194700774251E-3</v>
      </c>
      <c r="W70" s="2"/>
      <c r="X70" s="6">
        <f t="shared" si="42"/>
        <v>-4350</v>
      </c>
      <c r="Y70" s="2"/>
      <c r="Z70" s="7">
        <f t="shared" si="43"/>
        <v>-1</v>
      </c>
    </row>
    <row r="71" spans="1:26" s="24" customFormat="1" hidden="1" outlineLevel="2" x14ac:dyDescent="0.25">
      <c r="A71" s="25"/>
      <c r="B71" s="11" t="str">
        <f>CONCATENATE("          ", "6285", " - ", "JANITORIAL SERVICES")</f>
        <v xml:space="preserve">          6285 - JANITORIAL SERVICES</v>
      </c>
      <c r="C71" s="11"/>
      <c r="D71" s="6">
        <v>4157.05</v>
      </c>
      <c r="E71" s="2"/>
      <c r="F71" s="7">
        <f t="shared" si="36"/>
        <v>8.056793411533229E-3</v>
      </c>
      <c r="G71" s="2"/>
      <c r="H71" s="6">
        <v>4158</v>
      </c>
      <c r="I71" s="2"/>
      <c r="J71" s="7">
        <f t="shared" si="37"/>
        <v>8.315018827778322E-3</v>
      </c>
      <c r="K71" s="2"/>
      <c r="L71" s="6">
        <f t="shared" si="38"/>
        <v>-0.9499999999998181</v>
      </c>
      <c r="M71" s="2"/>
      <c r="N71" s="7">
        <f t="shared" si="39"/>
        <v>-2.2847522847518472E-4</v>
      </c>
      <c r="O71" s="11"/>
      <c r="P71" s="6">
        <v>32863.480000000003</v>
      </c>
      <c r="Q71" s="2"/>
      <c r="R71" s="7">
        <f t="shared" si="40"/>
        <v>1.0020719623155707E-2</v>
      </c>
      <c r="S71" s="2"/>
      <c r="T71" s="6">
        <v>31876</v>
      </c>
      <c r="U71" s="2"/>
      <c r="V71" s="7">
        <f t="shared" si="41"/>
        <v>9.7987168464092021E-3</v>
      </c>
      <c r="W71" s="2"/>
      <c r="X71" s="6">
        <f t="shared" si="42"/>
        <v>987.4800000000032</v>
      </c>
      <c r="Y71" s="2"/>
      <c r="Z71" s="7">
        <f t="shared" si="43"/>
        <v>3.0978792822186071E-2</v>
      </c>
    </row>
    <row r="72" spans="1:26" s="24" customFormat="1" hidden="1" outlineLevel="2" x14ac:dyDescent="0.25">
      <c r="A72" s="25"/>
      <c r="B72" s="11" t="str">
        <f>CONCATENATE("          ", "6286", " - ", "LAUNDRY EXPENSE")</f>
        <v xml:space="preserve">          6286 - LAUNDRY EXPENSE</v>
      </c>
      <c r="C72" s="11"/>
      <c r="D72" s="6">
        <v>1965.96</v>
      </c>
      <c r="E72" s="2"/>
      <c r="F72" s="7">
        <f t="shared" si="36"/>
        <v>3.8102340783338828E-3</v>
      </c>
      <c r="G72" s="2"/>
      <c r="H72" s="6">
        <v>1600</v>
      </c>
      <c r="I72" s="2"/>
      <c r="J72" s="7">
        <f t="shared" si="37"/>
        <v>3.1996224445515423E-3</v>
      </c>
      <c r="K72" s="2"/>
      <c r="L72" s="6">
        <f t="shared" si="38"/>
        <v>365.96000000000004</v>
      </c>
      <c r="M72" s="2"/>
      <c r="N72" s="7">
        <f t="shared" si="39"/>
        <v>0.22872500000000001</v>
      </c>
      <c r="O72" s="11"/>
      <c r="P72" s="6">
        <v>14071.74</v>
      </c>
      <c r="Q72" s="2"/>
      <c r="R72" s="7">
        <f t="shared" si="40"/>
        <v>4.2907495234815385E-3</v>
      </c>
      <c r="S72" s="2"/>
      <c r="T72" s="6">
        <v>12800</v>
      </c>
      <c r="U72" s="2"/>
      <c r="V72" s="7">
        <f t="shared" si="41"/>
        <v>3.9347338321633132E-3</v>
      </c>
      <c r="W72" s="2"/>
      <c r="X72" s="6">
        <f t="shared" si="42"/>
        <v>1271.7399999999998</v>
      </c>
      <c r="Y72" s="2"/>
      <c r="Z72" s="7">
        <f t="shared" si="43"/>
        <v>9.9354687499999983E-2</v>
      </c>
    </row>
    <row r="73" spans="1:26" s="27" customFormat="1" outlineLevel="1" collapsed="1" x14ac:dyDescent="0.25">
      <c r="A73" s="26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SUM(OSRRefD22_12x_0)</f>
        <v>6979.93</v>
      </c>
      <c r="E73" s="1"/>
      <c r="F73" s="5">
        <f t="shared" ref="F73:F81" si="44">IF(D$12=0,0,D73/D$12)</f>
        <v>1.3527827194034985E-2</v>
      </c>
      <c r="G73" s="1"/>
      <c r="H73" s="1">
        <f>SUM(OSRRefH22_12x_0)</f>
        <v>8385</v>
      </c>
      <c r="I73" s="1"/>
      <c r="J73" s="5">
        <f t="shared" ref="J73:J81" si="45">IF(H$12=0,0,H73/H$12)</f>
        <v>1.6768021373477927E-2</v>
      </c>
      <c r="K73" s="1"/>
      <c r="L73" s="1">
        <f t="shared" ref="L73:L81" si="46">+D73-H73</f>
        <v>-1405.0699999999997</v>
      </c>
      <c r="M73" s="1"/>
      <c r="N73" s="5">
        <f t="shared" ref="N73:N81" si="47">IF(H73=0,0,L73/H73)</f>
        <v>-0.16756946929039948</v>
      </c>
      <c r="O73" s="13"/>
      <c r="P73" s="1">
        <f>SUM(OSRRefP22_12x_0)</f>
        <v>53556.46</v>
      </c>
      <c r="Q73" s="1"/>
      <c r="R73" s="5">
        <f t="shared" ref="R73:R81" si="48">IF(P$12=0,0,P73/P$12)</f>
        <v>1.6330415088990989E-2</v>
      </c>
      <c r="S73" s="1"/>
      <c r="T73" s="1">
        <f>SUM(OSRRefT22_12x_0)</f>
        <v>73670</v>
      </c>
      <c r="U73" s="1"/>
      <c r="V73" s="5">
        <f t="shared" ref="V73:V81" si="49">IF(T$12=0,0,T73/T$12)</f>
        <v>2.2646237610583698E-2</v>
      </c>
      <c r="W73" s="1"/>
      <c r="X73" s="1">
        <f t="shared" ref="X73:X81" si="50">+P73-T73</f>
        <v>-20113.54</v>
      </c>
      <c r="Y73" s="1"/>
      <c r="Z73" s="5">
        <f t="shared" ref="Z73:Z81" si="51">IF(T73=0,0,X73/T73)</f>
        <v>-0.27302212569566991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>
        <v>3317.59</v>
      </c>
      <c r="E74" s="2"/>
      <c r="F74" s="7">
        <f t="shared" si="44"/>
        <v>6.429832995554185E-3</v>
      </c>
      <c r="G74" s="2"/>
      <c r="H74" s="6">
        <v>3950</v>
      </c>
      <c r="I74" s="2"/>
      <c r="J74" s="7">
        <f t="shared" si="45"/>
        <v>7.89906790998662E-3</v>
      </c>
      <c r="K74" s="2"/>
      <c r="L74" s="6">
        <f t="shared" si="46"/>
        <v>-632.40999999999985</v>
      </c>
      <c r="M74" s="2"/>
      <c r="N74" s="7">
        <f t="shared" si="47"/>
        <v>-0.1601037974683544</v>
      </c>
      <c r="O74" s="11"/>
      <c r="P74" s="6">
        <v>23651.17</v>
      </c>
      <c r="Q74" s="2"/>
      <c r="R74" s="7">
        <f t="shared" si="48"/>
        <v>7.2117056175910613E-3</v>
      </c>
      <c r="S74" s="2"/>
      <c r="T74" s="6">
        <v>31650</v>
      </c>
      <c r="U74" s="2"/>
      <c r="V74" s="7">
        <f t="shared" si="49"/>
        <v>9.7292442021850688E-3</v>
      </c>
      <c r="W74" s="2"/>
      <c r="X74" s="6">
        <f t="shared" si="50"/>
        <v>-7998.8300000000017</v>
      </c>
      <c r="Y74" s="2"/>
      <c r="Z74" s="7">
        <f t="shared" si="51"/>
        <v>-0.25272764612954191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>
        <v>799.28</v>
      </c>
      <c r="E75" s="2"/>
      <c r="F75" s="7">
        <f t="shared" si="44"/>
        <v>1.5490874148663787E-3</v>
      </c>
      <c r="G75" s="2"/>
      <c r="H75" s="6">
        <v>1850</v>
      </c>
      <c r="I75" s="2"/>
      <c r="J75" s="7">
        <f t="shared" si="45"/>
        <v>3.6995634515127212E-3</v>
      </c>
      <c r="K75" s="2"/>
      <c r="L75" s="6">
        <f t="shared" si="46"/>
        <v>-1050.72</v>
      </c>
      <c r="M75" s="2"/>
      <c r="N75" s="7">
        <f t="shared" si="47"/>
        <v>-0.56795675675675672</v>
      </c>
      <c r="O75" s="11"/>
      <c r="P75" s="6">
        <v>5625.04</v>
      </c>
      <c r="Q75" s="2"/>
      <c r="R75" s="7">
        <f t="shared" si="48"/>
        <v>1.7151850232852931E-3</v>
      </c>
      <c r="S75" s="2"/>
      <c r="T75" s="6">
        <v>14700</v>
      </c>
      <c r="U75" s="2"/>
      <c r="V75" s="7">
        <f t="shared" si="49"/>
        <v>4.5187958853750553E-3</v>
      </c>
      <c r="W75" s="2"/>
      <c r="X75" s="6">
        <f t="shared" si="50"/>
        <v>-9074.9599999999991</v>
      </c>
      <c r="Y75" s="2"/>
      <c r="Z75" s="7">
        <f t="shared" si="51"/>
        <v>-0.61734421768707481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270.29000000000002</v>
      </c>
      <c r="E76" s="2"/>
      <c r="F76" s="7">
        <f t="shared" si="44"/>
        <v>5.2385001171583617E-4</v>
      </c>
      <c r="G76" s="2"/>
      <c r="H76" s="6">
        <v>450</v>
      </c>
      <c r="I76" s="2"/>
      <c r="J76" s="7">
        <f t="shared" si="45"/>
        <v>8.9989381253012134E-4</v>
      </c>
      <c r="K76" s="2"/>
      <c r="L76" s="6">
        <f t="shared" si="46"/>
        <v>-179.70999999999998</v>
      </c>
      <c r="M76" s="2"/>
      <c r="N76" s="7">
        <f t="shared" si="47"/>
        <v>-0.39935555555555552</v>
      </c>
      <c r="O76" s="11"/>
      <c r="P76" s="6">
        <v>2032.15</v>
      </c>
      <c r="Q76" s="2"/>
      <c r="R76" s="7">
        <f t="shared" si="48"/>
        <v>6.1964239277751071E-4</v>
      </c>
      <c r="S76" s="2"/>
      <c r="T76" s="6">
        <v>3750</v>
      </c>
      <c r="U76" s="2"/>
      <c r="V76" s="7">
        <f t="shared" si="49"/>
        <v>1.1527540523915958E-3</v>
      </c>
      <c r="W76" s="2"/>
      <c r="X76" s="6">
        <f t="shared" si="50"/>
        <v>-1717.85</v>
      </c>
      <c r="Y76" s="2"/>
      <c r="Z76" s="7">
        <f t="shared" si="51"/>
        <v>-0.4580933333333333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2592.77</v>
      </c>
      <c r="E77" s="2"/>
      <c r="F77" s="7">
        <f t="shared" si="44"/>
        <v>5.0250567718985841E-3</v>
      </c>
      <c r="G77" s="2"/>
      <c r="H77" s="6">
        <v>1850</v>
      </c>
      <c r="I77" s="2"/>
      <c r="J77" s="7">
        <f t="shared" si="45"/>
        <v>3.6995634515127212E-3</v>
      </c>
      <c r="K77" s="2"/>
      <c r="L77" s="6">
        <f t="shared" si="46"/>
        <v>742.77</v>
      </c>
      <c r="M77" s="2"/>
      <c r="N77" s="7">
        <f t="shared" si="47"/>
        <v>0.40149729729729727</v>
      </c>
      <c r="O77" s="11"/>
      <c r="P77" s="6">
        <v>19772.510000000002</v>
      </c>
      <c r="Q77" s="2"/>
      <c r="R77" s="7">
        <f t="shared" si="48"/>
        <v>6.0290261091047702E-3</v>
      </c>
      <c r="S77" s="2"/>
      <c r="T77" s="6">
        <v>14800</v>
      </c>
      <c r="U77" s="2"/>
      <c r="V77" s="7">
        <f t="shared" si="49"/>
        <v>4.5495359934388316E-3</v>
      </c>
      <c r="W77" s="2"/>
      <c r="X77" s="6">
        <f t="shared" si="50"/>
        <v>4972.510000000002</v>
      </c>
      <c r="Y77" s="2"/>
      <c r="Z77" s="7">
        <f t="shared" si="51"/>
        <v>0.33598040540540552</v>
      </c>
    </row>
    <row r="78" spans="1:26" s="24" customFormat="1" hidden="1" outlineLevel="2" x14ac:dyDescent="0.25">
      <c r="A78" s="25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4"/>
        <v>0</v>
      </c>
      <c r="G78" s="2"/>
      <c r="H78" s="6">
        <v>125</v>
      </c>
      <c r="I78" s="2"/>
      <c r="J78" s="7">
        <f t="shared" si="45"/>
        <v>2.4997050348058927E-4</v>
      </c>
      <c r="K78" s="2"/>
      <c r="L78" s="6">
        <f t="shared" si="46"/>
        <v>-125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1000</v>
      </c>
      <c r="U78" s="2"/>
      <c r="V78" s="7">
        <f t="shared" si="49"/>
        <v>3.074010806377589E-4</v>
      </c>
      <c r="W78" s="2"/>
      <c r="X78" s="6">
        <f t="shared" si="50"/>
        <v>-1000</v>
      </c>
      <c r="Y78" s="2"/>
      <c r="Z78" s="7">
        <f t="shared" si="51"/>
        <v>-1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4"/>
        <v>0</v>
      </c>
      <c r="G79" s="2"/>
      <c r="H79" s="6">
        <v>160</v>
      </c>
      <c r="I79" s="2"/>
      <c r="J79" s="7">
        <f t="shared" si="45"/>
        <v>3.1996224445515428E-4</v>
      </c>
      <c r="K79" s="2"/>
      <c r="L79" s="6">
        <f t="shared" si="46"/>
        <v>-160</v>
      </c>
      <c r="M79" s="2"/>
      <c r="N79" s="7">
        <f t="shared" si="47"/>
        <v>-1</v>
      </c>
      <c r="O79" s="11"/>
      <c r="P79" s="6">
        <v>441</v>
      </c>
      <c r="Q79" s="2"/>
      <c r="R79" s="7">
        <f t="shared" si="48"/>
        <v>1.3446954959765874E-4</v>
      </c>
      <c r="S79" s="2"/>
      <c r="T79" s="6">
        <v>1270</v>
      </c>
      <c r="U79" s="2"/>
      <c r="V79" s="7">
        <f t="shared" si="49"/>
        <v>3.9039937240995377E-4</v>
      </c>
      <c r="W79" s="2"/>
      <c r="X79" s="6">
        <f t="shared" si="50"/>
        <v>-829</v>
      </c>
      <c r="Y79" s="2"/>
      <c r="Z79" s="7">
        <f t="shared" si="51"/>
        <v>-0.65275590551181106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82.5</v>
      </c>
      <c r="Q80" s="2"/>
      <c r="R80" s="7">
        <f t="shared" si="48"/>
        <v>2.515586812201099E-5</v>
      </c>
      <c r="S80" s="2"/>
      <c r="T80" s="6"/>
      <c r="U80" s="2"/>
      <c r="V80" s="7">
        <f t="shared" si="49"/>
        <v>0</v>
      </c>
      <c r="W80" s="2"/>
      <c r="X80" s="6">
        <f t="shared" si="50"/>
        <v>82.5</v>
      </c>
      <c r="Y80" s="2"/>
      <c r="Z80" s="7">
        <f t="shared" si="51"/>
        <v>0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1952.09</v>
      </c>
      <c r="Q81" s="2"/>
      <c r="R81" s="7">
        <f t="shared" si="48"/>
        <v>5.9523052851268401E-4</v>
      </c>
      <c r="S81" s="2"/>
      <c r="T81" s="6">
        <v>6500</v>
      </c>
      <c r="U81" s="2"/>
      <c r="V81" s="7">
        <f t="shared" si="49"/>
        <v>1.9981070241454329E-3</v>
      </c>
      <c r="W81" s="2"/>
      <c r="X81" s="6">
        <f t="shared" si="50"/>
        <v>-4547.91</v>
      </c>
      <c r="Y81" s="2"/>
      <c r="Z81" s="7">
        <f t="shared" si="51"/>
        <v>-0.69967846153846147</v>
      </c>
    </row>
    <row r="82" spans="1:26" s="27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189.4</v>
      </c>
      <c r="E82" s="1"/>
      <c r="F82" s="5">
        <f t="shared" ref="F82:F88" si="52">IF(D$12=0,0,D82/D$12)</f>
        <v>3.6707681460275762E-4</v>
      </c>
      <c r="G82" s="1"/>
      <c r="H82" s="1">
        <f>SUM(OSRRefH22_13x_0)</f>
        <v>185</v>
      </c>
      <c r="I82" s="1"/>
      <c r="J82" s="5">
        <f t="shared" ref="J82:J88" si="53">IF(H$12=0,0,H82/H$12)</f>
        <v>3.699563451512721E-4</v>
      </c>
      <c r="K82" s="1"/>
      <c r="L82" s="1">
        <f t="shared" ref="L82:L88" si="54">+D82-H82</f>
        <v>4.4000000000000057</v>
      </c>
      <c r="M82" s="1"/>
      <c r="N82" s="5">
        <f t="shared" ref="N82:N88" si="55">IF(H82=0,0,L82/H82)</f>
        <v>2.3783783783783815E-2</v>
      </c>
      <c r="O82" s="13"/>
      <c r="P82" s="1">
        <f>SUM(OSRRefP22_13x_0)</f>
        <v>1505.8</v>
      </c>
      <c r="Q82" s="1"/>
      <c r="R82" s="5">
        <f t="shared" ref="R82:R88" si="56">IF(P$12=0,0,P82/P$12)</f>
        <v>4.5914795415908055E-4</v>
      </c>
      <c r="S82" s="1"/>
      <c r="T82" s="1">
        <f>SUM(OSRRefT22_13x_0)</f>
        <v>1480</v>
      </c>
      <c r="U82" s="1"/>
      <c r="V82" s="5">
        <f t="shared" ref="V82:V88" si="57">IF(T$12=0,0,T82/T$12)</f>
        <v>4.5495359934388314E-4</v>
      </c>
      <c r="W82" s="1"/>
      <c r="X82" s="1">
        <f t="shared" ref="X82:X88" si="58">+P82-T82</f>
        <v>25.799999999999955</v>
      </c>
      <c r="Y82" s="1"/>
      <c r="Z82" s="5">
        <f t="shared" ref="Z82:Z88" si="59">IF(T82=0,0,X82/T82)</f>
        <v>1.74324324324324E-2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189.4</v>
      </c>
      <c r="E83" s="2"/>
      <c r="F83" s="7">
        <f t="shared" si="52"/>
        <v>3.6707681460275762E-4</v>
      </c>
      <c r="G83" s="2"/>
      <c r="H83" s="6">
        <v>185</v>
      </c>
      <c r="I83" s="2"/>
      <c r="J83" s="7">
        <f t="shared" si="53"/>
        <v>3.699563451512721E-4</v>
      </c>
      <c r="K83" s="2"/>
      <c r="L83" s="6">
        <f t="shared" si="54"/>
        <v>4.4000000000000057</v>
      </c>
      <c r="M83" s="2"/>
      <c r="N83" s="7">
        <f t="shared" si="55"/>
        <v>2.3783783783783815E-2</v>
      </c>
      <c r="O83" s="11"/>
      <c r="P83" s="6">
        <v>1505.8</v>
      </c>
      <c r="Q83" s="2"/>
      <c r="R83" s="7">
        <f t="shared" si="56"/>
        <v>4.5914795415908055E-4</v>
      </c>
      <c r="S83" s="2"/>
      <c r="T83" s="6">
        <v>1480</v>
      </c>
      <c r="U83" s="2"/>
      <c r="V83" s="7">
        <f t="shared" si="57"/>
        <v>4.5495359934388314E-4</v>
      </c>
      <c r="W83" s="2"/>
      <c r="X83" s="6">
        <f t="shared" si="58"/>
        <v>25.799999999999955</v>
      </c>
      <c r="Y83" s="2"/>
      <c r="Z83" s="7">
        <f t="shared" si="59"/>
        <v>1.74324324324324E-2</v>
      </c>
    </row>
    <row r="84" spans="1:26" s="27" customFormat="1" outlineLevel="1" collapsed="1" x14ac:dyDescent="0.25">
      <c r="A84" s="26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61.11</v>
      </c>
      <c r="E84" s="1"/>
      <c r="F84" s="5">
        <f t="shared" si="52"/>
        <v>1.1843750866090031E-4</v>
      </c>
      <c r="G84" s="1"/>
      <c r="H84" s="1">
        <f>SUM(OSRRefH22_14x_0)</f>
        <v>0</v>
      </c>
      <c r="I84" s="1"/>
      <c r="J84" s="5">
        <f t="shared" si="53"/>
        <v>0</v>
      </c>
      <c r="K84" s="1"/>
      <c r="L84" s="1">
        <f t="shared" si="54"/>
        <v>61.11</v>
      </c>
      <c r="M84" s="1"/>
      <c r="N84" s="5">
        <f t="shared" si="55"/>
        <v>0</v>
      </c>
      <c r="O84" s="13"/>
      <c r="P84" s="1">
        <f>SUM(OSRRefP22_14x_0)</f>
        <v>678.48</v>
      </c>
      <c r="Q84" s="1"/>
      <c r="R84" s="5">
        <f t="shared" si="56"/>
        <v>2.0688185943541838E-4</v>
      </c>
      <c r="S84" s="1"/>
      <c r="T84" s="1">
        <f>SUM(OSRRefT22_14x_0)</f>
        <v>2000</v>
      </c>
      <c r="U84" s="1"/>
      <c r="V84" s="5">
        <f t="shared" si="57"/>
        <v>6.148021612755178E-4</v>
      </c>
      <c r="W84" s="1"/>
      <c r="X84" s="1">
        <f t="shared" si="58"/>
        <v>-1321.52</v>
      </c>
      <c r="Y84" s="1"/>
      <c r="Z84" s="5">
        <f t="shared" si="59"/>
        <v>-0.66076000000000001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>
        <v>61.11</v>
      </c>
      <c r="E85" s="2"/>
      <c r="F85" s="7">
        <f t="shared" si="52"/>
        <v>1.1843750866090031E-4</v>
      </c>
      <c r="G85" s="2"/>
      <c r="H85" s="6"/>
      <c r="I85" s="2"/>
      <c r="J85" s="7">
        <f t="shared" si="53"/>
        <v>0</v>
      </c>
      <c r="K85" s="2"/>
      <c r="L85" s="6">
        <f t="shared" si="54"/>
        <v>61.11</v>
      </c>
      <c r="M85" s="2"/>
      <c r="N85" s="7">
        <f t="shared" si="55"/>
        <v>0</v>
      </c>
      <c r="O85" s="11"/>
      <c r="P85" s="6">
        <v>678.48</v>
      </c>
      <c r="Q85" s="2"/>
      <c r="R85" s="7">
        <f t="shared" si="56"/>
        <v>2.0688185943541838E-4</v>
      </c>
      <c r="S85" s="2"/>
      <c r="T85" s="6">
        <v>2000</v>
      </c>
      <c r="U85" s="2"/>
      <c r="V85" s="7">
        <f t="shared" si="57"/>
        <v>6.148021612755178E-4</v>
      </c>
      <c r="W85" s="2"/>
      <c r="X85" s="6">
        <f t="shared" si="58"/>
        <v>-1321.52</v>
      </c>
      <c r="Y85" s="2"/>
      <c r="Z85" s="7">
        <f t="shared" si="59"/>
        <v>-0.66076000000000001</v>
      </c>
    </row>
    <row r="86" spans="1:26" s="27" customFormat="1" outlineLevel="1" collapsed="1" x14ac:dyDescent="0.25">
      <c r="A86" s="26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60</v>
      </c>
      <c r="I86" s="1"/>
      <c r="J86" s="5">
        <f t="shared" si="53"/>
        <v>1.1998584167068284E-4</v>
      </c>
      <c r="K86" s="1"/>
      <c r="L86" s="1">
        <f t="shared" si="54"/>
        <v>-60</v>
      </c>
      <c r="M86" s="1"/>
      <c r="N86" s="5">
        <f t="shared" si="55"/>
        <v>-1</v>
      </c>
      <c r="O86" s="13"/>
      <c r="P86" s="1">
        <f>SUM(OSRRefP22_15x_0)</f>
        <v>1429.86</v>
      </c>
      <c r="Q86" s="1"/>
      <c r="R86" s="5">
        <f t="shared" si="56"/>
        <v>4.3599235870228642E-4</v>
      </c>
      <c r="S86" s="1"/>
      <c r="T86" s="1">
        <f>SUM(OSRRefT22_15x_0)</f>
        <v>480</v>
      </c>
      <c r="U86" s="1"/>
      <c r="V86" s="5">
        <f t="shared" si="57"/>
        <v>1.4755251870612426E-4</v>
      </c>
      <c r="W86" s="1"/>
      <c r="X86" s="1">
        <f t="shared" si="58"/>
        <v>949.8599999999999</v>
      </c>
      <c r="Y86" s="1"/>
      <c r="Z86" s="5">
        <f t="shared" si="59"/>
        <v>1.9788749999999997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2"/>
        <v>0</v>
      </c>
      <c r="G87" s="2"/>
      <c r="H87" s="6"/>
      <c r="I87" s="2"/>
      <c r="J87" s="7">
        <f t="shared" si="53"/>
        <v>0</v>
      </c>
      <c r="K87" s="2"/>
      <c r="L87" s="6">
        <f t="shared" si="54"/>
        <v>0</v>
      </c>
      <c r="M87" s="2"/>
      <c r="N87" s="7">
        <f t="shared" si="55"/>
        <v>0</v>
      </c>
      <c r="O87" s="11"/>
      <c r="P87" s="6">
        <v>1429.86</v>
      </c>
      <c r="Q87" s="2"/>
      <c r="R87" s="7">
        <f t="shared" si="56"/>
        <v>4.3599235870228642E-4</v>
      </c>
      <c r="S87" s="2"/>
      <c r="T87" s="6"/>
      <c r="U87" s="2"/>
      <c r="V87" s="7">
        <f t="shared" si="57"/>
        <v>0</v>
      </c>
      <c r="W87" s="2"/>
      <c r="X87" s="6">
        <f t="shared" si="58"/>
        <v>1429.86</v>
      </c>
      <c r="Y87" s="2"/>
      <c r="Z87" s="7">
        <f t="shared" si="59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>
        <v>60</v>
      </c>
      <c r="I88" s="2"/>
      <c r="J88" s="7">
        <f t="shared" si="53"/>
        <v>1.1998584167068284E-4</v>
      </c>
      <c r="K88" s="2"/>
      <c r="L88" s="6">
        <f t="shared" si="54"/>
        <v>-60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480</v>
      </c>
      <c r="U88" s="2"/>
      <c r="V88" s="7">
        <f t="shared" si="57"/>
        <v>1.4755251870612426E-4</v>
      </c>
      <c r="W88" s="2"/>
      <c r="X88" s="6">
        <f t="shared" si="58"/>
        <v>-480</v>
      </c>
      <c r="Y88" s="2"/>
      <c r="Z88" s="7">
        <f t="shared" si="59"/>
        <v>-1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1">
        <f>+D23-D25+D90</f>
        <v>189647.43999999992</v>
      </c>
      <c r="E92" s="14"/>
      <c r="F92" s="22">
        <f>IF(D$12=0,0,D92/D$12)</f>
        <v>0.3675563789480864</v>
      </c>
      <c r="G92" s="14"/>
      <c r="H92" s="21">
        <f>+H23-H25+H90</f>
        <v>159342.33517651667</v>
      </c>
      <c r="I92" s="14"/>
      <c r="J92" s="22">
        <f>IF(H$12=0,0,H92/H$12)</f>
        <v>0.31864706999877346</v>
      </c>
      <c r="K92" s="15"/>
      <c r="L92" s="21">
        <f>+D92-H92</f>
        <v>30305.104823483241</v>
      </c>
      <c r="M92" s="15"/>
      <c r="N92" s="22">
        <f>IF(H92=0,0,L92/H92)</f>
        <v>0.19018865758375997</v>
      </c>
      <c r="O92" s="29"/>
      <c r="P92" s="21">
        <f>+P23-P25+P90</f>
        <v>1141682.2799999998</v>
      </c>
      <c r="Q92" s="14"/>
      <c r="R92" s="22">
        <f>IF(P$12=0,0,P92/P$12)</f>
        <v>0.348121319671719</v>
      </c>
      <c r="S92" s="14"/>
      <c r="T92" s="21">
        <f>+T23-T25+T90</f>
        <v>916426.44269436691</v>
      </c>
      <c r="U92" s="14"/>
      <c r="V92" s="22">
        <f>IF(T$12=0,0,T92/T$12)</f>
        <v>0.28171047880926559</v>
      </c>
      <c r="W92" s="15"/>
      <c r="X92" s="21">
        <f>+P92-T92</f>
        <v>225255.83730563289</v>
      </c>
      <c r="Y92" s="15"/>
      <c r="Z92" s="22">
        <f>IF(T92=0,0,X92/T92)</f>
        <v>0.24579805515362776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46048.56</v>
      </c>
      <c r="E94" s="4"/>
      <c r="F94" s="12">
        <f>IF(D$12=0,0,D94/D$12)</f>
        <v>8.9246878151235262E-2</v>
      </c>
      <c r="G94" s="4"/>
      <c r="H94" s="4">
        <v>52223</v>
      </c>
      <c r="I94" s="4"/>
      <c r="J94" s="12">
        <f>IF(H$12=0,0,H94/H$12)</f>
        <v>0.1044336768261345</v>
      </c>
      <c r="K94" s="4"/>
      <c r="L94" s="4">
        <f>+D94-H94</f>
        <v>-6174.4400000000023</v>
      </c>
      <c r="M94" s="4"/>
      <c r="N94" s="12">
        <f>IF(H94=0,0,L94/H94)</f>
        <v>-0.11823219654175368</v>
      </c>
      <c r="O94" s="10"/>
      <c r="P94" s="4">
        <v>334251.29000000004</v>
      </c>
      <c r="Q94" s="4"/>
      <c r="R94" s="12">
        <f>IF(P$12=0,0,P94/P$12)</f>
        <v>0.10191977419214607</v>
      </c>
      <c r="S94" s="4"/>
      <c r="T94" s="4">
        <v>391186</v>
      </c>
      <c r="U94" s="4"/>
      <c r="V94" s="12">
        <f>IF(T$12=0,0,T94/T$12)</f>
        <v>0.12025099913036234</v>
      </c>
      <c r="W94" s="4"/>
      <c r="X94" s="4">
        <f>+P94-T94</f>
        <v>-56934.709999999963</v>
      </c>
      <c r="Y94" s="4"/>
      <c r="Z94" s="12">
        <f>IF(T94=0,0,X94/T94)</f>
        <v>-0.14554383336826973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1">
        <f>+D92-D94</f>
        <v>143598.87999999992</v>
      </c>
      <c r="E96" s="14"/>
      <c r="F96" s="32">
        <f>IF(D$12=0,0,D96/D$12)</f>
        <v>0.27830950079685118</v>
      </c>
      <c r="G96" s="14"/>
      <c r="H96" s="31">
        <f>+H92-H94</f>
        <v>107119.33517651667</v>
      </c>
      <c r="I96" s="14"/>
      <c r="J96" s="32">
        <f>IF(H$12=0,0,H96/H$12)</f>
        <v>0.21421339317263896</v>
      </c>
      <c r="K96" s="15"/>
      <c r="L96" s="31">
        <f>D96-H96</f>
        <v>36479.544823483244</v>
      </c>
      <c r="M96" s="15"/>
      <c r="N96" s="32">
        <f>IF(H96=0,0,L96/H96)</f>
        <v>0.34055051558498195</v>
      </c>
      <c r="O96" s="29"/>
      <c r="P96" s="31">
        <f>+P92-P94</f>
        <v>807430.98999999976</v>
      </c>
      <c r="Q96" s="14"/>
      <c r="R96" s="32">
        <f>IF(P$12=0,0,P96/P$12)</f>
        <v>0.24620154547957293</v>
      </c>
      <c r="S96" s="14"/>
      <c r="T96" s="31">
        <f>+T92-T94</f>
        <v>525240.44269436691</v>
      </c>
      <c r="U96" s="14"/>
      <c r="V96" s="32">
        <f>IF(T$12=0,0,T96/T$12)</f>
        <v>0.16145947967890326</v>
      </c>
      <c r="W96" s="15"/>
      <c r="X96" s="31">
        <f>P96-T96</f>
        <v>282190.54730563285</v>
      </c>
      <c r="Y96" s="15"/>
      <c r="Z96" s="32">
        <f>IF(T96=0,0,X96/T96)</f>
        <v>0.53725974690383316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3">
        <f>SUM(D96:D98)</f>
        <v>143598.87999999992</v>
      </c>
      <c r="E99" s="14"/>
      <c r="F99" s="30">
        <f>IF(D$12=0,0,D99/D$12)</f>
        <v>0.27830950079685118</v>
      </c>
      <c r="G99" s="14"/>
      <c r="H99" s="33">
        <f>SUM(H96:H98)</f>
        <v>107119.33517651667</v>
      </c>
      <c r="I99" s="14"/>
      <c r="J99" s="30">
        <f>IF(H$12=0,0,H99/H$12)</f>
        <v>0.21421339317263896</v>
      </c>
      <c r="K99" s="15"/>
      <c r="L99" s="33">
        <f>+D99-H99</f>
        <v>36479.544823483244</v>
      </c>
      <c r="M99" s="15"/>
      <c r="N99" s="30">
        <f>IF(H99=0,0,L99/H99)</f>
        <v>0.34055051558498195</v>
      </c>
      <c r="O99" s="29"/>
      <c r="P99" s="33">
        <f>SUM(P96:P98)</f>
        <v>807430.98999999976</v>
      </c>
      <c r="Q99" s="14"/>
      <c r="R99" s="30">
        <f>IF(P$12=0,0,P99/P$12)</f>
        <v>0.24620154547957293</v>
      </c>
      <c r="S99" s="14"/>
      <c r="T99" s="33">
        <f>SUM(T96:T98)</f>
        <v>525240.44269436691</v>
      </c>
      <c r="U99" s="14"/>
      <c r="V99" s="30">
        <f>IF(T$12=0,0,T99/T$12)</f>
        <v>0.16145947967890326</v>
      </c>
      <c r="W99" s="15"/>
      <c r="X99" s="33">
        <f>+P99-T99</f>
        <v>282190.54730563285</v>
      </c>
      <c r="Y99" s="15"/>
      <c r="Z99" s="30">
        <f>IF(T99=0,0,X99/T99)</f>
        <v>0.53725974690383316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9">
        <v>43908.495345717594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3" t="s">
        <v>314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7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1480</v>
      </c>
      <c r="I12" s="4"/>
      <c r="J12" s="12"/>
      <c r="K12" s="4"/>
      <c r="L12" s="4">
        <f t="shared" ref="L12:L16" si="0">+D12-H12</f>
        <v>-1480</v>
      </c>
      <c r="M12" s="4"/>
      <c r="N12" s="12">
        <f t="shared" ref="N12:N16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7505</v>
      </c>
      <c r="U12" s="4"/>
      <c r="V12" s="12"/>
      <c r="W12" s="4"/>
      <c r="X12" s="4">
        <f t="shared" ref="X12:X16" si="2">+P12-T12</f>
        <v>-2325.9799999999996</v>
      </c>
      <c r="Y12" s="4"/>
      <c r="Z12" s="12">
        <f t="shared" ref="Z12:Z16" si="3">IF(T12=0,0,X12/T12)</f>
        <v>-0.30992405063291134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/>
      <c r="U13" s="2"/>
      <c r="V13" s="19"/>
      <c r="W13" s="2"/>
      <c r="X13" s="2">
        <f t="shared" si="2"/>
        <v>973.49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1480</v>
      </c>
      <c r="I14" s="2"/>
      <c r="J14" s="19"/>
      <c r="K14" s="2"/>
      <c r="L14" s="2">
        <f t="shared" si="0"/>
        <v>-1480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7505</v>
      </c>
      <c r="U14" s="2"/>
      <c r="V14" s="19"/>
      <c r="W14" s="2"/>
      <c r="X14" s="2">
        <f t="shared" si="2"/>
        <v>-7505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--3733.9</f>
        <v>3733.9</v>
      </c>
      <c r="Q16" s="2"/>
      <c r="R16" s="19"/>
      <c r="S16" s="2"/>
      <c r="T16" s="2"/>
      <c r="U16" s="2"/>
      <c r="V16" s="19"/>
      <c r="W16" s="2"/>
      <c r="X16" s="2">
        <f t="shared" si="2"/>
        <v>3733.9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788.85</v>
      </c>
      <c r="I18" s="4"/>
      <c r="J18" s="12">
        <f t="shared" ref="J18:J21" si="6">IF(H$12=0,0,H18/H$12)</f>
        <v>0.53300675675675679</v>
      </c>
      <c r="K18" s="4"/>
      <c r="L18" s="4">
        <f t="shared" ref="L18:L21" si="7">+D18-H18</f>
        <v>-788.85</v>
      </c>
      <c r="M18" s="4"/>
      <c r="N18" s="12">
        <f t="shared" ref="N18:N21" si="8">IF(H18=0,0,L18/H18)</f>
        <v>-1</v>
      </c>
      <c r="O18" s="10"/>
      <c r="P18" s="4">
        <f>SUM(OSRRefP16x_0)</f>
        <v>1954.47</v>
      </c>
      <c r="Q18" s="4"/>
      <c r="R18" s="12">
        <f t="shared" ref="R18:R21" si="9">IF(P$12=0,0,P18/P$12)</f>
        <v>0.37738220744465167</v>
      </c>
      <c r="S18" s="4"/>
      <c r="T18" s="4">
        <f>SUM(OSRRefT16x_0)</f>
        <v>4000.8</v>
      </c>
      <c r="U18" s="4"/>
      <c r="V18" s="12">
        <f t="shared" ref="V18:V21" si="10">IF(T$12=0,0,T18/T$12)</f>
        <v>0.53308461025982679</v>
      </c>
      <c r="W18" s="4"/>
      <c r="X18" s="4">
        <f t="shared" ref="X18:X21" si="11">+P18-T18</f>
        <v>-2046.3300000000002</v>
      </c>
      <c r="Y18" s="4"/>
      <c r="Z18" s="12">
        <f t="shared" ref="Z18:Z21" si="12">IF(T18=0,0,X18/T18)</f>
        <v>-0.51148020395920812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788.85</v>
      </c>
      <c r="I19" s="2"/>
      <c r="J19" s="19">
        <f t="shared" si="6"/>
        <v>0.53300675675675679</v>
      </c>
      <c r="K19" s="2"/>
      <c r="L19" s="2">
        <f t="shared" si="7"/>
        <v>-788.85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4000.8</v>
      </c>
      <c r="U19" s="2"/>
      <c r="V19" s="19">
        <f t="shared" si="10"/>
        <v>0.53308461025982679</v>
      </c>
      <c r="W19" s="2"/>
      <c r="X19" s="2">
        <f t="shared" si="11"/>
        <v>-4000.8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0.762399063915567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-1994.01</v>
      </c>
      <c r="Q21" s="2"/>
      <c r="R21" s="19">
        <f t="shared" si="9"/>
        <v>-0.38501685647091533</v>
      </c>
      <c r="S21" s="2"/>
      <c r="T21" s="2"/>
      <c r="U21" s="2"/>
      <c r="V21" s="19">
        <f t="shared" si="10"/>
        <v>0</v>
      </c>
      <c r="W21" s="2"/>
      <c r="X21" s="2">
        <f t="shared" si="11"/>
        <v>-1994.01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0</v>
      </c>
      <c r="E23" s="14"/>
      <c r="F23" s="22">
        <f>IF(D$12=0,0,D23/D$12)</f>
        <v>0</v>
      </c>
      <c r="G23" s="14"/>
      <c r="H23" s="21">
        <f>H12-H18</f>
        <v>691.15</v>
      </c>
      <c r="I23" s="14"/>
      <c r="J23" s="22">
        <f>IF(H$12=0,0,H23/H$12)</f>
        <v>0.46699324324324321</v>
      </c>
      <c r="K23" s="15"/>
      <c r="L23" s="21">
        <f>+D23-H23</f>
        <v>-691.15</v>
      </c>
      <c r="M23" s="15"/>
      <c r="N23" s="22">
        <f>IF(H23=0,0,L23/H23)</f>
        <v>-1</v>
      </c>
      <c r="O23" s="29"/>
      <c r="P23" s="21">
        <f>P12-P18</f>
        <v>3224.55</v>
      </c>
      <c r="Q23" s="14"/>
      <c r="R23" s="22">
        <f>IF(P$12=0,0,P23/P$12)</f>
        <v>0.62261779255534833</v>
      </c>
      <c r="S23" s="14"/>
      <c r="T23" s="21">
        <f>T12-T18</f>
        <v>3504.2</v>
      </c>
      <c r="U23" s="14"/>
      <c r="V23" s="22">
        <f>IF(T$12=0,0,T23/T$12)</f>
        <v>0.46691538974017321</v>
      </c>
      <c r="W23" s="15"/>
      <c r="X23" s="21">
        <f>+P23-T23</f>
        <v>-279.64999999999964</v>
      </c>
      <c r="Y23" s="15"/>
      <c r="Z23" s="22">
        <f>IF(T23=0,0,X23/T23)</f>
        <v>-7.9804234918098182E-2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75.5</v>
      </c>
      <c r="E25" s="20"/>
      <c r="F25" s="34">
        <f t="shared" ref="F25:F34" si="13">IF(D$12=0,0,D25/D$12)</f>
        <v>0</v>
      </c>
      <c r="G25" s="20"/>
      <c r="H25" s="20">
        <f>SUM(OSRRefH22x_0)</f>
        <v>2880.2896639999999</v>
      </c>
      <c r="I25" s="20"/>
      <c r="J25" s="34">
        <f t="shared" ref="J25:J34" si="14">IF(H$12=0,0,H25/H$12)</f>
        <v>1.9461416648648648</v>
      </c>
      <c r="K25" s="4"/>
      <c r="L25" s="20">
        <f t="shared" ref="L25:L34" si="15">+D25-H25</f>
        <v>-2804.7896639999999</v>
      </c>
      <c r="M25" s="4"/>
      <c r="N25" s="34">
        <f t="shared" ref="N25:N34" si="16">IF(H25=0,0,L25/H25)</f>
        <v>-0.97378735863144072</v>
      </c>
      <c r="O25" s="10"/>
      <c r="P25" s="20">
        <f>SUM(OSRRefP22x_0)</f>
        <v>15662.719999999998</v>
      </c>
      <c r="Q25" s="20"/>
      <c r="R25" s="34">
        <f t="shared" ref="R25:R34" si="17">IF(P$12=0,0,P25/P$12)</f>
        <v>3.0242632776085046</v>
      </c>
      <c r="S25" s="20"/>
      <c r="T25" s="20">
        <f>SUM(OSRRefT22x_0)</f>
        <v>16149.322896</v>
      </c>
      <c r="U25" s="20"/>
      <c r="V25" s="34">
        <f t="shared" ref="V25:V34" si="18">IF(T$12=0,0,T25/T$12)</f>
        <v>2.1518085137908063</v>
      </c>
      <c r="W25" s="4"/>
      <c r="X25" s="20">
        <f t="shared" ref="X25:X34" si="19">+P25-T25</f>
        <v>-486.60289600000215</v>
      </c>
      <c r="Y25" s="4"/>
      <c r="Z25" s="34">
        <f t="shared" ref="Z25:Z34" si="20">IF(T25=0,0,X25/T25)</f>
        <v>-3.0131473569119611E-2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119.249664</v>
      </c>
      <c r="I26" s="1"/>
      <c r="J26" s="5">
        <f t="shared" si="14"/>
        <v>8.0574097297297295E-2</v>
      </c>
      <c r="K26" s="1"/>
      <c r="L26" s="1">
        <f t="shared" si="15"/>
        <v>-119.249664</v>
      </c>
      <c r="M26" s="1"/>
      <c r="N26" s="5">
        <f t="shared" si="16"/>
        <v>-1</v>
      </c>
      <c r="O26" s="13"/>
      <c r="P26" s="1">
        <f>SUM(OSRRefP22_0x_0)</f>
        <v>858.58</v>
      </c>
      <c r="Q26" s="1"/>
      <c r="R26" s="5">
        <f t="shared" si="17"/>
        <v>0.16578039860823091</v>
      </c>
      <c r="S26" s="1"/>
      <c r="T26" s="1">
        <f>SUM(OSRRefT22_0x_0)</f>
        <v>676.76289599999996</v>
      </c>
      <c r="U26" s="1"/>
      <c r="V26" s="5">
        <f t="shared" si="18"/>
        <v>9.0174936175882736E-2</v>
      </c>
      <c r="W26" s="1"/>
      <c r="X26" s="1">
        <f t="shared" si="19"/>
        <v>181.81710400000009</v>
      </c>
      <c r="Y26" s="1"/>
      <c r="Z26" s="5">
        <f t="shared" si="20"/>
        <v>0.268657021646175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602.38</v>
      </c>
      <c r="Q27" s="2"/>
      <c r="R27" s="7">
        <f t="shared" si="17"/>
        <v>0.11631158018312343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602.38</v>
      </c>
      <c r="Y27" s="2"/>
      <c r="Z27" s="7">
        <f t="shared" si="20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43.909759999999999</v>
      </c>
      <c r="I28" s="2"/>
      <c r="J28" s="7">
        <f t="shared" si="14"/>
        <v>2.9668756756756755E-2</v>
      </c>
      <c r="K28" s="2"/>
      <c r="L28" s="6">
        <f t="shared" si="15"/>
        <v>-43.909759999999999</v>
      </c>
      <c r="M28" s="2"/>
      <c r="N28" s="7">
        <f t="shared" si="16"/>
        <v>-1</v>
      </c>
      <c r="O28" s="11"/>
      <c r="P28" s="6">
        <v>221.3</v>
      </c>
      <c r="Q28" s="2"/>
      <c r="R28" s="7">
        <f t="shared" si="17"/>
        <v>4.2730091793428099E-2</v>
      </c>
      <c r="S28" s="2"/>
      <c r="T28" s="6">
        <v>249.19564</v>
      </c>
      <c r="U28" s="2"/>
      <c r="V28" s="7">
        <f t="shared" si="18"/>
        <v>3.3203949367088606E-2</v>
      </c>
      <c r="W28" s="2"/>
      <c r="X28" s="6">
        <f t="shared" si="19"/>
        <v>-27.895639999999986</v>
      </c>
      <c r="Y28" s="2"/>
      <c r="Z28" s="7">
        <f t="shared" si="20"/>
        <v>-0.11194272901403887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3"/>
        <v>0</v>
      </c>
      <c r="G30" s="2"/>
      <c r="H30" s="6">
        <v>6.0087039999999998</v>
      </c>
      <c r="I30" s="2"/>
      <c r="J30" s="7">
        <f t="shared" si="14"/>
        <v>4.0599351351351346E-3</v>
      </c>
      <c r="K30" s="2"/>
      <c r="L30" s="6">
        <f t="shared" si="15"/>
        <v>-6.0087039999999998</v>
      </c>
      <c r="M30" s="2"/>
      <c r="N30" s="7">
        <f t="shared" si="16"/>
        <v>-1</v>
      </c>
      <c r="O30" s="11"/>
      <c r="P30" s="6">
        <v>34.9</v>
      </c>
      <c r="Q30" s="2"/>
      <c r="R30" s="7">
        <f t="shared" si="17"/>
        <v>6.7387266316793516E-3</v>
      </c>
      <c r="S30" s="2"/>
      <c r="T30" s="6">
        <v>34.100456000000001</v>
      </c>
      <c r="U30" s="2"/>
      <c r="V30" s="7">
        <f t="shared" si="18"/>
        <v>4.5436983344437042E-3</v>
      </c>
      <c r="W30" s="2"/>
      <c r="X30" s="6">
        <f t="shared" si="19"/>
        <v>0.79954399999999737</v>
      </c>
      <c r="Y30" s="2"/>
      <c r="Z30" s="7">
        <f t="shared" si="20"/>
        <v>2.3446724583389658E-2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69.331199999999995</v>
      </c>
      <c r="I34" s="2"/>
      <c r="J34" s="7">
        <f t="shared" si="14"/>
        <v>4.6845405405405403E-2</v>
      </c>
      <c r="K34" s="2"/>
      <c r="L34" s="6">
        <f t="shared" si="15"/>
        <v>-69.331199999999995</v>
      </c>
      <c r="M34" s="2"/>
      <c r="N34" s="7">
        <f t="shared" si="16"/>
        <v>-1</v>
      </c>
      <c r="O34" s="11"/>
      <c r="P34" s="6"/>
      <c r="Q34" s="2"/>
      <c r="R34" s="7">
        <f t="shared" si="17"/>
        <v>0</v>
      </c>
      <c r="S34" s="2"/>
      <c r="T34" s="6">
        <v>393.46679999999998</v>
      </c>
      <c r="U34" s="2"/>
      <c r="V34" s="7">
        <f t="shared" si="18"/>
        <v>5.2427288474350429E-2</v>
      </c>
      <c r="W34" s="2"/>
      <c r="X34" s="6">
        <f t="shared" si="19"/>
        <v>-393.46679999999998</v>
      </c>
      <c r="Y34" s="2"/>
      <c r="Z34" s="7">
        <f t="shared" si="20"/>
        <v>-1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2311.04</v>
      </c>
      <c r="I35" s="1"/>
      <c r="J35" s="5">
        <f t="shared" ref="J35:J45" si="22">IF(H$12=0,0,H35/H$12)</f>
        <v>1.5615135135135134</v>
      </c>
      <c r="K35" s="1"/>
      <c r="L35" s="1">
        <f t="shared" ref="L35:L45" si="23">+D35-H35</f>
        <v>-2311.04</v>
      </c>
      <c r="M35" s="1"/>
      <c r="N35" s="5">
        <f t="shared" ref="N35:N45" si="24">IF(H35=0,0,L35/H35)</f>
        <v>-1</v>
      </c>
      <c r="O35" s="13"/>
      <c r="P35" s="1">
        <f>SUM(OSRRefP22_1x_0)</f>
        <v>10914.98</v>
      </c>
      <c r="Q35" s="1"/>
      <c r="R35" s="5">
        <f t="shared" ref="R35:R45" si="25">IF(P$12=0,0,P35/P$12)</f>
        <v>2.1075377194913321</v>
      </c>
      <c r="S35" s="1"/>
      <c r="T35" s="1">
        <f>SUM(OSRRefT22_1x_0)</f>
        <v>13115.56</v>
      </c>
      <c r="U35" s="1"/>
      <c r="V35" s="5">
        <f t="shared" ref="V35:V45" si="26">IF(T$12=0,0,T35/T$12)</f>
        <v>1.7475762824783476</v>
      </c>
      <c r="W35" s="1"/>
      <c r="X35" s="1">
        <f t="shared" ref="X35:X45" si="27">+P35-T35</f>
        <v>-2200.58</v>
      </c>
      <c r="Y35" s="1"/>
      <c r="Z35" s="5">
        <f t="shared" ref="Z35:Z45" si="28">IF(T35=0,0,X35/T35)</f>
        <v>-0.167783914678443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7765.17</v>
      </c>
      <c r="Q40" s="2"/>
      <c r="R40" s="7">
        <f t="shared" si="25"/>
        <v>1.4993512286108182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7765.17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73.31</v>
      </c>
      <c r="Q41" s="2"/>
      <c r="R41" s="7">
        <f t="shared" si="25"/>
        <v>1.4155187660986054E-2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73.31</v>
      </c>
      <c r="Y41" s="2"/>
      <c r="Z41" s="7">
        <f t="shared" si="28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3076.5</v>
      </c>
      <c r="Q42" s="2"/>
      <c r="R42" s="7">
        <f t="shared" si="25"/>
        <v>0.59403130321952802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3076.5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2311.04</v>
      </c>
      <c r="I43" s="2"/>
      <c r="J43" s="7">
        <f t="shared" si="22"/>
        <v>1.5615135135135134</v>
      </c>
      <c r="K43" s="2"/>
      <c r="L43" s="6">
        <f t="shared" si="23"/>
        <v>-2311.04</v>
      </c>
      <c r="M43" s="2"/>
      <c r="N43" s="7">
        <f t="shared" si="24"/>
        <v>-1</v>
      </c>
      <c r="O43" s="11"/>
      <c r="P43" s="6"/>
      <c r="Q43" s="2"/>
      <c r="R43" s="7">
        <f t="shared" si="25"/>
        <v>0</v>
      </c>
      <c r="S43" s="2"/>
      <c r="T43" s="6">
        <v>13115.56</v>
      </c>
      <c r="U43" s="2"/>
      <c r="V43" s="7">
        <f t="shared" si="26"/>
        <v>1.7475762824783476</v>
      </c>
      <c r="W43" s="2"/>
      <c r="X43" s="6">
        <f t="shared" si="27"/>
        <v>-13115.56</v>
      </c>
      <c r="Y43" s="2"/>
      <c r="Z43" s="7">
        <f t="shared" si="28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7" customFormat="1" outlineLevel="1" collapsed="1" x14ac:dyDescent="0.25">
      <c r="A46" s="26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0</v>
      </c>
      <c r="E46" s="1"/>
      <c r="F46" s="5">
        <f t="shared" ref="F46:F59" si="29">IF(D$12=0,0,D46/D$12)</f>
        <v>0</v>
      </c>
      <c r="G46" s="1"/>
      <c r="H46" s="1">
        <f>SUM(OSRRefH22_2x_0)</f>
        <v>25</v>
      </c>
      <c r="I46" s="1"/>
      <c r="J46" s="5">
        <f t="shared" ref="J46:J59" si="30">IF(H$12=0,0,H46/H$12)</f>
        <v>1.6891891891891893E-2</v>
      </c>
      <c r="K46" s="1"/>
      <c r="L46" s="1">
        <f t="shared" ref="L46:L59" si="31">+D46-H46</f>
        <v>-25</v>
      </c>
      <c r="M46" s="1"/>
      <c r="N46" s="5">
        <f t="shared" ref="N46:N59" si="32">IF(H46=0,0,L46/H46)</f>
        <v>-1</v>
      </c>
      <c r="O46" s="13"/>
      <c r="P46" s="1">
        <f>SUM(OSRRefP22_2x_0)</f>
        <v>-1.41</v>
      </c>
      <c r="Q46" s="1"/>
      <c r="R46" s="5">
        <f t="shared" ref="R46:R59" si="33">IF(P$12=0,0,P46/P$12)</f>
        <v>-2.7225227938876463E-4</v>
      </c>
      <c r="S46" s="1"/>
      <c r="T46" s="1">
        <f>SUM(OSRRefT22_2x_0)</f>
        <v>200</v>
      </c>
      <c r="U46" s="1"/>
      <c r="V46" s="5">
        <f t="shared" ref="V46:V59" si="34">IF(T$12=0,0,T46/T$12)</f>
        <v>2.6648900732844771E-2</v>
      </c>
      <c r="W46" s="1"/>
      <c r="X46" s="1">
        <f t="shared" ref="X46:X59" si="35">+P46-T46</f>
        <v>-201.41</v>
      </c>
      <c r="Y46" s="1"/>
      <c r="Z46" s="5">
        <f t="shared" ref="Z46:Z59" si="36">IF(T46=0,0,X46/T46)</f>
        <v>-1.00705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29"/>
        <v>0</v>
      </c>
      <c r="G47" s="2"/>
      <c r="H47" s="6">
        <v>25</v>
      </c>
      <c r="I47" s="2"/>
      <c r="J47" s="7">
        <f t="shared" si="30"/>
        <v>1.6891891891891893E-2</v>
      </c>
      <c r="K47" s="2"/>
      <c r="L47" s="6">
        <f t="shared" si="31"/>
        <v>-25</v>
      </c>
      <c r="M47" s="2"/>
      <c r="N47" s="7">
        <f t="shared" si="32"/>
        <v>-1</v>
      </c>
      <c r="O47" s="11"/>
      <c r="P47" s="6">
        <v>-1.41</v>
      </c>
      <c r="Q47" s="2"/>
      <c r="R47" s="7">
        <f t="shared" si="33"/>
        <v>-2.7225227938876463E-4</v>
      </c>
      <c r="S47" s="2"/>
      <c r="T47" s="6">
        <v>200</v>
      </c>
      <c r="U47" s="2"/>
      <c r="V47" s="7">
        <f t="shared" si="34"/>
        <v>2.6648900732844771E-2</v>
      </c>
      <c r="W47" s="2"/>
      <c r="X47" s="6">
        <f t="shared" si="35"/>
        <v>-201.41</v>
      </c>
      <c r="Y47" s="2"/>
      <c r="Z47" s="7">
        <f t="shared" si="36"/>
        <v>-1.00705</v>
      </c>
    </row>
    <row r="48" spans="1:26" s="27" customFormat="1" outlineLevel="1" collapsed="1" x14ac:dyDescent="0.25">
      <c r="A48" s="26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31</v>
      </c>
      <c r="I48" s="1"/>
      <c r="J48" s="5">
        <f t="shared" si="30"/>
        <v>2.0945945945945947E-2</v>
      </c>
      <c r="K48" s="1"/>
      <c r="L48" s="1">
        <f t="shared" si="31"/>
        <v>-31</v>
      </c>
      <c r="M48" s="1"/>
      <c r="N48" s="5">
        <f t="shared" si="32"/>
        <v>-1</v>
      </c>
      <c r="O48" s="13"/>
      <c r="P48" s="1">
        <f>SUM(OSRRefP22_3x_0)</f>
        <v>125.26</v>
      </c>
      <c r="Q48" s="1"/>
      <c r="R48" s="5">
        <f t="shared" si="33"/>
        <v>2.418604291931678E-2</v>
      </c>
      <c r="S48" s="1"/>
      <c r="T48" s="1">
        <f>SUM(OSRRefT22_3x_0)</f>
        <v>159</v>
      </c>
      <c r="U48" s="1"/>
      <c r="V48" s="5">
        <f t="shared" si="34"/>
        <v>2.1185876082611594E-2</v>
      </c>
      <c r="W48" s="1"/>
      <c r="X48" s="1">
        <f t="shared" si="35"/>
        <v>-33.739999999999995</v>
      </c>
      <c r="Y48" s="1"/>
      <c r="Z48" s="5">
        <f t="shared" si="36"/>
        <v>-0.21220125786163518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29"/>
        <v>0</v>
      </c>
      <c r="G49" s="2"/>
      <c r="H49" s="6">
        <v>31</v>
      </c>
      <c r="I49" s="2"/>
      <c r="J49" s="7">
        <f t="shared" si="30"/>
        <v>2.0945945945945947E-2</v>
      </c>
      <c r="K49" s="2"/>
      <c r="L49" s="6">
        <f t="shared" si="31"/>
        <v>-31</v>
      </c>
      <c r="M49" s="2"/>
      <c r="N49" s="7">
        <f t="shared" si="32"/>
        <v>-1</v>
      </c>
      <c r="O49" s="11"/>
      <c r="P49" s="6">
        <v>125.26</v>
      </c>
      <c r="Q49" s="2"/>
      <c r="R49" s="7">
        <f t="shared" si="33"/>
        <v>2.418604291931678E-2</v>
      </c>
      <c r="S49" s="2"/>
      <c r="T49" s="6">
        <v>159</v>
      </c>
      <c r="U49" s="2"/>
      <c r="V49" s="7">
        <f t="shared" si="34"/>
        <v>2.1185876082611594E-2</v>
      </c>
      <c r="W49" s="2"/>
      <c r="X49" s="6">
        <f t="shared" si="35"/>
        <v>-33.739999999999995</v>
      </c>
      <c r="Y49" s="2"/>
      <c r="Z49" s="7">
        <f t="shared" si="36"/>
        <v>-0.21220125786163518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3"/>
      <c r="P50" s="1">
        <f>SUM(OSRRefP22_4x_0)</f>
        <v>40.799999999999997</v>
      </c>
      <c r="Q50" s="1"/>
      <c r="R50" s="5">
        <f t="shared" si="33"/>
        <v>7.877938297206807E-3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40.799999999999997</v>
      </c>
      <c r="Y50" s="1"/>
      <c r="Z50" s="5">
        <f t="shared" si="36"/>
        <v>0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40.799999999999997</v>
      </c>
      <c r="Q51" s="2"/>
      <c r="R51" s="7">
        <f t="shared" si="33"/>
        <v>7.877938297206807E-3</v>
      </c>
      <c r="S51" s="2"/>
      <c r="T51" s="6"/>
      <c r="U51" s="2"/>
      <c r="V51" s="7">
        <f t="shared" si="34"/>
        <v>0</v>
      </c>
      <c r="W51" s="2"/>
      <c r="X51" s="6">
        <f t="shared" si="35"/>
        <v>40.799999999999997</v>
      </c>
      <c r="Y51" s="2"/>
      <c r="Z51" s="7">
        <f t="shared" si="36"/>
        <v>0</v>
      </c>
    </row>
    <row r="52" spans="1:26" s="27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SUM(OSRRefD22_5x_0)</f>
        <v>0</v>
      </c>
      <c r="E52" s="1"/>
      <c r="F52" s="5">
        <f t="shared" si="29"/>
        <v>0</v>
      </c>
      <c r="G52" s="1"/>
      <c r="H52" s="1">
        <f>SUM(OSRRefH22_5x_0)</f>
        <v>271</v>
      </c>
      <c r="I52" s="1"/>
      <c r="J52" s="5">
        <f t="shared" si="30"/>
        <v>0.1831081081081081</v>
      </c>
      <c r="K52" s="1"/>
      <c r="L52" s="1">
        <f t="shared" si="31"/>
        <v>-271</v>
      </c>
      <c r="M52" s="1"/>
      <c r="N52" s="5">
        <f t="shared" si="32"/>
        <v>-1</v>
      </c>
      <c r="O52" s="13"/>
      <c r="P52" s="1">
        <f>SUM(OSRRefP22_5x_0)</f>
        <v>1154.05</v>
      </c>
      <c r="Q52" s="1"/>
      <c r="R52" s="5">
        <f t="shared" si="33"/>
        <v>0.22283173264439987</v>
      </c>
      <c r="S52" s="1"/>
      <c r="T52" s="1">
        <f>SUM(OSRRefT22_5x_0)</f>
        <v>1374</v>
      </c>
      <c r="U52" s="1"/>
      <c r="V52" s="5">
        <f t="shared" si="34"/>
        <v>0.18307794803464358</v>
      </c>
      <c r="W52" s="1"/>
      <c r="X52" s="1">
        <f t="shared" si="35"/>
        <v>-219.95000000000005</v>
      </c>
      <c r="Y52" s="1"/>
      <c r="Z52" s="5">
        <f t="shared" si="36"/>
        <v>-0.16008005822416307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9"/>
        <v>0</v>
      </c>
      <c r="G53" s="2"/>
      <c r="H53" s="6">
        <v>271</v>
      </c>
      <c r="I53" s="2"/>
      <c r="J53" s="7">
        <f t="shared" si="30"/>
        <v>0.1831081081081081</v>
      </c>
      <c r="K53" s="2"/>
      <c r="L53" s="6">
        <f t="shared" si="31"/>
        <v>-271</v>
      </c>
      <c r="M53" s="2"/>
      <c r="N53" s="7">
        <f t="shared" si="32"/>
        <v>-1</v>
      </c>
      <c r="O53" s="11"/>
      <c r="P53" s="6">
        <v>1154.05</v>
      </c>
      <c r="Q53" s="2"/>
      <c r="R53" s="7">
        <f t="shared" si="33"/>
        <v>0.22283173264439987</v>
      </c>
      <c r="S53" s="2"/>
      <c r="T53" s="6">
        <v>1374</v>
      </c>
      <c r="U53" s="2"/>
      <c r="V53" s="7">
        <f t="shared" si="34"/>
        <v>0.18307794803464358</v>
      </c>
      <c r="W53" s="2"/>
      <c r="X53" s="6">
        <f t="shared" si="35"/>
        <v>-219.95000000000005</v>
      </c>
      <c r="Y53" s="2"/>
      <c r="Z53" s="7">
        <f t="shared" si="36"/>
        <v>-0.16008005822416307</v>
      </c>
    </row>
    <row r="54" spans="1:26" s="27" customFormat="1" outlineLevel="1" collapsed="1" x14ac:dyDescent="0.25">
      <c r="A54" s="26"/>
      <c r="B54" s="13" t="str">
        <f>CONCATENATE("     ","R/H Commissions                                   ")</f>
        <v xml:space="preserve">     R/H Commissions                                   </v>
      </c>
      <c r="C54" s="13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93</v>
      </c>
      <c r="I54" s="1"/>
      <c r="J54" s="5">
        <f t="shared" si="30"/>
        <v>6.2837837837837834E-2</v>
      </c>
      <c r="K54" s="1"/>
      <c r="L54" s="1">
        <f t="shared" si="31"/>
        <v>-93</v>
      </c>
      <c r="M54" s="1"/>
      <c r="N54" s="5">
        <f t="shared" si="32"/>
        <v>-1</v>
      </c>
      <c r="O54" s="13"/>
      <c r="P54" s="1">
        <f>SUM(OSRRefP22_6x_0)</f>
        <v>414.32</v>
      </c>
      <c r="Q54" s="1"/>
      <c r="R54" s="5">
        <f t="shared" si="33"/>
        <v>7.9999691061243244E-2</v>
      </c>
      <c r="S54" s="1"/>
      <c r="T54" s="1">
        <f>SUM(OSRRefT22_6x_0)</f>
        <v>473</v>
      </c>
      <c r="U54" s="1"/>
      <c r="V54" s="5">
        <f t="shared" si="34"/>
        <v>6.3024650233177881E-2</v>
      </c>
      <c r="W54" s="1"/>
      <c r="X54" s="1">
        <f t="shared" si="35"/>
        <v>-58.680000000000007</v>
      </c>
      <c r="Y54" s="1"/>
      <c r="Z54" s="5">
        <f t="shared" si="36"/>
        <v>-0.12405919661733616</v>
      </c>
    </row>
    <row r="55" spans="1:26" s="24" customFormat="1" hidden="1" outlineLevel="2" x14ac:dyDescent="0.25">
      <c r="A55" s="25"/>
      <c r="B55" s="11" t="str">
        <f>CONCATENATE("          ", "6387", " - ", "COMMISSION DUE HOUSING")</f>
        <v xml:space="preserve">          6387 - COMMISSION DUE HOUSING</v>
      </c>
      <c r="C55" s="11"/>
      <c r="D55" s="6"/>
      <c r="E55" s="2"/>
      <c r="F55" s="7">
        <f t="shared" si="29"/>
        <v>0</v>
      </c>
      <c r="G55" s="2"/>
      <c r="H55" s="6">
        <v>93</v>
      </c>
      <c r="I55" s="2"/>
      <c r="J55" s="7">
        <f t="shared" si="30"/>
        <v>6.2837837837837834E-2</v>
      </c>
      <c r="K55" s="2"/>
      <c r="L55" s="6">
        <f t="shared" si="31"/>
        <v>-93</v>
      </c>
      <c r="M55" s="2"/>
      <c r="N55" s="7">
        <f t="shared" si="32"/>
        <v>-1</v>
      </c>
      <c r="O55" s="11"/>
      <c r="P55" s="6">
        <v>414.32</v>
      </c>
      <c r="Q55" s="2"/>
      <c r="R55" s="7">
        <f t="shared" si="33"/>
        <v>7.9999691061243244E-2</v>
      </c>
      <c r="S55" s="2"/>
      <c r="T55" s="6">
        <v>473</v>
      </c>
      <c r="U55" s="2"/>
      <c r="V55" s="7">
        <f t="shared" si="34"/>
        <v>6.3024650233177881E-2</v>
      </c>
      <c r="W55" s="2"/>
      <c r="X55" s="6">
        <f t="shared" si="35"/>
        <v>-58.680000000000007</v>
      </c>
      <c r="Y55" s="2"/>
      <c r="Z55" s="7">
        <f t="shared" si="36"/>
        <v>-0.12405919661733616</v>
      </c>
    </row>
    <row r="56" spans="1:26" s="27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30</v>
      </c>
      <c r="I56" s="1"/>
      <c r="J56" s="5">
        <f t="shared" si="30"/>
        <v>2.0270270270270271E-2</v>
      </c>
      <c r="K56" s="1"/>
      <c r="L56" s="1">
        <f t="shared" si="31"/>
        <v>-30</v>
      </c>
      <c r="M56" s="1"/>
      <c r="N56" s="5">
        <f t="shared" si="32"/>
        <v>-1</v>
      </c>
      <c r="O56" s="13"/>
      <c r="P56" s="1">
        <f>SUM(OSRRefP22_7x_0)</f>
        <v>1592.1399999999999</v>
      </c>
      <c r="Q56" s="1"/>
      <c r="R56" s="5">
        <f t="shared" si="33"/>
        <v>0.30742109511065796</v>
      </c>
      <c r="S56" s="1"/>
      <c r="T56" s="1">
        <f>SUM(OSRRefT22_7x_0)</f>
        <v>151</v>
      </c>
      <c r="U56" s="1"/>
      <c r="V56" s="5">
        <f t="shared" si="34"/>
        <v>2.0119920053297803E-2</v>
      </c>
      <c r="W56" s="1"/>
      <c r="X56" s="1">
        <f t="shared" si="35"/>
        <v>1441.1399999999999</v>
      </c>
      <c r="Y56" s="1"/>
      <c r="Z56" s="5">
        <f t="shared" si="36"/>
        <v>9.5439735099337746</v>
      </c>
    </row>
    <row r="57" spans="1:26" s="24" customFormat="1" hidden="1" outlineLevel="2" x14ac:dyDescent="0.25">
      <c r="A57" s="25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47.13</v>
      </c>
      <c r="Q57" s="2"/>
      <c r="R57" s="7">
        <f t="shared" si="33"/>
        <v>9.1001772536116864E-3</v>
      </c>
      <c r="S57" s="2"/>
      <c r="T57" s="6"/>
      <c r="U57" s="2"/>
      <c r="V57" s="7">
        <f t="shared" si="34"/>
        <v>0</v>
      </c>
      <c r="W57" s="2"/>
      <c r="X57" s="6">
        <f t="shared" si="35"/>
        <v>47.13</v>
      </c>
      <c r="Y57" s="2"/>
      <c r="Z57" s="7">
        <f t="shared" si="36"/>
        <v>0</v>
      </c>
    </row>
    <row r="58" spans="1:26" s="24" customFormat="1" hidden="1" outlineLevel="2" x14ac:dyDescent="0.25">
      <c r="A58" s="25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29"/>
        <v>0</v>
      </c>
      <c r="G58" s="2"/>
      <c r="H58" s="6">
        <v>30</v>
      </c>
      <c r="I58" s="2"/>
      <c r="J58" s="7">
        <f t="shared" si="30"/>
        <v>2.0270270270270271E-2</v>
      </c>
      <c r="K58" s="2"/>
      <c r="L58" s="6">
        <f t="shared" si="31"/>
        <v>-30</v>
      </c>
      <c r="M58" s="2"/>
      <c r="N58" s="7">
        <f t="shared" si="32"/>
        <v>-1</v>
      </c>
      <c r="O58" s="11"/>
      <c r="P58" s="6">
        <v>431.41</v>
      </c>
      <c r="Q58" s="2"/>
      <c r="R58" s="7">
        <f t="shared" si="33"/>
        <v>8.3299543156813455E-2</v>
      </c>
      <c r="S58" s="2"/>
      <c r="T58" s="6">
        <v>151</v>
      </c>
      <c r="U58" s="2"/>
      <c r="V58" s="7">
        <f t="shared" si="34"/>
        <v>2.0119920053297803E-2</v>
      </c>
      <c r="W58" s="2"/>
      <c r="X58" s="6">
        <f t="shared" si="35"/>
        <v>280.41000000000003</v>
      </c>
      <c r="Y58" s="2"/>
      <c r="Z58" s="7">
        <f t="shared" si="36"/>
        <v>1.857019867549669</v>
      </c>
    </row>
    <row r="59" spans="1:26" s="24" customFormat="1" hidden="1" outlineLevel="2" x14ac:dyDescent="0.25">
      <c r="A59" s="25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1113.5999999999999</v>
      </c>
      <c r="Q59" s="2"/>
      <c r="R59" s="7">
        <f t="shared" si="33"/>
        <v>0.21502137470023283</v>
      </c>
      <c r="S59" s="2"/>
      <c r="T59" s="6"/>
      <c r="U59" s="2"/>
      <c r="V59" s="7">
        <f t="shared" si="34"/>
        <v>0</v>
      </c>
      <c r="W59" s="2"/>
      <c r="X59" s="6">
        <f t="shared" si="35"/>
        <v>1113.5999999999999</v>
      </c>
      <c r="Y59" s="2"/>
      <c r="Z59" s="7">
        <f t="shared" si="36"/>
        <v>0</v>
      </c>
    </row>
    <row r="60" spans="1:26" s="27" customFormat="1" outlineLevel="1" collapsed="1" x14ac:dyDescent="0.25">
      <c r="A60" s="26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SUM(OSRRefD22_8x_0)</f>
        <v>75.5</v>
      </c>
      <c r="E60" s="1"/>
      <c r="F60" s="5">
        <f t="shared" ref="F60:F61" si="37">IF(D$12=0,0,D60/D$12)</f>
        <v>0</v>
      </c>
      <c r="G60" s="1"/>
      <c r="H60" s="1">
        <f>SUM(OSRRefH22_8x_0)</f>
        <v>0</v>
      </c>
      <c r="I60" s="1"/>
      <c r="J60" s="5">
        <f t="shared" ref="J60:J61" si="38">IF(H$12=0,0,H60/H$12)</f>
        <v>0</v>
      </c>
      <c r="K60" s="1"/>
      <c r="L60" s="1">
        <f t="shared" ref="L60:L61" si="39">+D60-H60</f>
        <v>75.5</v>
      </c>
      <c r="M60" s="1"/>
      <c r="N60" s="5">
        <f t="shared" ref="N60:N61" si="40">IF(H60=0,0,L60/H60)</f>
        <v>0</v>
      </c>
      <c r="O60" s="13"/>
      <c r="P60" s="1">
        <f>SUM(OSRRefP22_8x_0)</f>
        <v>564</v>
      </c>
      <c r="Q60" s="1"/>
      <c r="R60" s="5">
        <f t="shared" ref="R60:R61" si="41">IF(P$12=0,0,P60/P$12)</f>
        <v>0.10890091175550586</v>
      </c>
      <c r="S60" s="1"/>
      <c r="T60" s="1">
        <f>SUM(OSRRefT22_8x_0)</f>
        <v>0</v>
      </c>
      <c r="U60" s="1"/>
      <c r="V60" s="5">
        <f t="shared" ref="V60:V61" si="42">IF(T$12=0,0,T60/T$12)</f>
        <v>0</v>
      </c>
      <c r="W60" s="1"/>
      <c r="X60" s="1">
        <f t="shared" ref="X60:X61" si="43">+P60-T60</f>
        <v>564</v>
      </c>
      <c r="Y60" s="1"/>
      <c r="Z60" s="5">
        <f t="shared" ref="Z60:Z61" si="44">IF(T60=0,0,X60/T60)</f>
        <v>0</v>
      </c>
    </row>
    <row r="61" spans="1:26" s="24" customFormat="1" hidden="1" outlineLevel="2" x14ac:dyDescent="0.25">
      <c r="A61" s="25"/>
      <c r="B61" s="11" t="str">
        <f>CONCATENATE("          ", "6309", " - ", "TELEPHONE")</f>
        <v xml:space="preserve">          6309 - TELEPHONE</v>
      </c>
      <c r="C61" s="11"/>
      <c r="D61" s="6">
        <v>75.5</v>
      </c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75.5</v>
      </c>
      <c r="M61" s="2"/>
      <c r="N61" s="7">
        <f t="shared" si="40"/>
        <v>0</v>
      </c>
      <c r="O61" s="11"/>
      <c r="P61" s="6">
        <v>564</v>
      </c>
      <c r="Q61" s="2"/>
      <c r="R61" s="7">
        <f t="shared" si="41"/>
        <v>0.10890091175550586</v>
      </c>
      <c r="S61" s="2"/>
      <c r="T61" s="6"/>
      <c r="U61" s="2"/>
      <c r="V61" s="7">
        <f t="shared" si="42"/>
        <v>0</v>
      </c>
      <c r="W61" s="2"/>
      <c r="X61" s="6">
        <f t="shared" si="43"/>
        <v>564</v>
      </c>
      <c r="Y61" s="2"/>
      <c r="Z61" s="7">
        <f t="shared" si="44"/>
        <v>0</v>
      </c>
    </row>
    <row r="62" spans="1:26" s="53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1">
        <f>+D23-D25+D63</f>
        <v>-75.5</v>
      </c>
      <c r="E65" s="14"/>
      <c r="F65" s="22">
        <f>IF(D$12=0,0,D65/D$12)</f>
        <v>0</v>
      </c>
      <c r="G65" s="14"/>
      <c r="H65" s="21">
        <f>+H23-H25+H63</f>
        <v>-2189.1396639999998</v>
      </c>
      <c r="I65" s="14"/>
      <c r="J65" s="22">
        <f>IF(H$12=0,0,H65/H$12)</f>
        <v>-1.4791484216216215</v>
      </c>
      <c r="K65" s="15"/>
      <c r="L65" s="21">
        <f>+D65-H65</f>
        <v>2113.6396639999998</v>
      </c>
      <c r="M65" s="15"/>
      <c r="N65" s="22">
        <f>IF(H65=0,0,L65/H65)</f>
        <v>-0.96551156546035699</v>
      </c>
      <c r="O65" s="29"/>
      <c r="P65" s="21">
        <f>+P23-P25+P63</f>
        <v>-12438.169999999998</v>
      </c>
      <c r="Q65" s="14"/>
      <c r="R65" s="22">
        <f>IF(P$12=0,0,P65/P$12)</f>
        <v>-2.4016454850531561</v>
      </c>
      <c r="S65" s="14"/>
      <c r="T65" s="21">
        <f>+T23-T25+T63</f>
        <v>-12645.122896000001</v>
      </c>
      <c r="U65" s="14"/>
      <c r="V65" s="22">
        <f>IF(T$12=0,0,T65/T$12)</f>
        <v>-1.6848931240506331</v>
      </c>
      <c r="W65" s="15"/>
      <c r="X65" s="21">
        <f>+P65-T65</f>
        <v>206.95289600000251</v>
      </c>
      <c r="Y65" s="15"/>
      <c r="Z65" s="22">
        <f>IF(T65=0,0,X65/T65)</f>
        <v>-1.6366222590487228E-2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>
        <v>-12.26</v>
      </c>
      <c r="E67" s="4"/>
      <c r="F67" s="12">
        <f>IF(D$12=0,0,D67/D$12)</f>
        <v>0</v>
      </c>
      <c r="G67" s="4"/>
      <c r="H67" s="4">
        <v>161</v>
      </c>
      <c r="I67" s="4"/>
      <c r="J67" s="12">
        <f>IF(H$12=0,0,H67/H$12)</f>
        <v>0.10878378378378378</v>
      </c>
      <c r="K67" s="4"/>
      <c r="L67" s="4">
        <f>+D67-H67</f>
        <v>-173.26</v>
      </c>
      <c r="M67" s="4"/>
      <c r="N67" s="12">
        <f>IF(H67=0,0,L67/H67)</f>
        <v>-1.0761490683229813</v>
      </c>
      <c r="O67" s="10"/>
      <c r="P67" s="4">
        <v>527.84</v>
      </c>
      <c r="Q67" s="4"/>
      <c r="R67" s="12">
        <f>IF(P$12=0,0,P67/P$12)</f>
        <v>0.10191889585288336</v>
      </c>
      <c r="S67" s="4"/>
      <c r="T67" s="4">
        <v>902</v>
      </c>
      <c r="U67" s="4"/>
      <c r="V67" s="12">
        <f>IF(T$12=0,0,T67/T$12)</f>
        <v>0.12018654230512991</v>
      </c>
      <c r="W67" s="4"/>
      <c r="X67" s="4">
        <f>+P67-T67</f>
        <v>-374.15999999999997</v>
      </c>
      <c r="Y67" s="4"/>
      <c r="Z67" s="12">
        <f>IF(T67=0,0,X67/T67)</f>
        <v>-0.41481152993348114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1">
        <f>+D65-D67</f>
        <v>-63.24</v>
      </c>
      <c r="E69" s="14"/>
      <c r="F69" s="32">
        <f>IF(D$12=0,0,D69/D$12)</f>
        <v>0</v>
      </c>
      <c r="G69" s="14"/>
      <c r="H69" s="31">
        <f>+H65-H67</f>
        <v>-2350.1396639999998</v>
      </c>
      <c r="I69" s="14"/>
      <c r="J69" s="32">
        <f>IF(H$12=0,0,H69/H$12)</f>
        <v>-1.5879322054054053</v>
      </c>
      <c r="K69" s="15"/>
      <c r="L69" s="31">
        <f>D69-H69</f>
        <v>2286.899664</v>
      </c>
      <c r="M69" s="15"/>
      <c r="N69" s="32">
        <f>IF(H69=0,0,L69/H69)</f>
        <v>-0.97309096094639602</v>
      </c>
      <c r="O69" s="29"/>
      <c r="P69" s="31">
        <f>+P65-P67</f>
        <v>-12966.009999999998</v>
      </c>
      <c r="Q69" s="14"/>
      <c r="R69" s="32">
        <f>IF(P$12=0,0,P69/P$12)</f>
        <v>-2.5035643809060395</v>
      </c>
      <c r="S69" s="14"/>
      <c r="T69" s="31">
        <f>+T65-T67</f>
        <v>-13547.122896000001</v>
      </c>
      <c r="U69" s="14"/>
      <c r="V69" s="32">
        <f>IF(T$12=0,0,T69/T$12)</f>
        <v>-1.8050796663557629</v>
      </c>
      <c r="W69" s="15"/>
      <c r="X69" s="31">
        <f>P69-T69</f>
        <v>581.11289600000237</v>
      </c>
      <c r="Y69" s="15"/>
      <c r="Z69" s="32">
        <f>IF(T69=0,0,X69/T69)</f>
        <v>-4.289566873063394E-2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3">
        <f>SUM(D69:D71)</f>
        <v>-63.24</v>
      </c>
      <c r="E72" s="14"/>
      <c r="F72" s="30">
        <f>IF(D$12=0,0,D72/D$12)</f>
        <v>0</v>
      </c>
      <c r="G72" s="14"/>
      <c r="H72" s="33">
        <f>SUM(H69:H71)</f>
        <v>-2350.1396639999998</v>
      </c>
      <c r="I72" s="14"/>
      <c r="J72" s="30">
        <f>IF(H$12=0,0,H72/H$12)</f>
        <v>-1.5879322054054053</v>
      </c>
      <c r="K72" s="15"/>
      <c r="L72" s="33">
        <f>+D72-H72</f>
        <v>2286.899664</v>
      </c>
      <c r="M72" s="15"/>
      <c r="N72" s="30">
        <f>IF(H72=0,0,L72/H72)</f>
        <v>-0.97309096094639602</v>
      </c>
      <c r="O72" s="29"/>
      <c r="P72" s="33">
        <f>SUM(P69:P71)</f>
        <v>-12966.009999999998</v>
      </c>
      <c r="Q72" s="14"/>
      <c r="R72" s="30">
        <f>IF(P$12=0,0,P72/P$12)</f>
        <v>-2.5035643809060395</v>
      </c>
      <c r="S72" s="14"/>
      <c r="T72" s="33">
        <f>SUM(T69:T71)</f>
        <v>-13547.122896000001</v>
      </c>
      <c r="U72" s="14"/>
      <c r="V72" s="30">
        <f>IF(T$12=0,0,T72/T$12)</f>
        <v>-1.8050796663557629</v>
      </c>
      <c r="W72" s="15"/>
      <c r="X72" s="33">
        <f>+P72-T72</f>
        <v>581.11289600000237</v>
      </c>
      <c r="Y72" s="15"/>
      <c r="Z72" s="30">
        <f>IF(T72=0,0,X72/T72)</f>
        <v>-4.289566873063394E-2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9">
        <v>43908.495365891205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3" t="s">
        <v>314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7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491340.07</v>
      </c>
      <c r="E12" s="4"/>
      <c r="F12" s="12"/>
      <c r="G12" s="4"/>
      <c r="H12" s="4">
        <f>SUM(OSRRefH13x_0)</f>
        <v>480218.00000000006</v>
      </c>
      <c r="I12" s="4"/>
      <c r="J12" s="12"/>
      <c r="K12" s="4"/>
      <c r="L12" s="4">
        <f t="shared" ref="L12:L16" si="0">+D12-H12</f>
        <v>11122.069999999949</v>
      </c>
      <c r="M12" s="4"/>
      <c r="N12" s="12">
        <f t="shared" ref="N12:N16" si="1">IF(H12=0,0,L12/H12)</f>
        <v>2.3160460457542092E-2</v>
      </c>
      <c r="O12" s="10"/>
      <c r="P12" s="4">
        <f>SUM(OSRRefP13x_0)</f>
        <v>3014534.5700000003</v>
      </c>
      <c r="Q12" s="4"/>
      <c r="R12" s="12"/>
      <c r="S12" s="4"/>
      <c r="T12" s="4">
        <f>SUM(OSRRefT13x_0)</f>
        <v>2979408</v>
      </c>
      <c r="U12" s="4"/>
      <c r="V12" s="12"/>
      <c r="W12" s="4"/>
      <c r="X12" s="4">
        <f t="shared" ref="X12:X16" si="2">+P12-T12</f>
        <v>35126.570000000298</v>
      </c>
      <c r="Y12" s="4"/>
      <c r="Z12" s="12">
        <f t="shared" ref="Z12:Z16" si="3">IF(T12=0,0,X12/T12)</f>
        <v>1.1789781728450853E-2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--869.36</f>
        <v>869.36</v>
      </c>
      <c r="E13" s="2"/>
      <c r="F13" s="19"/>
      <c r="G13" s="2"/>
      <c r="H13" s="2"/>
      <c r="I13" s="2"/>
      <c r="J13" s="19"/>
      <c r="K13" s="2"/>
      <c r="L13" s="2">
        <f t="shared" si="0"/>
        <v>869.36</v>
      </c>
      <c r="M13" s="2"/>
      <c r="N13" s="19">
        <f t="shared" si="1"/>
        <v>0</v>
      </c>
      <c r="O13" s="11"/>
      <c r="P13" s="2">
        <f>--3140.33</f>
        <v>3140.33</v>
      </c>
      <c r="Q13" s="2"/>
      <c r="R13" s="19"/>
      <c r="S13" s="2"/>
      <c r="T13" s="2"/>
      <c r="U13" s="2"/>
      <c r="V13" s="19"/>
      <c r="W13" s="2"/>
      <c r="X13" s="2">
        <f t="shared" si="2"/>
        <v>3140.33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480218.00000000006</v>
      </c>
      <c r="I14" s="2"/>
      <c r="J14" s="19"/>
      <c r="K14" s="2"/>
      <c r="L14" s="2">
        <f t="shared" si="0"/>
        <v>-480218.00000000006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2979408</v>
      </c>
      <c r="U14" s="2"/>
      <c r="V14" s="19"/>
      <c r="W14" s="2"/>
      <c r="X14" s="2">
        <f t="shared" si="2"/>
        <v>-2979408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--487004.76</f>
        <v>487004.76</v>
      </c>
      <c r="E15" s="2"/>
      <c r="F15" s="19"/>
      <c r="G15" s="2"/>
      <c r="H15" s="2"/>
      <c r="I15" s="2"/>
      <c r="J15" s="19"/>
      <c r="K15" s="2"/>
      <c r="L15" s="2">
        <f t="shared" si="0"/>
        <v>487004.76</v>
      </c>
      <c r="M15" s="2"/>
      <c r="N15" s="19">
        <f t="shared" si="1"/>
        <v>0</v>
      </c>
      <c r="O15" s="11"/>
      <c r="P15" s="2">
        <f>--2968827.31</f>
        <v>2968827.31</v>
      </c>
      <c r="Q15" s="2"/>
      <c r="R15" s="19"/>
      <c r="S15" s="2"/>
      <c r="T15" s="2"/>
      <c r="U15" s="2"/>
      <c r="V15" s="19"/>
      <c r="W15" s="2"/>
      <c r="X15" s="2">
        <f t="shared" si="2"/>
        <v>2968827.31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--3465.95</f>
        <v>3465.95</v>
      </c>
      <c r="E16" s="2"/>
      <c r="F16" s="19"/>
      <c r="G16" s="2"/>
      <c r="H16" s="2"/>
      <c r="I16" s="2"/>
      <c r="J16" s="19"/>
      <c r="K16" s="2"/>
      <c r="L16" s="2">
        <f t="shared" si="0"/>
        <v>3465.95</v>
      </c>
      <c r="M16" s="2"/>
      <c r="N16" s="19">
        <f t="shared" si="1"/>
        <v>0</v>
      </c>
      <c r="O16" s="11"/>
      <c r="P16" s="2">
        <f>--42566.93</f>
        <v>42566.93</v>
      </c>
      <c r="Q16" s="2"/>
      <c r="R16" s="19"/>
      <c r="S16" s="2"/>
      <c r="T16" s="2"/>
      <c r="U16" s="2"/>
      <c r="V16" s="19"/>
      <c r="W16" s="2"/>
      <c r="X16" s="2">
        <f t="shared" si="2"/>
        <v>42566.93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123860.70999999999</v>
      </c>
      <c r="E18" s="4"/>
      <c r="F18" s="12">
        <f t="shared" ref="F18:F21" si="4">IF(D$12=0,0,D18/D$12)</f>
        <v>0.25208754091641661</v>
      </c>
      <c r="G18" s="4"/>
      <c r="H18" s="4">
        <f>SUM(OSRRefH16x_0)</f>
        <v>120054.00000000001</v>
      </c>
      <c r="I18" s="4"/>
      <c r="J18" s="12">
        <f t="shared" ref="J18:J21" si="5">IF(H$12=0,0,H18/H$12)</f>
        <v>0.24999895880620884</v>
      </c>
      <c r="K18" s="4"/>
      <c r="L18" s="4">
        <f t="shared" ref="L18:L21" si="6">+D18-H18</f>
        <v>3806.7099999999773</v>
      </c>
      <c r="M18" s="4"/>
      <c r="N18" s="12">
        <f t="shared" ref="N18:N21" si="7">IF(H18=0,0,L18/H18)</f>
        <v>3.1708314591766845E-2</v>
      </c>
      <c r="O18" s="10"/>
      <c r="P18" s="4">
        <f>SUM(OSRRefP16x_0)</f>
        <v>756309.58000000007</v>
      </c>
      <c r="Q18" s="4"/>
      <c r="R18" s="12">
        <f t="shared" ref="R18:R21" si="8">IF(P$12=0,0,P18/P$12)</f>
        <v>0.25088767849160876</v>
      </c>
      <c r="S18" s="4"/>
      <c r="T18" s="4">
        <f>SUM(OSRRefT16x_0)</f>
        <v>807978</v>
      </c>
      <c r="U18" s="4"/>
      <c r="V18" s="12">
        <f t="shared" ref="V18:V21" si="9">IF(T$12=0,0,T18/T$12)</f>
        <v>0.27118743052311062</v>
      </c>
      <c r="W18" s="4"/>
      <c r="X18" s="4">
        <f t="shared" ref="X18:X21" si="10">+P18-T18</f>
        <v>-51668.419999999925</v>
      </c>
      <c r="Y18" s="4"/>
      <c r="Z18" s="12">
        <f t="shared" ref="Z18:Z21" si="11">IF(T18=0,0,X18/T18)</f>
        <v>-6.3947805509555866E-2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120054.00000000001</v>
      </c>
      <c r="I19" s="2"/>
      <c r="J19" s="19">
        <f t="shared" si="5"/>
        <v>0.24999895880620884</v>
      </c>
      <c r="K19" s="2"/>
      <c r="L19" s="2">
        <f t="shared" si="6"/>
        <v>-120054.00000000001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807978</v>
      </c>
      <c r="U19" s="2"/>
      <c r="V19" s="19">
        <f t="shared" si="9"/>
        <v>0.27118743052311062</v>
      </c>
      <c r="W19" s="2"/>
      <c r="X19" s="2">
        <f t="shared" si="10"/>
        <v>-807978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125313.70999999999</v>
      </c>
      <c r="E20" s="2"/>
      <c r="F20" s="19">
        <f t="shared" si="4"/>
        <v>0.25504475952877198</v>
      </c>
      <c r="G20" s="2"/>
      <c r="H20" s="2"/>
      <c r="I20" s="2"/>
      <c r="J20" s="19">
        <f t="shared" si="5"/>
        <v>0</v>
      </c>
      <c r="K20" s="2"/>
      <c r="L20" s="2">
        <f t="shared" si="6"/>
        <v>125313.70999999999</v>
      </c>
      <c r="M20" s="2"/>
      <c r="N20" s="19">
        <f t="shared" si="7"/>
        <v>0</v>
      </c>
      <c r="O20" s="11"/>
      <c r="P20" s="2">
        <v>767478.83000000007</v>
      </c>
      <c r="Q20" s="2"/>
      <c r="R20" s="19">
        <f t="shared" si="8"/>
        <v>0.25459281098906089</v>
      </c>
      <c r="S20" s="2"/>
      <c r="T20" s="2"/>
      <c r="U20" s="2"/>
      <c r="V20" s="19">
        <f t="shared" si="9"/>
        <v>0</v>
      </c>
      <c r="W20" s="2"/>
      <c r="X20" s="2">
        <f t="shared" si="10"/>
        <v>767478.83000000007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-1453</v>
      </c>
      <c r="E21" s="2"/>
      <c r="F21" s="19">
        <f t="shared" si="4"/>
        <v>-2.9572186123553897E-3</v>
      </c>
      <c r="G21" s="2"/>
      <c r="H21" s="2"/>
      <c r="I21" s="2"/>
      <c r="J21" s="19">
        <f t="shared" si="5"/>
        <v>0</v>
      </c>
      <c r="K21" s="2"/>
      <c r="L21" s="2">
        <f t="shared" si="6"/>
        <v>-1453</v>
      </c>
      <c r="M21" s="2"/>
      <c r="N21" s="19">
        <f t="shared" si="7"/>
        <v>0</v>
      </c>
      <c r="O21" s="11"/>
      <c r="P21" s="2">
        <v>-11169.25</v>
      </c>
      <c r="Q21" s="2"/>
      <c r="R21" s="19">
        <f t="shared" si="8"/>
        <v>-3.7051324974521683E-3</v>
      </c>
      <c r="S21" s="2"/>
      <c r="T21" s="2"/>
      <c r="U21" s="2"/>
      <c r="V21" s="19">
        <f t="shared" si="9"/>
        <v>0</v>
      </c>
      <c r="W21" s="2"/>
      <c r="X21" s="2">
        <f t="shared" si="10"/>
        <v>-11169.25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367479.36</v>
      </c>
      <c r="E23" s="14"/>
      <c r="F23" s="22">
        <f>IF(D$12=0,0,D23/D$12)</f>
        <v>0.74791245908358339</v>
      </c>
      <c r="G23" s="14"/>
      <c r="H23" s="21">
        <f>H12-H18</f>
        <v>360164.00000000006</v>
      </c>
      <c r="I23" s="14"/>
      <c r="J23" s="22">
        <f>IF(H$12=0,0,H23/H$12)</f>
        <v>0.75000104119379118</v>
      </c>
      <c r="K23" s="15"/>
      <c r="L23" s="21">
        <f>+D23-H23</f>
        <v>7315.3599999999278</v>
      </c>
      <c r="M23" s="15"/>
      <c r="N23" s="22">
        <f>IF(H23=0,0,L23/H23)</f>
        <v>2.0311191568285356E-2</v>
      </c>
      <c r="O23" s="29"/>
      <c r="P23" s="21">
        <f>P12-P18</f>
        <v>2258224.9900000002</v>
      </c>
      <c r="Q23" s="14"/>
      <c r="R23" s="22">
        <f>IF(P$12=0,0,P23/P$12)</f>
        <v>0.74911232150839124</v>
      </c>
      <c r="S23" s="14"/>
      <c r="T23" s="21">
        <f>T12-T18</f>
        <v>2171430</v>
      </c>
      <c r="U23" s="14"/>
      <c r="V23" s="22">
        <f>IF(T$12=0,0,T23/T$12)</f>
        <v>0.72881256947688933</v>
      </c>
      <c r="W23" s="15"/>
      <c r="X23" s="21">
        <f>+P23-T23</f>
        <v>86794.990000000224</v>
      </c>
      <c r="Y23" s="15"/>
      <c r="Z23" s="22">
        <f>IF(T23=0,0,X23/T23)</f>
        <v>3.9971350676743081E-2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199456.36000000002</v>
      </c>
      <c r="E25" s="20"/>
      <c r="F25" s="34">
        <f t="shared" ref="F25:F36" si="12">IF(D$12=0,0,D25/D$12)</f>
        <v>0.40594360643128496</v>
      </c>
      <c r="G25" s="20"/>
      <c r="H25" s="20">
        <f>SUM(OSRRefH22x_0)</f>
        <v>199662.90283518465</v>
      </c>
      <c r="I25" s="20"/>
      <c r="J25" s="34">
        <f t="shared" ref="J25:J36" si="13">IF(H$12=0,0,H25/H$12)</f>
        <v>0.41577554951123163</v>
      </c>
      <c r="K25" s="4"/>
      <c r="L25" s="20">
        <f t="shared" ref="L25:L36" si="14">+D25-H25</f>
        <v>-206.5428351846349</v>
      </c>
      <c r="M25" s="4"/>
      <c r="N25" s="34">
        <f t="shared" ref="N25:N36" si="15">IF(H25=0,0,L25/H25)</f>
        <v>-1.0344577397791788E-3</v>
      </c>
      <c r="O25" s="10"/>
      <c r="P25" s="20">
        <f>SUM(OSRRefP22x_0)</f>
        <v>1415287.2999999996</v>
      </c>
      <c r="Q25" s="20"/>
      <c r="R25" s="34">
        <f t="shared" ref="R25:R36" si="16">IF(P$12=0,0,P25/P$12)</f>
        <v>0.46948783208016071</v>
      </c>
      <c r="S25" s="20"/>
      <c r="T25" s="20">
        <f>SUM(OSRRefT22x_0)</f>
        <v>1460556.5225345055</v>
      </c>
      <c r="U25" s="20"/>
      <c r="V25" s="34">
        <f t="shared" ref="V25:V36" si="17">IF(T$12=0,0,T25/T$12)</f>
        <v>0.49021702382973581</v>
      </c>
      <c r="W25" s="4"/>
      <c r="X25" s="20">
        <f t="shared" ref="X25:X36" si="18">+P25-T25</f>
        <v>-45269.222534505883</v>
      </c>
      <c r="Y25" s="4"/>
      <c r="Z25" s="34">
        <f t="shared" ref="Z25:Z36" si="19">IF(T25=0,0,X25/T25)</f>
        <v>-3.099450232569579E-2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35577.18</v>
      </c>
      <c r="E26" s="1"/>
      <c r="F26" s="5">
        <f t="shared" si="12"/>
        <v>7.2408464467390174E-2</v>
      </c>
      <c r="G26" s="1"/>
      <c r="H26" s="1">
        <f>SUM(OSRRefH22_0x_0)</f>
        <v>31392.544350261531</v>
      </c>
      <c r="I26" s="1"/>
      <c r="J26" s="5">
        <f t="shared" si="13"/>
        <v>6.5371444531986567E-2</v>
      </c>
      <c r="K26" s="1"/>
      <c r="L26" s="1">
        <f t="shared" si="14"/>
        <v>4184.6356497384695</v>
      </c>
      <c r="M26" s="1"/>
      <c r="N26" s="5">
        <f t="shared" si="15"/>
        <v>0.1333003022325461</v>
      </c>
      <c r="O26" s="13"/>
      <c r="P26" s="1">
        <f>SUM(OSRRefP22_0x_0)</f>
        <v>273091.10000000003</v>
      </c>
      <c r="Q26" s="1"/>
      <c r="R26" s="5">
        <f t="shared" si="16"/>
        <v>9.0591464008322853E-2</v>
      </c>
      <c r="S26" s="1"/>
      <c r="T26" s="1">
        <f>SUM(OSRRefT22_0x_0)</f>
        <v>261847.88181942853</v>
      </c>
      <c r="U26" s="1"/>
      <c r="V26" s="5">
        <f t="shared" si="17"/>
        <v>8.7885875925495446E-2</v>
      </c>
      <c r="W26" s="1"/>
      <c r="X26" s="1">
        <f t="shared" si="18"/>
        <v>11243.218180571508</v>
      </c>
      <c r="Y26" s="1"/>
      <c r="Z26" s="5">
        <f t="shared" si="19"/>
        <v>4.2937976440553687E-2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4214.38</v>
      </c>
      <c r="E27" s="2"/>
      <c r="F27" s="7">
        <f t="shared" si="12"/>
        <v>8.5773179460002114E-3</v>
      </c>
      <c r="G27" s="2"/>
      <c r="H27" s="6">
        <v>2868.6248765630799</v>
      </c>
      <c r="I27" s="2"/>
      <c r="J27" s="7">
        <f t="shared" si="13"/>
        <v>5.9735888212500976E-3</v>
      </c>
      <c r="K27" s="2"/>
      <c r="L27" s="6">
        <f t="shared" si="14"/>
        <v>1345.7551234369203</v>
      </c>
      <c r="M27" s="2"/>
      <c r="N27" s="7">
        <f t="shared" si="15"/>
        <v>0.46912900129670465</v>
      </c>
      <c r="O27" s="11"/>
      <c r="P27" s="6">
        <v>37400.53</v>
      </c>
      <c r="Q27" s="2"/>
      <c r="R27" s="7">
        <f t="shared" si="16"/>
        <v>1.2406734483061508E-2</v>
      </c>
      <c r="S27" s="2"/>
      <c r="T27" s="6">
        <v>30336.956389926949</v>
      </c>
      <c r="U27" s="2"/>
      <c r="V27" s="7">
        <f t="shared" si="17"/>
        <v>1.0182209482530406E-2</v>
      </c>
      <c r="W27" s="2"/>
      <c r="X27" s="6">
        <f t="shared" si="18"/>
        <v>7063.5736100730501</v>
      </c>
      <c r="Y27" s="2"/>
      <c r="Z27" s="7">
        <f t="shared" si="19"/>
        <v>0.23283725365470187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4265.18</v>
      </c>
      <c r="E28" s="2"/>
      <c r="F28" s="7">
        <f t="shared" si="12"/>
        <v>8.6807086586689342E-3</v>
      </c>
      <c r="G28" s="2"/>
      <c r="H28" s="6">
        <v>4373.5612713353794</v>
      </c>
      <c r="I28" s="2"/>
      <c r="J28" s="7">
        <f t="shared" si="13"/>
        <v>9.1074496818848508E-3</v>
      </c>
      <c r="K28" s="2"/>
      <c r="L28" s="6">
        <f t="shared" si="14"/>
        <v>-108.3812713353791</v>
      </c>
      <c r="M28" s="2"/>
      <c r="N28" s="7">
        <f t="shared" si="15"/>
        <v>-2.4781011311243627E-2</v>
      </c>
      <c r="O28" s="11"/>
      <c r="P28" s="6">
        <v>23957.42</v>
      </c>
      <c r="Q28" s="2"/>
      <c r="R28" s="7">
        <f t="shared" si="16"/>
        <v>7.9473031221532799E-3</v>
      </c>
      <c r="S28" s="2"/>
      <c r="T28" s="6">
        <v>31232.971283064599</v>
      </c>
      <c r="U28" s="2"/>
      <c r="V28" s="7">
        <f t="shared" si="17"/>
        <v>1.0482945364671304E-2</v>
      </c>
      <c r="W28" s="2"/>
      <c r="X28" s="6">
        <f t="shared" si="18"/>
        <v>-7275.5512830646003</v>
      </c>
      <c r="Y28" s="2"/>
      <c r="Z28" s="7">
        <f t="shared" si="19"/>
        <v>-0.23294457697047896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19108.37</v>
      </c>
      <c r="E29" s="2"/>
      <c r="F29" s="7">
        <f t="shared" si="12"/>
        <v>3.8890314807827495E-2</v>
      </c>
      <c r="G29" s="2"/>
      <c r="H29" s="6">
        <v>16958.384615384599</v>
      </c>
      <c r="I29" s="2"/>
      <c r="J29" s="7">
        <f t="shared" si="13"/>
        <v>3.5313929539052255E-2</v>
      </c>
      <c r="K29" s="2"/>
      <c r="L29" s="6">
        <f t="shared" si="14"/>
        <v>2149.9853846154001</v>
      </c>
      <c r="M29" s="2"/>
      <c r="N29" s="7">
        <f t="shared" si="15"/>
        <v>0.12678008155711595</v>
      </c>
      <c r="O29" s="11"/>
      <c r="P29" s="6">
        <v>141497.38</v>
      </c>
      <c r="Q29" s="2"/>
      <c r="R29" s="7">
        <f t="shared" si="16"/>
        <v>4.6938383592661864E-2</v>
      </c>
      <c r="S29" s="2"/>
      <c r="T29" s="6">
        <v>144384.6153846154</v>
      </c>
      <c r="U29" s="2"/>
      <c r="V29" s="7">
        <f t="shared" si="17"/>
        <v>4.8460840336273313E-2</v>
      </c>
      <c r="W29" s="2"/>
      <c r="X29" s="6">
        <f t="shared" si="18"/>
        <v>-2887.2353846154001</v>
      </c>
      <c r="Y29" s="2"/>
      <c r="Z29" s="7">
        <f t="shared" si="19"/>
        <v>-1.9996835375599466E-2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285.81</v>
      </c>
      <c r="E30" s="2"/>
      <c r="F30" s="7">
        <f t="shared" si="12"/>
        <v>5.8169487377652716E-4</v>
      </c>
      <c r="G30" s="2"/>
      <c r="H30" s="6">
        <v>293.07369344</v>
      </c>
      <c r="I30" s="2"/>
      <c r="J30" s="7">
        <f t="shared" si="13"/>
        <v>6.1029301992011952E-4</v>
      </c>
      <c r="K30" s="2"/>
      <c r="L30" s="6">
        <f t="shared" si="14"/>
        <v>-7.2636934399999973</v>
      </c>
      <c r="M30" s="2"/>
      <c r="N30" s="7">
        <f t="shared" si="15"/>
        <v>-2.4784528951545318E-2</v>
      </c>
      <c r="O30" s="11"/>
      <c r="P30" s="6">
        <v>1983.68</v>
      </c>
      <c r="Q30" s="2"/>
      <c r="R30" s="7">
        <f t="shared" si="16"/>
        <v>6.5803856414225819E-4</v>
      </c>
      <c r="S30" s="2"/>
      <c r="T30" s="6">
        <v>2092.9310653599996</v>
      </c>
      <c r="U30" s="2"/>
      <c r="V30" s="7">
        <f t="shared" si="17"/>
        <v>7.0246541103467525E-4</v>
      </c>
      <c r="W30" s="2"/>
      <c r="X30" s="6">
        <f t="shared" si="18"/>
        <v>-109.25106535999953</v>
      </c>
      <c r="Y30" s="2"/>
      <c r="Z30" s="7">
        <f t="shared" si="19"/>
        <v>-5.2200030458818547E-2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1300.75</v>
      </c>
      <c r="E31" s="2"/>
      <c r="F31" s="7">
        <f t="shared" si="12"/>
        <v>2.6473517618866298E-3</v>
      </c>
      <c r="G31" s="2"/>
      <c r="H31" s="6">
        <v>1267.60705538462</v>
      </c>
      <c r="I31" s="2"/>
      <c r="J31" s="7">
        <f t="shared" si="13"/>
        <v>2.6396491913768744E-3</v>
      </c>
      <c r="K31" s="2"/>
      <c r="L31" s="6">
        <f t="shared" si="14"/>
        <v>33.142944615379974</v>
      </c>
      <c r="M31" s="2"/>
      <c r="N31" s="7">
        <f t="shared" si="15"/>
        <v>2.6146071430096035E-2</v>
      </c>
      <c r="O31" s="11"/>
      <c r="P31" s="6">
        <v>11132.45</v>
      </c>
      <c r="Q31" s="2"/>
      <c r="R31" s="7">
        <f t="shared" si="16"/>
        <v>3.6929249744845354E-3</v>
      </c>
      <c r="S31" s="2"/>
      <c r="T31" s="6">
        <v>11091.56173461541</v>
      </c>
      <c r="U31" s="2"/>
      <c r="V31" s="7">
        <f t="shared" si="17"/>
        <v>3.7227401331457158E-3</v>
      </c>
      <c r="W31" s="2"/>
      <c r="X31" s="6">
        <f t="shared" si="18"/>
        <v>40.888265384590341</v>
      </c>
      <c r="Y31" s="2"/>
      <c r="Z31" s="7">
        <f t="shared" si="19"/>
        <v>3.6864299512469065E-3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301.87</v>
      </c>
      <c r="E33" s="2"/>
      <c r="F33" s="7">
        <f t="shared" si="12"/>
        <v>6.14380992781639E-4</v>
      </c>
      <c r="G33" s="2"/>
      <c r="H33" s="6"/>
      <c r="I33" s="2"/>
      <c r="J33" s="7">
        <f t="shared" si="13"/>
        <v>0</v>
      </c>
      <c r="K33" s="2"/>
      <c r="L33" s="6">
        <f t="shared" si="14"/>
        <v>301.87</v>
      </c>
      <c r="M33" s="2"/>
      <c r="N33" s="7">
        <f t="shared" si="15"/>
        <v>0</v>
      </c>
      <c r="O33" s="11"/>
      <c r="P33" s="6">
        <v>5812.2</v>
      </c>
      <c r="Q33" s="2"/>
      <c r="R33" s="7">
        <f t="shared" si="16"/>
        <v>1.9280588313173664E-3</v>
      </c>
      <c r="S33" s="2"/>
      <c r="T33" s="6"/>
      <c r="U33" s="2"/>
      <c r="V33" s="7">
        <f t="shared" si="17"/>
        <v>0</v>
      </c>
      <c r="W33" s="2"/>
      <c r="X33" s="6">
        <f t="shared" si="18"/>
        <v>5812.2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2658.94</v>
      </c>
      <c r="E34" s="2"/>
      <c r="F34" s="7">
        <f t="shared" si="12"/>
        <v>5.4116082980978936E-3</v>
      </c>
      <c r="G34" s="2"/>
      <c r="H34" s="6">
        <v>1124.5099476923101</v>
      </c>
      <c r="I34" s="2"/>
      <c r="J34" s="7">
        <f t="shared" si="13"/>
        <v>2.3416655512544511E-3</v>
      </c>
      <c r="K34" s="2"/>
      <c r="L34" s="6">
        <f t="shared" si="14"/>
        <v>1534.4300523076899</v>
      </c>
      <c r="M34" s="2"/>
      <c r="N34" s="7">
        <f t="shared" si="15"/>
        <v>1.3645322173063983</v>
      </c>
      <c r="O34" s="11"/>
      <c r="P34" s="6">
        <v>23622.070000000003</v>
      </c>
      <c r="Q34" s="2"/>
      <c r="R34" s="7">
        <f t="shared" si="16"/>
        <v>7.8360587518490465E-3</v>
      </c>
      <c r="S34" s="2"/>
      <c r="T34" s="6">
        <v>9839.4620423076904</v>
      </c>
      <c r="U34" s="2"/>
      <c r="V34" s="7">
        <f t="shared" si="17"/>
        <v>3.3024889650251628E-3</v>
      </c>
      <c r="W34" s="2"/>
      <c r="X34" s="6">
        <f t="shared" si="18"/>
        <v>13782.607957692313</v>
      </c>
      <c r="Y34" s="2"/>
      <c r="Z34" s="7">
        <f t="shared" si="19"/>
        <v>1.4007481200120389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1743.76</v>
      </c>
      <c r="E35" s="2"/>
      <c r="F35" s="7">
        <f t="shared" si="12"/>
        <v>3.548987974866369E-3</v>
      </c>
      <c r="G35" s="2"/>
      <c r="H35" s="6">
        <v>3006.7828904615399</v>
      </c>
      <c r="I35" s="2"/>
      <c r="J35" s="7">
        <f t="shared" si="13"/>
        <v>6.2612873537883614E-3</v>
      </c>
      <c r="K35" s="2"/>
      <c r="L35" s="6">
        <f t="shared" si="14"/>
        <v>-1263.0228904615399</v>
      </c>
      <c r="M35" s="2"/>
      <c r="N35" s="7">
        <f t="shared" si="15"/>
        <v>-0.42005789459167314</v>
      </c>
      <c r="O35" s="11"/>
      <c r="P35" s="6">
        <v>16482.439999999999</v>
      </c>
      <c r="Q35" s="2"/>
      <c r="R35" s="7">
        <f t="shared" si="16"/>
        <v>5.46765665387609E-3</v>
      </c>
      <c r="S35" s="2"/>
      <c r="T35" s="6">
        <v>20869.383919538461</v>
      </c>
      <c r="U35" s="2"/>
      <c r="V35" s="7">
        <f t="shared" si="17"/>
        <v>7.0045404723147889E-3</v>
      </c>
      <c r="W35" s="2"/>
      <c r="X35" s="6">
        <f t="shared" si="18"/>
        <v>-4386.9439195384621</v>
      </c>
      <c r="Y35" s="2"/>
      <c r="Z35" s="7">
        <f t="shared" si="19"/>
        <v>-0.21020955560797799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1698.12</v>
      </c>
      <c r="E36" s="2"/>
      <c r="F36" s="7">
        <f t="shared" si="12"/>
        <v>3.4560991534844693E-3</v>
      </c>
      <c r="G36" s="2"/>
      <c r="H36" s="6">
        <v>1500</v>
      </c>
      <c r="I36" s="2"/>
      <c r="J36" s="7">
        <f t="shared" si="13"/>
        <v>3.1235813734595535E-3</v>
      </c>
      <c r="K36" s="2"/>
      <c r="L36" s="6">
        <f t="shared" si="14"/>
        <v>198.11999999999989</v>
      </c>
      <c r="M36" s="2"/>
      <c r="N36" s="7">
        <f t="shared" si="15"/>
        <v>0.13207999999999992</v>
      </c>
      <c r="O36" s="11"/>
      <c r="P36" s="6">
        <v>11202.93</v>
      </c>
      <c r="Q36" s="2"/>
      <c r="R36" s="7">
        <f t="shared" si="16"/>
        <v>3.7163050347768941E-3</v>
      </c>
      <c r="S36" s="2"/>
      <c r="T36" s="6">
        <v>12000</v>
      </c>
      <c r="U36" s="2"/>
      <c r="V36" s="7">
        <f t="shared" si="17"/>
        <v>4.0276457605000725E-3</v>
      </c>
      <c r="W36" s="2"/>
      <c r="X36" s="6">
        <f t="shared" si="18"/>
        <v>-797.06999999999971</v>
      </c>
      <c r="Y36" s="2"/>
      <c r="Z36" s="7">
        <f t="shared" si="19"/>
        <v>-6.6422499999999982E-2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104772.67000000001</v>
      </c>
      <c r="E37" s="1"/>
      <c r="F37" s="5">
        <f t="shared" ref="F37:F47" si="20">IF(D$12=0,0,D37/D$12)</f>
        <v>0.21323860274615911</v>
      </c>
      <c r="G37" s="1"/>
      <c r="H37" s="1">
        <f>SUM(OSRRefH22_1x_0)</f>
        <v>108589.3584849231</v>
      </c>
      <c r="I37" s="1"/>
      <c r="J37" s="5">
        <f t="shared" ref="J37:J47" si="21">IF(H$12=0,0,H37/H$12)</f>
        <v>0.22612513167961859</v>
      </c>
      <c r="K37" s="1"/>
      <c r="L37" s="1">
        <f t="shared" ref="L37:L47" si="22">+D37-H37</f>
        <v>-3816.6884849230846</v>
      </c>
      <c r="M37" s="1"/>
      <c r="N37" s="5">
        <f t="shared" ref="N37:N47" si="23">IF(H37=0,0,L37/H37)</f>
        <v>-3.5147905265993498E-2</v>
      </c>
      <c r="O37" s="13"/>
      <c r="P37" s="1">
        <f>SUM(OSRRefP22_1x_0)</f>
        <v>738300.3600000001</v>
      </c>
      <c r="Q37" s="1"/>
      <c r="R37" s="5">
        <f t="shared" ref="R37:R47" si="24">IF(P$12=0,0,P37/P$12)</f>
        <v>0.24491354895956627</v>
      </c>
      <c r="S37" s="1"/>
      <c r="T37" s="1">
        <f>SUM(OSRRefT22_1x_0)</f>
        <v>774264.64071507694</v>
      </c>
      <c r="U37" s="1"/>
      <c r="V37" s="5">
        <f t="shared" ref="V37:V47" si="25">IF(T$12=0,0,T37/T$12)</f>
        <v>0.25987197480676594</v>
      </c>
      <c r="W37" s="1"/>
      <c r="X37" s="1">
        <f t="shared" ref="X37:X47" si="26">+P37-T37</f>
        <v>-35964.280715076835</v>
      </c>
      <c r="Y37" s="1"/>
      <c r="Z37" s="5">
        <f t="shared" ref="Z37:Z47" si="27">IF(T37=0,0,X37/T37)</f>
        <v>-4.6449597235722659E-2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14231.33</v>
      </c>
      <c r="E39" s="2"/>
      <c r="F39" s="7">
        <f t="shared" si="20"/>
        <v>2.8964317931570286E-2</v>
      </c>
      <c r="G39" s="2"/>
      <c r="H39" s="6">
        <v>14002.6360769231</v>
      </c>
      <c r="I39" s="2"/>
      <c r="J39" s="7">
        <f t="shared" si="21"/>
        <v>2.9158915486139834E-2</v>
      </c>
      <c r="K39" s="2"/>
      <c r="L39" s="6">
        <f t="shared" si="22"/>
        <v>228.69392307690032</v>
      </c>
      <c r="M39" s="2"/>
      <c r="N39" s="7">
        <f t="shared" si="23"/>
        <v>1.6332205009155169E-2</v>
      </c>
      <c r="O39" s="11"/>
      <c r="P39" s="6">
        <v>121658.84000000001</v>
      </c>
      <c r="Q39" s="2"/>
      <c r="R39" s="7">
        <f t="shared" si="24"/>
        <v>4.0357420747707665E-2</v>
      </c>
      <c r="S39" s="2"/>
      <c r="T39" s="6">
        <v>122523.06567307691</v>
      </c>
      <c r="U39" s="2"/>
      <c r="V39" s="7">
        <f t="shared" si="25"/>
        <v>4.1123292168470015E-2</v>
      </c>
      <c r="W39" s="2"/>
      <c r="X39" s="6">
        <f t="shared" si="26"/>
        <v>-864.22567307690042</v>
      </c>
      <c r="Y39" s="2"/>
      <c r="Z39" s="7">
        <f t="shared" si="27"/>
        <v>-7.0535753274642756E-3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22821.18</v>
      </c>
      <c r="E41" s="2"/>
      <c r="F41" s="7">
        <f t="shared" si="20"/>
        <v>4.6446812286244026E-2</v>
      </c>
      <c r="G41" s="2"/>
      <c r="H41" s="6">
        <v>21606.845600000001</v>
      </c>
      <c r="I41" s="2"/>
      <c r="J41" s="7">
        <f t="shared" si="21"/>
        <v>4.4993826970251005E-2</v>
      </c>
      <c r="K41" s="2"/>
      <c r="L41" s="6">
        <f t="shared" si="22"/>
        <v>1214.3343999999997</v>
      </c>
      <c r="M41" s="2"/>
      <c r="N41" s="7">
        <f t="shared" si="23"/>
        <v>5.6201373512846306E-2</v>
      </c>
      <c r="O41" s="11"/>
      <c r="P41" s="6">
        <v>160667.81</v>
      </c>
      <c r="Q41" s="2"/>
      <c r="R41" s="7">
        <f t="shared" si="24"/>
        <v>5.3297716867781675E-2</v>
      </c>
      <c r="S41" s="2"/>
      <c r="T41" s="6">
        <v>189059.899</v>
      </c>
      <c r="U41" s="2"/>
      <c r="V41" s="7">
        <f t="shared" si="25"/>
        <v>6.3455525057326823E-2</v>
      </c>
      <c r="W41" s="2"/>
      <c r="X41" s="6">
        <f t="shared" si="26"/>
        <v>-28392.089000000007</v>
      </c>
      <c r="Y41" s="2"/>
      <c r="Z41" s="7">
        <f t="shared" si="27"/>
        <v>-0.15017509873947413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14686.54</v>
      </c>
      <c r="E42" s="2"/>
      <c r="F42" s="7">
        <f t="shared" si="20"/>
        <v>2.9890784197592515E-2</v>
      </c>
      <c r="G42" s="2"/>
      <c r="H42" s="6">
        <v>23443.761608000001</v>
      </c>
      <c r="I42" s="2"/>
      <c r="J42" s="7">
        <f t="shared" si="21"/>
        <v>4.8818998055049995E-2</v>
      </c>
      <c r="K42" s="2"/>
      <c r="L42" s="6">
        <f t="shared" si="22"/>
        <v>-8757.2216079999998</v>
      </c>
      <c r="M42" s="2"/>
      <c r="N42" s="7">
        <f t="shared" si="23"/>
        <v>-0.37354165915983661</v>
      </c>
      <c r="O42" s="11"/>
      <c r="P42" s="6">
        <v>128591.56</v>
      </c>
      <c r="Q42" s="2"/>
      <c r="R42" s="7">
        <f t="shared" si="24"/>
        <v>4.2657185384342759E-2</v>
      </c>
      <c r="S42" s="2"/>
      <c r="T42" s="6">
        <v>152481.26324199999</v>
      </c>
      <c r="U42" s="2"/>
      <c r="V42" s="7">
        <f t="shared" si="25"/>
        <v>5.1178376121028067E-2</v>
      </c>
      <c r="W42" s="2"/>
      <c r="X42" s="6">
        <f t="shared" si="26"/>
        <v>-23889.703241999989</v>
      </c>
      <c r="Y42" s="2"/>
      <c r="Z42" s="7">
        <f t="shared" si="27"/>
        <v>-0.15667304122530198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>
        <v>2130.31</v>
      </c>
      <c r="E43" s="2"/>
      <c r="F43" s="7">
        <f t="shared" si="20"/>
        <v>4.3357139587658702E-3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2130.31</v>
      </c>
      <c r="M43" s="2"/>
      <c r="N43" s="7">
        <f t="shared" si="23"/>
        <v>0</v>
      </c>
      <c r="O43" s="11"/>
      <c r="P43" s="6">
        <v>11416.31</v>
      </c>
      <c r="Q43" s="2"/>
      <c r="R43" s="7">
        <f t="shared" si="24"/>
        <v>3.7870887644191119E-3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11416.31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40728.239999999998</v>
      </c>
      <c r="E44" s="2"/>
      <c r="F44" s="7">
        <f t="shared" si="20"/>
        <v>8.2892160616983665E-2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40728.239999999998</v>
      </c>
      <c r="M44" s="2"/>
      <c r="N44" s="7">
        <f t="shared" si="23"/>
        <v>0</v>
      </c>
      <c r="O44" s="11"/>
      <c r="P44" s="6">
        <v>246230.27</v>
      </c>
      <c r="Q44" s="2"/>
      <c r="R44" s="7">
        <f t="shared" si="24"/>
        <v>8.1681023813901715E-2</v>
      </c>
      <c r="S44" s="2"/>
      <c r="T44" s="6">
        <v>66371.28</v>
      </c>
      <c r="U44" s="2"/>
      <c r="V44" s="7">
        <f t="shared" si="25"/>
        <v>2.2276667042580269E-2</v>
      </c>
      <c r="W44" s="2"/>
      <c r="X44" s="6">
        <f t="shared" si="26"/>
        <v>179858.99</v>
      </c>
      <c r="Y44" s="2"/>
      <c r="Z44" s="7">
        <f t="shared" si="27"/>
        <v>2.7098918387591739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10175.07</v>
      </c>
      <c r="E45" s="2"/>
      <c r="F45" s="7">
        <f t="shared" si="20"/>
        <v>2.070881375500272E-2</v>
      </c>
      <c r="G45" s="2"/>
      <c r="H45" s="6">
        <v>49536.1152</v>
      </c>
      <c r="I45" s="2"/>
      <c r="J45" s="7">
        <f t="shared" si="21"/>
        <v>0.10315339116817777</v>
      </c>
      <c r="K45" s="2"/>
      <c r="L45" s="6">
        <f t="shared" si="22"/>
        <v>-39361.0452</v>
      </c>
      <c r="M45" s="2"/>
      <c r="N45" s="7">
        <f t="shared" si="23"/>
        <v>-0.79459289532660005</v>
      </c>
      <c r="O45" s="11"/>
      <c r="P45" s="6">
        <v>69735.570000000007</v>
      </c>
      <c r="Q45" s="2"/>
      <c r="R45" s="7">
        <f t="shared" si="24"/>
        <v>2.3133113381413304E-2</v>
      </c>
      <c r="S45" s="2"/>
      <c r="T45" s="6">
        <v>243829.13279999999</v>
      </c>
      <c r="U45" s="2"/>
      <c r="V45" s="7">
        <f t="shared" si="25"/>
        <v>8.1838114417360761E-2</v>
      </c>
      <c r="W45" s="2"/>
      <c r="X45" s="6">
        <f t="shared" si="26"/>
        <v>-174093.56279999999</v>
      </c>
      <c r="Y45" s="2"/>
      <c r="Z45" s="7">
        <f t="shared" si="27"/>
        <v>-0.71399820358135646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52.78</v>
      </c>
      <c r="E48" s="1"/>
      <c r="F48" s="5">
        <f t="shared" ref="F48:F69" si="28">IF(D$12=0,0,D48/D$12)</f>
        <v>1.0742050816250342E-4</v>
      </c>
      <c r="G48" s="1"/>
      <c r="H48" s="1">
        <f>SUM(OSRRefH22_2x_0)</f>
        <v>100</v>
      </c>
      <c r="I48" s="1"/>
      <c r="J48" s="5">
        <f t="shared" ref="J48:J69" si="29">IF(H$12=0,0,H48/H$12)</f>
        <v>2.0823875823063688E-4</v>
      </c>
      <c r="K48" s="1"/>
      <c r="L48" s="1">
        <f t="shared" ref="L48:L69" si="30">+D48-H48</f>
        <v>-47.22</v>
      </c>
      <c r="M48" s="1"/>
      <c r="N48" s="5">
        <f t="shared" ref="N48:N69" si="31">IF(H48=0,0,L48/H48)</f>
        <v>-0.47220000000000001</v>
      </c>
      <c r="O48" s="13"/>
      <c r="P48" s="1">
        <f>SUM(OSRRefP22_2x_0)</f>
        <v>2584.23</v>
      </c>
      <c r="Q48" s="1"/>
      <c r="R48" s="5">
        <f t="shared" ref="R48:R69" si="32">IF(P$12=0,0,P48/P$12)</f>
        <v>8.5725671409367843E-4</v>
      </c>
      <c r="S48" s="1"/>
      <c r="T48" s="1">
        <f>SUM(OSRRefT22_2x_0)</f>
        <v>3500</v>
      </c>
      <c r="U48" s="1"/>
      <c r="V48" s="5">
        <f t="shared" ref="V48:V69" si="33">IF(T$12=0,0,T48/T$12)</f>
        <v>1.1747300134791877E-3</v>
      </c>
      <c r="W48" s="1"/>
      <c r="X48" s="1">
        <f t="shared" ref="X48:X69" si="34">+P48-T48</f>
        <v>-915.77</v>
      </c>
      <c r="Y48" s="1"/>
      <c r="Z48" s="5">
        <f t="shared" ref="Z48:Z69" si="35">IF(T48=0,0,X48/T48)</f>
        <v>-0.2616485714285714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52.78</v>
      </c>
      <c r="E49" s="2"/>
      <c r="F49" s="7">
        <f t="shared" si="28"/>
        <v>1.0742050816250342E-4</v>
      </c>
      <c r="G49" s="2"/>
      <c r="H49" s="6">
        <v>100</v>
      </c>
      <c r="I49" s="2"/>
      <c r="J49" s="7">
        <f t="shared" si="29"/>
        <v>2.0823875823063688E-4</v>
      </c>
      <c r="K49" s="2"/>
      <c r="L49" s="6">
        <f t="shared" si="30"/>
        <v>-47.22</v>
      </c>
      <c r="M49" s="2"/>
      <c r="N49" s="7">
        <f t="shared" si="31"/>
        <v>-0.47220000000000001</v>
      </c>
      <c r="O49" s="11"/>
      <c r="P49" s="6">
        <v>2584.23</v>
      </c>
      <c r="Q49" s="2"/>
      <c r="R49" s="7">
        <f t="shared" si="32"/>
        <v>8.5725671409367843E-4</v>
      </c>
      <c r="S49" s="2"/>
      <c r="T49" s="6">
        <v>3500</v>
      </c>
      <c r="U49" s="2"/>
      <c r="V49" s="7">
        <f t="shared" si="33"/>
        <v>1.1747300134791877E-3</v>
      </c>
      <c r="W49" s="2"/>
      <c r="X49" s="6">
        <f t="shared" si="34"/>
        <v>-915.77</v>
      </c>
      <c r="Y49" s="2"/>
      <c r="Z49" s="7">
        <f t="shared" si="35"/>
        <v>-0.2616485714285714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0.1</v>
      </c>
      <c r="E50" s="1"/>
      <c r="F50" s="5">
        <f t="shared" si="28"/>
        <v>2.0352502493843013E-7</v>
      </c>
      <c r="G50" s="1"/>
      <c r="H50" s="1">
        <f>SUM(OSRRefH22_3x_0)</f>
        <v>8</v>
      </c>
      <c r="I50" s="1"/>
      <c r="J50" s="5">
        <f t="shared" si="29"/>
        <v>1.6659100658450953E-5</v>
      </c>
      <c r="K50" s="1"/>
      <c r="L50" s="1">
        <f t="shared" si="30"/>
        <v>-7.9</v>
      </c>
      <c r="M50" s="1"/>
      <c r="N50" s="5">
        <f t="shared" si="31"/>
        <v>-0.98750000000000004</v>
      </c>
      <c r="O50" s="13"/>
      <c r="P50" s="1">
        <f>SUM(OSRRefP22_3x_0)</f>
        <v>16.34</v>
      </c>
      <c r="Q50" s="1"/>
      <c r="R50" s="5">
        <f t="shared" si="32"/>
        <v>5.4204055785633264E-6</v>
      </c>
      <c r="S50" s="1"/>
      <c r="T50" s="1">
        <f>SUM(OSRRefT22_3x_0)</f>
        <v>64</v>
      </c>
      <c r="U50" s="1"/>
      <c r="V50" s="5">
        <f t="shared" si="33"/>
        <v>2.148077738933372E-5</v>
      </c>
      <c r="W50" s="1"/>
      <c r="X50" s="1">
        <f t="shared" si="34"/>
        <v>-47.66</v>
      </c>
      <c r="Y50" s="1"/>
      <c r="Z50" s="5">
        <f t="shared" si="35"/>
        <v>-0.74468749999999995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0.1</v>
      </c>
      <c r="E51" s="2"/>
      <c r="F51" s="7">
        <f t="shared" si="28"/>
        <v>2.0352502493843013E-7</v>
      </c>
      <c r="G51" s="2"/>
      <c r="H51" s="6">
        <v>8</v>
      </c>
      <c r="I51" s="2"/>
      <c r="J51" s="7">
        <f t="shared" si="29"/>
        <v>1.6659100658450953E-5</v>
      </c>
      <c r="K51" s="2"/>
      <c r="L51" s="6">
        <f t="shared" si="30"/>
        <v>-7.9</v>
      </c>
      <c r="M51" s="2"/>
      <c r="N51" s="7">
        <f t="shared" si="31"/>
        <v>-0.98750000000000004</v>
      </c>
      <c r="O51" s="11"/>
      <c r="P51" s="6">
        <v>16.34</v>
      </c>
      <c r="Q51" s="2"/>
      <c r="R51" s="7">
        <f t="shared" si="32"/>
        <v>5.4204055785633264E-6</v>
      </c>
      <c r="S51" s="2"/>
      <c r="T51" s="6">
        <v>64</v>
      </c>
      <c r="U51" s="2"/>
      <c r="V51" s="7">
        <f t="shared" si="33"/>
        <v>2.148077738933372E-5</v>
      </c>
      <c r="W51" s="2"/>
      <c r="X51" s="6">
        <f t="shared" si="34"/>
        <v>-47.66</v>
      </c>
      <c r="Y51" s="2"/>
      <c r="Z51" s="7">
        <f t="shared" si="35"/>
        <v>-0.74468749999999995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121.15</v>
      </c>
      <c r="E52" s="1"/>
      <c r="F52" s="5">
        <f t="shared" si="28"/>
        <v>2.4657056771290809E-4</v>
      </c>
      <c r="G52" s="1"/>
      <c r="H52" s="1">
        <f>SUM(OSRRefH22_4x_0)</f>
        <v>170</v>
      </c>
      <c r="I52" s="1"/>
      <c r="J52" s="5">
        <f t="shared" si="29"/>
        <v>3.540058889920827E-4</v>
      </c>
      <c r="K52" s="1"/>
      <c r="L52" s="1">
        <f t="shared" si="30"/>
        <v>-48.849999999999994</v>
      </c>
      <c r="M52" s="1"/>
      <c r="N52" s="5">
        <f t="shared" si="31"/>
        <v>-0.28735294117647053</v>
      </c>
      <c r="O52" s="13"/>
      <c r="P52" s="1">
        <f>SUM(OSRRefP22_4x_0)</f>
        <v>1077.95</v>
      </c>
      <c r="Q52" s="1"/>
      <c r="R52" s="5">
        <f t="shared" si="32"/>
        <v>3.5758422236305617E-4</v>
      </c>
      <c r="S52" s="1"/>
      <c r="T52" s="1">
        <f>SUM(OSRRefT22_4x_0)</f>
        <v>1360</v>
      </c>
      <c r="U52" s="1"/>
      <c r="V52" s="5">
        <f t="shared" si="33"/>
        <v>4.5646651952334155E-4</v>
      </c>
      <c r="W52" s="1"/>
      <c r="X52" s="1">
        <f t="shared" si="34"/>
        <v>-282.04999999999995</v>
      </c>
      <c r="Y52" s="1"/>
      <c r="Z52" s="5">
        <f t="shared" si="35"/>
        <v>-0.20738970588235292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121.15</v>
      </c>
      <c r="E53" s="2"/>
      <c r="F53" s="7">
        <f t="shared" si="28"/>
        <v>2.4657056771290809E-4</v>
      </c>
      <c r="G53" s="2"/>
      <c r="H53" s="6">
        <v>170</v>
      </c>
      <c r="I53" s="2"/>
      <c r="J53" s="7">
        <f t="shared" si="29"/>
        <v>3.540058889920827E-4</v>
      </c>
      <c r="K53" s="2"/>
      <c r="L53" s="6">
        <f t="shared" si="30"/>
        <v>-48.849999999999994</v>
      </c>
      <c r="M53" s="2"/>
      <c r="N53" s="7">
        <f t="shared" si="31"/>
        <v>-0.28735294117647053</v>
      </c>
      <c r="O53" s="11"/>
      <c r="P53" s="6">
        <v>1077.95</v>
      </c>
      <c r="Q53" s="2"/>
      <c r="R53" s="7">
        <f t="shared" si="32"/>
        <v>3.5758422236305617E-4</v>
      </c>
      <c r="S53" s="2"/>
      <c r="T53" s="6">
        <v>1360</v>
      </c>
      <c r="U53" s="2"/>
      <c r="V53" s="7">
        <f t="shared" si="33"/>
        <v>4.5646651952334155E-4</v>
      </c>
      <c r="W53" s="2"/>
      <c r="X53" s="6">
        <f t="shared" si="34"/>
        <v>-282.04999999999995</v>
      </c>
      <c r="Y53" s="2"/>
      <c r="Z53" s="7">
        <f t="shared" si="35"/>
        <v>-0.20738970588235292</v>
      </c>
    </row>
    <row r="54" spans="1:26" s="27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4165.8900000000003</v>
      </c>
      <c r="E54" s="1"/>
      <c r="F54" s="5">
        <f t="shared" si="28"/>
        <v>8.4786286614075678E-3</v>
      </c>
      <c r="G54" s="1"/>
      <c r="H54" s="1">
        <f>SUM(OSRRefH22_5x_0)</f>
        <v>3100</v>
      </c>
      <c r="I54" s="1"/>
      <c r="J54" s="5">
        <f t="shared" si="29"/>
        <v>6.4554015051497436E-3</v>
      </c>
      <c r="K54" s="1"/>
      <c r="L54" s="1">
        <f t="shared" si="30"/>
        <v>1065.8900000000003</v>
      </c>
      <c r="M54" s="1"/>
      <c r="N54" s="5">
        <f t="shared" si="31"/>
        <v>0.34383548387096785</v>
      </c>
      <c r="O54" s="13"/>
      <c r="P54" s="1">
        <f>SUM(OSRRefP22_5x_0)</f>
        <v>23734.94</v>
      </c>
      <c r="Q54" s="1"/>
      <c r="R54" s="5">
        <f t="shared" si="32"/>
        <v>7.8735006843859145E-3</v>
      </c>
      <c r="S54" s="1"/>
      <c r="T54" s="1">
        <f>SUM(OSRRefT22_5x_0)</f>
        <v>23700</v>
      </c>
      <c r="U54" s="1"/>
      <c r="V54" s="5">
        <f t="shared" si="33"/>
        <v>7.9546003769876434E-3</v>
      </c>
      <c r="W54" s="1"/>
      <c r="X54" s="1">
        <f t="shared" si="34"/>
        <v>34.93999999999869</v>
      </c>
      <c r="Y54" s="1"/>
      <c r="Z54" s="5">
        <f t="shared" si="35"/>
        <v>1.4742616033754721E-3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6">
        <v>4165.8900000000003</v>
      </c>
      <c r="E55" s="2"/>
      <c r="F55" s="7">
        <f t="shared" si="28"/>
        <v>8.4786286614075678E-3</v>
      </c>
      <c r="G55" s="2"/>
      <c r="H55" s="6">
        <v>3100</v>
      </c>
      <c r="I55" s="2"/>
      <c r="J55" s="7">
        <f t="shared" si="29"/>
        <v>6.4554015051497436E-3</v>
      </c>
      <c r="K55" s="2"/>
      <c r="L55" s="6">
        <f t="shared" si="30"/>
        <v>1065.8900000000003</v>
      </c>
      <c r="M55" s="2"/>
      <c r="N55" s="7">
        <f t="shared" si="31"/>
        <v>0.34383548387096785</v>
      </c>
      <c r="O55" s="11"/>
      <c r="P55" s="6">
        <v>23734.94</v>
      </c>
      <c r="Q55" s="2"/>
      <c r="R55" s="7">
        <f t="shared" si="32"/>
        <v>7.8735006843859145E-3</v>
      </c>
      <c r="S55" s="2"/>
      <c r="T55" s="6">
        <v>23700</v>
      </c>
      <c r="U55" s="2"/>
      <c r="V55" s="7">
        <f t="shared" si="33"/>
        <v>7.9546003769876434E-3</v>
      </c>
      <c r="W55" s="2"/>
      <c r="X55" s="6">
        <f t="shared" si="34"/>
        <v>34.93999999999869</v>
      </c>
      <c r="Y55" s="2"/>
      <c r="Z55" s="7">
        <f t="shared" si="35"/>
        <v>1.4742616033754721E-3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145</v>
      </c>
      <c r="I56" s="1"/>
      <c r="J56" s="5">
        <f t="shared" si="29"/>
        <v>3.019461994344235E-4</v>
      </c>
      <c r="K56" s="1"/>
      <c r="L56" s="1">
        <f t="shared" si="30"/>
        <v>-145</v>
      </c>
      <c r="M56" s="1"/>
      <c r="N56" s="5">
        <f t="shared" si="31"/>
        <v>-1</v>
      </c>
      <c r="O56" s="13"/>
      <c r="P56" s="1">
        <f>SUM(OSRRefP22_6x_0)</f>
        <v>1564</v>
      </c>
      <c r="Q56" s="1"/>
      <c r="R56" s="5">
        <f t="shared" si="32"/>
        <v>5.1881972612442123E-4</v>
      </c>
      <c r="S56" s="1"/>
      <c r="T56" s="1">
        <f>SUM(OSRRefT22_6x_0)</f>
        <v>1160</v>
      </c>
      <c r="U56" s="1"/>
      <c r="V56" s="5">
        <f t="shared" si="33"/>
        <v>3.893390901816737E-4</v>
      </c>
      <c r="W56" s="1"/>
      <c r="X56" s="1">
        <f t="shared" si="34"/>
        <v>404</v>
      </c>
      <c r="Y56" s="1"/>
      <c r="Z56" s="5">
        <f t="shared" si="35"/>
        <v>0.34827586206896549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145</v>
      </c>
      <c r="I57" s="2"/>
      <c r="J57" s="7">
        <f t="shared" si="29"/>
        <v>3.019461994344235E-4</v>
      </c>
      <c r="K57" s="2"/>
      <c r="L57" s="6">
        <f t="shared" si="30"/>
        <v>-145</v>
      </c>
      <c r="M57" s="2"/>
      <c r="N57" s="7">
        <f t="shared" si="31"/>
        <v>-1</v>
      </c>
      <c r="O57" s="11"/>
      <c r="P57" s="6">
        <v>1564</v>
      </c>
      <c r="Q57" s="2"/>
      <c r="R57" s="7">
        <f t="shared" si="32"/>
        <v>5.1881972612442123E-4</v>
      </c>
      <c r="S57" s="2"/>
      <c r="T57" s="6">
        <v>1160</v>
      </c>
      <c r="U57" s="2"/>
      <c r="V57" s="7">
        <f t="shared" si="33"/>
        <v>3.893390901816737E-4</v>
      </c>
      <c r="W57" s="2"/>
      <c r="X57" s="6">
        <f t="shared" si="34"/>
        <v>404</v>
      </c>
      <c r="Y57" s="2"/>
      <c r="Z57" s="7">
        <f t="shared" si="35"/>
        <v>0.34827586206896549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339.14</v>
      </c>
      <c r="E58" s="1"/>
      <c r="F58" s="5">
        <f t="shared" si="28"/>
        <v>6.9023476957619191E-4</v>
      </c>
      <c r="G58" s="1"/>
      <c r="H58" s="1">
        <f>SUM(OSRRefH22_7x_0)</f>
        <v>270</v>
      </c>
      <c r="I58" s="1"/>
      <c r="J58" s="5">
        <f t="shared" si="29"/>
        <v>5.6224464722271958E-4</v>
      </c>
      <c r="K58" s="1"/>
      <c r="L58" s="1">
        <f t="shared" si="30"/>
        <v>69.139999999999986</v>
      </c>
      <c r="M58" s="1"/>
      <c r="N58" s="5">
        <f t="shared" si="31"/>
        <v>0.25607407407407401</v>
      </c>
      <c r="O58" s="13"/>
      <c r="P58" s="1">
        <f>SUM(OSRRefP22_7x_0)</f>
        <v>2367.11</v>
      </c>
      <c r="Q58" s="1"/>
      <c r="R58" s="5">
        <f t="shared" si="32"/>
        <v>7.8523232858464112E-4</v>
      </c>
      <c r="S58" s="1"/>
      <c r="T58" s="1">
        <f>SUM(OSRRefT22_7x_0)</f>
        <v>2160</v>
      </c>
      <c r="U58" s="1"/>
      <c r="V58" s="5">
        <f t="shared" si="33"/>
        <v>7.2497623689001304E-4</v>
      </c>
      <c r="W58" s="1"/>
      <c r="X58" s="1">
        <f t="shared" si="34"/>
        <v>207.11000000000013</v>
      </c>
      <c r="Y58" s="1"/>
      <c r="Z58" s="5">
        <f t="shared" si="35"/>
        <v>9.5884259259259322E-2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339.14</v>
      </c>
      <c r="E59" s="2"/>
      <c r="F59" s="7">
        <f t="shared" si="28"/>
        <v>6.9023476957619191E-4</v>
      </c>
      <c r="G59" s="2"/>
      <c r="H59" s="6">
        <v>270</v>
      </c>
      <c r="I59" s="2"/>
      <c r="J59" s="7">
        <f t="shared" si="29"/>
        <v>5.6224464722271958E-4</v>
      </c>
      <c r="K59" s="2"/>
      <c r="L59" s="6">
        <f t="shared" si="30"/>
        <v>69.139999999999986</v>
      </c>
      <c r="M59" s="2"/>
      <c r="N59" s="7">
        <f t="shared" si="31"/>
        <v>0.25607407407407401</v>
      </c>
      <c r="O59" s="11"/>
      <c r="P59" s="6">
        <v>2367.11</v>
      </c>
      <c r="Q59" s="2"/>
      <c r="R59" s="7">
        <f t="shared" si="32"/>
        <v>7.8523232858464112E-4</v>
      </c>
      <c r="S59" s="2"/>
      <c r="T59" s="6">
        <v>2160</v>
      </c>
      <c r="U59" s="2"/>
      <c r="V59" s="7">
        <f t="shared" si="33"/>
        <v>7.2497623689001304E-4</v>
      </c>
      <c r="W59" s="2"/>
      <c r="X59" s="6">
        <f t="shared" si="34"/>
        <v>207.11000000000013</v>
      </c>
      <c r="Y59" s="2"/>
      <c r="Z59" s="7">
        <f t="shared" si="35"/>
        <v>9.5884259259259322E-2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2.0823875823063691E-6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8</v>
      </c>
      <c r="U60" s="1"/>
      <c r="V60" s="5">
        <f t="shared" si="33"/>
        <v>2.685097173666715E-6</v>
      </c>
      <c r="W60" s="1"/>
      <c r="X60" s="1">
        <f t="shared" si="34"/>
        <v>-8</v>
      </c>
      <c r="Y60" s="1"/>
      <c r="Z60" s="5">
        <f t="shared" si="35"/>
        <v>-1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8"/>
        <v>0</v>
      </c>
      <c r="G61" s="2"/>
      <c r="H61" s="6">
        <v>1</v>
      </c>
      <c r="I61" s="2"/>
      <c r="J61" s="7">
        <f t="shared" si="29"/>
        <v>2.0823875823063691E-6</v>
      </c>
      <c r="K61" s="2"/>
      <c r="L61" s="6">
        <f t="shared" si="30"/>
        <v>-1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8</v>
      </c>
      <c r="U61" s="2"/>
      <c r="V61" s="7">
        <f t="shared" si="33"/>
        <v>2.685097173666715E-6</v>
      </c>
      <c r="W61" s="2"/>
      <c r="X61" s="6">
        <f t="shared" si="34"/>
        <v>-8</v>
      </c>
      <c r="Y61" s="2"/>
      <c r="Z61" s="7">
        <f t="shared" si="35"/>
        <v>-1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250</v>
      </c>
      <c r="E62" s="1"/>
      <c r="F62" s="5">
        <f t="shared" si="28"/>
        <v>5.0881256234607528E-4</v>
      </c>
      <c r="G62" s="1"/>
      <c r="H62" s="1">
        <f>SUM(OSRRefH22_9x_0)</f>
        <v>100</v>
      </c>
      <c r="I62" s="1"/>
      <c r="J62" s="5">
        <f t="shared" si="29"/>
        <v>2.0823875823063688E-4</v>
      </c>
      <c r="K62" s="1"/>
      <c r="L62" s="1">
        <f t="shared" si="30"/>
        <v>150</v>
      </c>
      <c r="M62" s="1"/>
      <c r="N62" s="5">
        <f t="shared" si="31"/>
        <v>1.5</v>
      </c>
      <c r="O62" s="13"/>
      <c r="P62" s="1">
        <f>SUM(OSRRefP22_9x_0)</f>
        <v>3224.62</v>
      </c>
      <c r="Q62" s="1"/>
      <c r="R62" s="5">
        <f t="shared" si="32"/>
        <v>1.0696908345622321E-3</v>
      </c>
      <c r="S62" s="1"/>
      <c r="T62" s="1">
        <f>SUM(OSRRefT22_9x_0)</f>
        <v>3050</v>
      </c>
      <c r="U62" s="1"/>
      <c r="V62" s="5">
        <f t="shared" si="33"/>
        <v>1.0236932974604352E-3</v>
      </c>
      <c r="W62" s="1"/>
      <c r="X62" s="1">
        <f t="shared" si="34"/>
        <v>174.61999999999989</v>
      </c>
      <c r="Y62" s="1"/>
      <c r="Z62" s="5">
        <f t="shared" si="35"/>
        <v>5.7252459016393406E-2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>
        <v>250</v>
      </c>
      <c r="E63" s="2"/>
      <c r="F63" s="7">
        <f t="shared" si="28"/>
        <v>5.0881256234607528E-4</v>
      </c>
      <c r="G63" s="2"/>
      <c r="H63" s="6">
        <v>100</v>
      </c>
      <c r="I63" s="2"/>
      <c r="J63" s="7">
        <f t="shared" si="29"/>
        <v>2.0823875823063688E-4</v>
      </c>
      <c r="K63" s="2"/>
      <c r="L63" s="6">
        <f t="shared" si="30"/>
        <v>150</v>
      </c>
      <c r="M63" s="2"/>
      <c r="N63" s="7">
        <f t="shared" si="31"/>
        <v>1.5</v>
      </c>
      <c r="O63" s="11"/>
      <c r="P63" s="6">
        <v>3224.62</v>
      </c>
      <c r="Q63" s="2"/>
      <c r="R63" s="7">
        <f t="shared" si="32"/>
        <v>1.0696908345622321E-3</v>
      </c>
      <c r="S63" s="2"/>
      <c r="T63" s="6">
        <v>3050</v>
      </c>
      <c r="U63" s="2"/>
      <c r="V63" s="7">
        <f t="shared" si="33"/>
        <v>1.0236932974604352E-3</v>
      </c>
      <c r="W63" s="2"/>
      <c r="X63" s="6">
        <f t="shared" si="34"/>
        <v>174.61999999999989</v>
      </c>
      <c r="Y63" s="2"/>
      <c r="Z63" s="7">
        <f t="shared" si="35"/>
        <v>5.7252459016393406E-2</v>
      </c>
    </row>
    <row r="64" spans="1:26" s="27" customFormat="1" outlineLevel="1" collapsed="1" x14ac:dyDescent="0.25">
      <c r="A64" s="26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38627.11</v>
      </c>
      <c r="E64" s="1"/>
      <c r="F64" s="5">
        <f t="shared" si="28"/>
        <v>7.8615835260494829E-2</v>
      </c>
      <c r="G64" s="1"/>
      <c r="H64" s="1">
        <f>SUM(OSRRefH22_10x_0)</f>
        <v>38417</v>
      </c>
      <c r="I64" s="1"/>
      <c r="J64" s="5">
        <f t="shared" si="29"/>
        <v>7.9999083749463781E-2</v>
      </c>
      <c r="K64" s="1"/>
      <c r="L64" s="1">
        <f t="shared" si="30"/>
        <v>210.11000000000058</v>
      </c>
      <c r="M64" s="1"/>
      <c r="N64" s="5">
        <f t="shared" si="31"/>
        <v>5.469193325871374E-3</v>
      </c>
      <c r="O64" s="13"/>
      <c r="P64" s="1">
        <f>SUM(OSRRefP22_10x_0)</f>
        <v>235631.57</v>
      </c>
      <c r="Q64" s="1"/>
      <c r="R64" s="5">
        <f t="shared" si="32"/>
        <v>7.8165157681373013E-2</v>
      </c>
      <c r="S64" s="1"/>
      <c r="T64" s="1">
        <f>SUM(OSRRefT22_10x_0)</f>
        <v>238350</v>
      </c>
      <c r="U64" s="1"/>
      <c r="V64" s="5">
        <f t="shared" si="33"/>
        <v>7.9999113917932685E-2</v>
      </c>
      <c r="W64" s="1"/>
      <c r="X64" s="1">
        <f t="shared" si="34"/>
        <v>-2718.429999999993</v>
      </c>
      <c r="Y64" s="1"/>
      <c r="Z64" s="5">
        <f t="shared" si="35"/>
        <v>-1.1405202433396237E-2</v>
      </c>
    </row>
    <row r="65" spans="1:26" s="24" customFormat="1" hidden="1" outlineLevel="2" x14ac:dyDescent="0.25">
      <c r="A65" s="25"/>
      <c r="B65" s="11" t="str">
        <f>CONCATENATE("          ", "6387", " - ", "COMMISSION DUE HOUSING")</f>
        <v xml:space="preserve">          6387 - COMMISSION DUE HOUSING</v>
      </c>
      <c r="C65" s="11"/>
      <c r="D65" s="6">
        <v>38627.11</v>
      </c>
      <c r="E65" s="2"/>
      <c r="F65" s="7">
        <f t="shared" si="28"/>
        <v>7.8615835260494829E-2</v>
      </c>
      <c r="G65" s="2"/>
      <c r="H65" s="6">
        <v>38417</v>
      </c>
      <c r="I65" s="2"/>
      <c r="J65" s="7">
        <f t="shared" si="29"/>
        <v>7.9999083749463781E-2</v>
      </c>
      <c r="K65" s="2"/>
      <c r="L65" s="6">
        <f t="shared" si="30"/>
        <v>210.11000000000058</v>
      </c>
      <c r="M65" s="2"/>
      <c r="N65" s="7">
        <f t="shared" si="31"/>
        <v>5.469193325871374E-3</v>
      </c>
      <c r="O65" s="11"/>
      <c r="P65" s="6">
        <v>235631.57</v>
      </c>
      <c r="Q65" s="2"/>
      <c r="R65" s="7">
        <f t="shared" si="32"/>
        <v>7.8165157681373013E-2</v>
      </c>
      <c r="S65" s="2"/>
      <c r="T65" s="6">
        <v>238350</v>
      </c>
      <c r="U65" s="2"/>
      <c r="V65" s="7">
        <f t="shared" si="33"/>
        <v>7.9999113917932685E-2</v>
      </c>
      <c r="W65" s="2"/>
      <c r="X65" s="6">
        <f t="shared" si="34"/>
        <v>-2718.429999999993</v>
      </c>
      <c r="Y65" s="2"/>
      <c r="Z65" s="7">
        <f t="shared" si="35"/>
        <v>-1.1405202433396237E-2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517.83000000000004</v>
      </c>
      <c r="E66" s="1"/>
      <c r="F66" s="5">
        <f t="shared" si="28"/>
        <v>1.0539136366386728E-3</v>
      </c>
      <c r="G66" s="1"/>
      <c r="H66" s="1">
        <f>SUM(OSRRefH22_11x_0)</f>
        <v>1290</v>
      </c>
      <c r="I66" s="1"/>
      <c r="J66" s="5">
        <f t="shared" si="29"/>
        <v>2.6862799811752159E-3</v>
      </c>
      <c r="K66" s="1"/>
      <c r="L66" s="1">
        <f t="shared" si="30"/>
        <v>-772.17</v>
      </c>
      <c r="M66" s="1"/>
      <c r="N66" s="5">
        <f t="shared" si="31"/>
        <v>-0.59858139534883714</v>
      </c>
      <c r="O66" s="13"/>
      <c r="P66" s="1">
        <f>SUM(OSRRefP22_11x_0)</f>
        <v>9316.14</v>
      </c>
      <c r="Q66" s="1"/>
      <c r="R66" s="5">
        <f t="shared" si="32"/>
        <v>3.0904074190132771E-3</v>
      </c>
      <c r="S66" s="1"/>
      <c r="T66" s="1">
        <f>SUM(OSRRefT22_11x_0)</f>
        <v>10320</v>
      </c>
      <c r="U66" s="1"/>
      <c r="V66" s="5">
        <f t="shared" si="33"/>
        <v>3.4637753540300623E-3</v>
      </c>
      <c r="W66" s="1"/>
      <c r="X66" s="1">
        <f t="shared" si="34"/>
        <v>-1003.8600000000006</v>
      </c>
      <c r="Y66" s="1"/>
      <c r="Z66" s="5">
        <f t="shared" si="35"/>
        <v>-9.7273255813953546E-2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1000</v>
      </c>
      <c r="I67" s="2"/>
      <c r="J67" s="7">
        <f t="shared" si="29"/>
        <v>2.0823875823063691E-3</v>
      </c>
      <c r="K67" s="2"/>
      <c r="L67" s="6">
        <f t="shared" si="30"/>
        <v>-1000</v>
      </c>
      <c r="M67" s="2"/>
      <c r="N67" s="7">
        <f t="shared" si="31"/>
        <v>-1</v>
      </c>
      <c r="O67" s="11"/>
      <c r="P67" s="6">
        <v>8238.75</v>
      </c>
      <c r="Q67" s="2"/>
      <c r="R67" s="7">
        <f t="shared" si="32"/>
        <v>2.7330089633040761E-3</v>
      </c>
      <c r="S67" s="2"/>
      <c r="T67" s="6">
        <v>8000</v>
      </c>
      <c r="U67" s="2"/>
      <c r="V67" s="7">
        <f t="shared" si="33"/>
        <v>2.6850971736667151E-3</v>
      </c>
      <c r="W67" s="2"/>
      <c r="X67" s="6">
        <f t="shared" si="34"/>
        <v>238.75</v>
      </c>
      <c r="Y67" s="2"/>
      <c r="Z67" s="7">
        <f t="shared" si="35"/>
        <v>2.9843749999999999E-2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17.829999999999998</v>
      </c>
      <c r="E68" s="2"/>
      <c r="F68" s="7">
        <f t="shared" si="28"/>
        <v>3.6288511946522083E-5</v>
      </c>
      <c r="G68" s="2"/>
      <c r="H68" s="6">
        <v>30</v>
      </c>
      <c r="I68" s="2"/>
      <c r="J68" s="7">
        <f t="shared" si="29"/>
        <v>6.2471627469191072E-5</v>
      </c>
      <c r="K68" s="2"/>
      <c r="L68" s="6">
        <f t="shared" si="30"/>
        <v>-12.170000000000002</v>
      </c>
      <c r="M68" s="2"/>
      <c r="N68" s="7">
        <f t="shared" si="31"/>
        <v>-0.40566666666666673</v>
      </c>
      <c r="O68" s="11"/>
      <c r="P68" s="6">
        <v>219.98</v>
      </c>
      <c r="Q68" s="2"/>
      <c r="R68" s="7">
        <f t="shared" si="32"/>
        <v>7.297312234836967E-5</v>
      </c>
      <c r="S68" s="2"/>
      <c r="T68" s="6">
        <v>240</v>
      </c>
      <c r="U68" s="2"/>
      <c r="V68" s="7">
        <f t="shared" si="33"/>
        <v>8.055291521000145E-5</v>
      </c>
      <c r="W68" s="2"/>
      <c r="X68" s="6">
        <f t="shared" si="34"/>
        <v>-20.02000000000001</v>
      </c>
      <c r="Y68" s="2"/>
      <c r="Z68" s="7">
        <f t="shared" si="35"/>
        <v>-8.3416666666666708E-2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500</v>
      </c>
      <c r="E69" s="2"/>
      <c r="F69" s="7">
        <f t="shared" si="28"/>
        <v>1.0176251246921506E-3</v>
      </c>
      <c r="G69" s="2"/>
      <c r="H69" s="6">
        <v>260</v>
      </c>
      <c r="I69" s="2"/>
      <c r="J69" s="7">
        <f t="shared" si="29"/>
        <v>5.4142077139965588E-4</v>
      </c>
      <c r="K69" s="2"/>
      <c r="L69" s="6">
        <f t="shared" si="30"/>
        <v>240</v>
      </c>
      <c r="M69" s="2"/>
      <c r="N69" s="7">
        <f t="shared" si="31"/>
        <v>0.92307692307692313</v>
      </c>
      <c r="O69" s="11"/>
      <c r="P69" s="6">
        <v>857.41</v>
      </c>
      <c r="Q69" s="2"/>
      <c r="R69" s="7">
        <f t="shared" si="32"/>
        <v>2.8442533336083117E-4</v>
      </c>
      <c r="S69" s="2"/>
      <c r="T69" s="6">
        <v>2080</v>
      </c>
      <c r="U69" s="2"/>
      <c r="V69" s="7">
        <f t="shared" si="33"/>
        <v>6.9812526515334586E-4</v>
      </c>
      <c r="W69" s="2"/>
      <c r="X69" s="6">
        <f t="shared" si="34"/>
        <v>-1222.5900000000001</v>
      </c>
      <c r="Y69" s="2"/>
      <c r="Z69" s="7">
        <f t="shared" si="35"/>
        <v>-0.58778365384615394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6416.4000000000005</v>
      </c>
      <c r="E70" s="1"/>
      <c r="F70" s="5">
        <f t="shared" ref="F70:F74" si="36">IF(D$12=0,0,D70/D$12)</f>
        <v>1.3058979700149432E-2</v>
      </c>
      <c r="G70" s="1"/>
      <c r="H70" s="1">
        <f>SUM(OSRRefH22_12x_0)</f>
        <v>6225</v>
      </c>
      <c r="I70" s="1"/>
      <c r="J70" s="5">
        <f t="shared" ref="J70:J74" si="37">IF(H$12=0,0,H70/H$12)</f>
        <v>1.2962862699857147E-2</v>
      </c>
      <c r="K70" s="1"/>
      <c r="L70" s="1">
        <f t="shared" ref="L70:L74" si="38">+D70-H70</f>
        <v>191.40000000000055</v>
      </c>
      <c r="M70" s="1"/>
      <c r="N70" s="5">
        <f t="shared" ref="N70:N74" si="39">IF(H70=0,0,L70/H70)</f>
        <v>3.0746987951807317E-2</v>
      </c>
      <c r="O70" s="13"/>
      <c r="P70" s="1">
        <f>SUM(OSRRefP22_12x_0)</f>
        <v>48948.2</v>
      </c>
      <c r="Q70" s="1"/>
      <c r="R70" s="5">
        <f t="shared" ref="R70:R74" si="40">IF(P$12=0,0,P70/P$12)</f>
        <v>1.623739879685639E-2</v>
      </c>
      <c r="S70" s="1"/>
      <c r="T70" s="1">
        <f>SUM(OSRRefT22_12x_0)</f>
        <v>55932</v>
      </c>
      <c r="U70" s="1"/>
      <c r="V70" s="5">
        <f t="shared" ref="V70:V74" si="41">IF(T$12=0,0,T70/T$12)</f>
        <v>1.8772856889690839E-2</v>
      </c>
      <c r="W70" s="1"/>
      <c r="X70" s="1">
        <f t="shared" ref="X70:X74" si="42">+P70-T70</f>
        <v>-6983.8000000000029</v>
      </c>
      <c r="Y70" s="1"/>
      <c r="Z70" s="5">
        <f t="shared" ref="Z70:Z74" si="43">IF(T70=0,0,X70/T70)</f>
        <v>-0.12486233283272551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842.68</v>
      </c>
      <c r="E71" s="2"/>
      <c r="F71" s="7">
        <f t="shared" si="36"/>
        <v>1.7150646801511627E-3</v>
      </c>
      <c r="G71" s="2"/>
      <c r="H71" s="6">
        <v>430</v>
      </c>
      <c r="I71" s="2"/>
      <c r="J71" s="7">
        <f t="shared" si="37"/>
        <v>8.9542666039173864E-4</v>
      </c>
      <c r="K71" s="2"/>
      <c r="L71" s="6">
        <f t="shared" si="38"/>
        <v>412.67999999999995</v>
      </c>
      <c r="M71" s="2"/>
      <c r="N71" s="7">
        <f t="shared" si="39"/>
        <v>0.959720930232558</v>
      </c>
      <c r="O71" s="11"/>
      <c r="P71" s="6">
        <v>3792.06</v>
      </c>
      <c r="Q71" s="2"/>
      <c r="R71" s="7">
        <f t="shared" si="40"/>
        <v>1.2579255311044582E-3</v>
      </c>
      <c r="S71" s="2"/>
      <c r="T71" s="6">
        <v>3440</v>
      </c>
      <c r="U71" s="2"/>
      <c r="V71" s="7">
        <f t="shared" si="41"/>
        <v>1.1545917846766875E-3</v>
      </c>
      <c r="W71" s="2"/>
      <c r="X71" s="6">
        <f t="shared" si="42"/>
        <v>352.05999999999995</v>
      </c>
      <c r="Y71" s="2"/>
      <c r="Z71" s="7">
        <f t="shared" si="43"/>
        <v>0.10234302325581393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/>
      <c r="Q72" s="2"/>
      <c r="R72" s="7">
        <f t="shared" si="40"/>
        <v>0</v>
      </c>
      <c r="S72" s="2"/>
      <c r="T72" s="6">
        <v>0</v>
      </c>
      <c r="U72" s="2"/>
      <c r="V72" s="7">
        <f t="shared" si="41"/>
        <v>0</v>
      </c>
      <c r="W72" s="2"/>
      <c r="X72" s="6">
        <f t="shared" si="42"/>
        <v>0</v>
      </c>
      <c r="Y72" s="2"/>
      <c r="Z72" s="7">
        <f t="shared" si="43"/>
        <v>0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6">
        <v>4194.1000000000004</v>
      </c>
      <c r="E73" s="2"/>
      <c r="F73" s="7">
        <f t="shared" si="36"/>
        <v>8.536043070942698E-3</v>
      </c>
      <c r="G73" s="2"/>
      <c r="H73" s="6">
        <v>4195</v>
      </c>
      <c r="I73" s="2"/>
      <c r="J73" s="7">
        <f t="shared" si="37"/>
        <v>8.7356159077752182E-3</v>
      </c>
      <c r="K73" s="2"/>
      <c r="L73" s="6">
        <f t="shared" si="38"/>
        <v>-0.8999999999996362</v>
      </c>
      <c r="M73" s="2"/>
      <c r="N73" s="7">
        <f t="shared" si="39"/>
        <v>-2.1454112038131972E-4</v>
      </c>
      <c r="O73" s="11"/>
      <c r="P73" s="6">
        <v>34542.720000000001</v>
      </c>
      <c r="Q73" s="2"/>
      <c r="R73" s="7">
        <f t="shared" si="40"/>
        <v>1.1458724124036168E-2</v>
      </c>
      <c r="S73" s="2"/>
      <c r="T73" s="6">
        <v>39692</v>
      </c>
      <c r="U73" s="2"/>
      <c r="V73" s="7">
        <f t="shared" si="41"/>
        <v>1.3322109627147407E-2</v>
      </c>
      <c r="W73" s="2"/>
      <c r="X73" s="6">
        <f t="shared" si="42"/>
        <v>-5149.2799999999988</v>
      </c>
      <c r="Y73" s="2"/>
      <c r="Z73" s="7">
        <f t="shared" si="43"/>
        <v>-0.12973092814672979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>
        <v>1379.62</v>
      </c>
      <c r="E74" s="2"/>
      <c r="F74" s="7">
        <f t="shared" si="36"/>
        <v>2.8078719490555694E-3</v>
      </c>
      <c r="G74" s="2"/>
      <c r="H74" s="6">
        <v>1600</v>
      </c>
      <c r="I74" s="2"/>
      <c r="J74" s="7">
        <f t="shared" si="37"/>
        <v>3.3318201316901901E-3</v>
      </c>
      <c r="K74" s="2"/>
      <c r="L74" s="6">
        <f t="shared" si="38"/>
        <v>-220.38000000000011</v>
      </c>
      <c r="M74" s="2"/>
      <c r="N74" s="7">
        <f t="shared" si="39"/>
        <v>-0.13773750000000007</v>
      </c>
      <c r="O74" s="11"/>
      <c r="P74" s="6">
        <v>10613.42</v>
      </c>
      <c r="Q74" s="2"/>
      <c r="R74" s="7">
        <f t="shared" si="40"/>
        <v>3.5207491417157638E-3</v>
      </c>
      <c r="S74" s="2"/>
      <c r="T74" s="6">
        <v>12800</v>
      </c>
      <c r="U74" s="2"/>
      <c r="V74" s="7">
        <f t="shared" si="41"/>
        <v>4.2961554778667439E-3</v>
      </c>
      <c r="W74" s="2"/>
      <c r="X74" s="6">
        <f t="shared" si="42"/>
        <v>-2186.58</v>
      </c>
      <c r="Y74" s="2"/>
      <c r="Z74" s="7">
        <f t="shared" si="43"/>
        <v>-0.1708265625</v>
      </c>
    </row>
    <row r="75" spans="1:26" s="27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8154.1</v>
      </c>
      <c r="E75" s="1"/>
      <c r="F75" s="5">
        <f t="shared" ref="F75:F83" si="44">IF(D$12=0,0,D75/D$12)</f>
        <v>1.6595634058504529E-2</v>
      </c>
      <c r="G75" s="1"/>
      <c r="H75" s="1">
        <f>SUM(OSRRefH22_13x_0)</f>
        <v>8880</v>
      </c>
      <c r="I75" s="1"/>
      <c r="J75" s="5">
        <f t="shared" ref="J75:J83" si="45">IF(H$12=0,0,H75/H$12)</f>
        <v>1.8491601730880557E-2</v>
      </c>
      <c r="K75" s="1"/>
      <c r="L75" s="1">
        <f t="shared" ref="L75:L83" si="46">+D75-H75</f>
        <v>-725.89999999999964</v>
      </c>
      <c r="M75" s="1"/>
      <c r="N75" s="5">
        <f t="shared" ref="N75:N83" si="47">IF(H75=0,0,L75/H75)</f>
        <v>-8.1745495495495452E-2</v>
      </c>
      <c r="O75" s="13"/>
      <c r="P75" s="1">
        <f>SUM(OSRRefP22_13x_0)</f>
        <v>71769.97</v>
      </c>
      <c r="Q75" s="1"/>
      <c r="R75" s="5">
        <f t="shared" ref="R75:R83" si="48">IF(P$12=0,0,P75/P$12)</f>
        <v>2.3807977096776168E-2</v>
      </c>
      <c r="S75" s="1"/>
      <c r="T75" s="1">
        <f>SUM(OSRRefT22_13x_0)</f>
        <v>77040</v>
      </c>
      <c r="U75" s="1"/>
      <c r="V75" s="5">
        <f t="shared" ref="V75:V83" si="49">IF(T$12=0,0,T75/T$12)</f>
        <v>2.5857485782410466E-2</v>
      </c>
      <c r="W75" s="1"/>
      <c r="X75" s="1">
        <f t="shared" ref="X75:X83" si="50">+P75-T75</f>
        <v>-5270.0299999999988</v>
      </c>
      <c r="Y75" s="1"/>
      <c r="Z75" s="5">
        <f t="shared" ref="Z75:Z83" si="51">IF(T75=0,0,X75/T75)</f>
        <v>-6.8406412253374849E-2</v>
      </c>
    </row>
    <row r="76" spans="1:26" s="24" customFormat="1" hidden="1" outlineLevel="2" x14ac:dyDescent="0.25">
      <c r="A76" s="25"/>
      <c r="B76" s="11" t="str">
        <f>CONCATENATE("          ", "6234", " - ", "EXPENDABLE SUPPLIES &amp; EQUIPMEN")</f>
        <v xml:space="preserve">          6234 - EXPENDABLE SUPPLIES &amp; EQUIPMEN</v>
      </c>
      <c r="C76" s="11"/>
      <c r="D76" s="6">
        <v>18.34</v>
      </c>
      <c r="E76" s="2"/>
      <c r="F76" s="7">
        <f t="shared" si="44"/>
        <v>3.7326489573708086E-5</v>
      </c>
      <c r="G76" s="2"/>
      <c r="H76" s="6"/>
      <c r="I76" s="2"/>
      <c r="J76" s="7">
        <f t="shared" si="45"/>
        <v>0</v>
      </c>
      <c r="K76" s="2"/>
      <c r="L76" s="6">
        <f t="shared" si="46"/>
        <v>18.34</v>
      </c>
      <c r="M76" s="2"/>
      <c r="N76" s="7">
        <f t="shared" si="47"/>
        <v>0</v>
      </c>
      <c r="O76" s="11"/>
      <c r="P76" s="6">
        <v>118.34</v>
      </c>
      <c r="Q76" s="2"/>
      <c r="R76" s="7">
        <f t="shared" si="48"/>
        <v>3.9256474673634273E-5</v>
      </c>
      <c r="S76" s="2"/>
      <c r="T76" s="6"/>
      <c r="U76" s="2"/>
      <c r="V76" s="7">
        <f t="shared" si="49"/>
        <v>0</v>
      </c>
      <c r="W76" s="2"/>
      <c r="X76" s="6">
        <f t="shared" si="50"/>
        <v>118.34</v>
      </c>
      <c r="Y76" s="2"/>
      <c r="Z76" s="7">
        <f t="shared" si="51"/>
        <v>0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6">
        <v>4261.6400000000003</v>
      </c>
      <c r="E77" s="2"/>
      <c r="F77" s="7">
        <f t="shared" si="44"/>
        <v>8.6735038727861133E-3</v>
      </c>
      <c r="G77" s="2"/>
      <c r="H77" s="6">
        <v>4000</v>
      </c>
      <c r="I77" s="2"/>
      <c r="J77" s="7">
        <f t="shared" si="45"/>
        <v>8.3295503292254765E-3</v>
      </c>
      <c r="K77" s="2"/>
      <c r="L77" s="6">
        <f t="shared" si="46"/>
        <v>261.64000000000033</v>
      </c>
      <c r="M77" s="2"/>
      <c r="N77" s="7">
        <f t="shared" si="47"/>
        <v>6.5410000000000079E-2</v>
      </c>
      <c r="O77" s="11"/>
      <c r="P77" s="6">
        <v>30884.41</v>
      </c>
      <c r="Q77" s="2"/>
      <c r="R77" s="7">
        <f t="shared" si="48"/>
        <v>1.0245166967848041E-2</v>
      </c>
      <c r="S77" s="2"/>
      <c r="T77" s="6">
        <v>32000</v>
      </c>
      <c r="U77" s="2"/>
      <c r="V77" s="7">
        <f t="shared" si="49"/>
        <v>1.0740388694666861E-2</v>
      </c>
      <c r="W77" s="2"/>
      <c r="X77" s="6">
        <f t="shared" si="50"/>
        <v>-1115.5900000000001</v>
      </c>
      <c r="Y77" s="2"/>
      <c r="Z77" s="7">
        <f t="shared" si="51"/>
        <v>-3.4862187500000003E-2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6">
        <v>483.7</v>
      </c>
      <c r="E78" s="2"/>
      <c r="F78" s="7">
        <f t="shared" si="44"/>
        <v>9.8445054562718644E-4</v>
      </c>
      <c r="G78" s="2"/>
      <c r="H78" s="6">
        <v>1000</v>
      </c>
      <c r="I78" s="2"/>
      <c r="J78" s="7">
        <f t="shared" si="45"/>
        <v>2.0823875823063691E-3</v>
      </c>
      <c r="K78" s="2"/>
      <c r="L78" s="6">
        <f t="shared" si="46"/>
        <v>-516.29999999999995</v>
      </c>
      <c r="M78" s="2"/>
      <c r="N78" s="7">
        <f t="shared" si="47"/>
        <v>-0.51629999999999998</v>
      </c>
      <c r="O78" s="11"/>
      <c r="P78" s="6">
        <v>16554.400000000001</v>
      </c>
      <c r="Q78" s="2"/>
      <c r="R78" s="7">
        <f t="shared" si="48"/>
        <v>5.4915276688964959E-3</v>
      </c>
      <c r="S78" s="2"/>
      <c r="T78" s="6">
        <v>14000</v>
      </c>
      <c r="U78" s="2"/>
      <c r="V78" s="7">
        <f t="shared" si="49"/>
        <v>4.6989200539167509E-3</v>
      </c>
      <c r="W78" s="2"/>
      <c r="X78" s="6">
        <f t="shared" si="50"/>
        <v>2554.4000000000015</v>
      </c>
      <c r="Y78" s="2"/>
      <c r="Z78" s="7">
        <f t="shared" si="51"/>
        <v>0.18245714285714296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>
        <v>262.63</v>
      </c>
      <c r="E79" s="2"/>
      <c r="F79" s="7">
        <f t="shared" si="44"/>
        <v>5.3451777299579897E-4</v>
      </c>
      <c r="G79" s="2"/>
      <c r="H79" s="6">
        <v>305</v>
      </c>
      <c r="I79" s="2"/>
      <c r="J79" s="7">
        <f t="shared" si="45"/>
        <v>6.3512821260344255E-4</v>
      </c>
      <c r="K79" s="2"/>
      <c r="L79" s="6">
        <f t="shared" si="46"/>
        <v>-42.370000000000005</v>
      </c>
      <c r="M79" s="2"/>
      <c r="N79" s="7">
        <f t="shared" si="47"/>
        <v>-0.13891803278688525</v>
      </c>
      <c r="O79" s="11"/>
      <c r="P79" s="6">
        <v>3084.48</v>
      </c>
      <c r="Q79" s="2"/>
      <c r="R79" s="7">
        <f t="shared" si="48"/>
        <v>1.0232027294349456E-3</v>
      </c>
      <c r="S79" s="2"/>
      <c r="T79" s="6">
        <v>2440</v>
      </c>
      <c r="U79" s="2"/>
      <c r="V79" s="7">
        <f t="shared" si="49"/>
        <v>8.1895463796834806E-4</v>
      </c>
      <c r="W79" s="2"/>
      <c r="X79" s="6">
        <f t="shared" si="50"/>
        <v>644.48</v>
      </c>
      <c r="Y79" s="2"/>
      <c r="Z79" s="7">
        <f t="shared" si="51"/>
        <v>0.2641311475409836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6">
        <v>3127.79</v>
      </c>
      <c r="E80" s="2"/>
      <c r="F80" s="7">
        <f t="shared" si="44"/>
        <v>6.3658353775217233E-3</v>
      </c>
      <c r="G80" s="2"/>
      <c r="H80" s="6">
        <v>3200</v>
      </c>
      <c r="I80" s="2"/>
      <c r="J80" s="7">
        <f t="shared" si="45"/>
        <v>6.6636402633803802E-3</v>
      </c>
      <c r="K80" s="2"/>
      <c r="L80" s="6">
        <f t="shared" si="46"/>
        <v>-72.210000000000036</v>
      </c>
      <c r="M80" s="2"/>
      <c r="N80" s="7">
        <f t="shared" si="47"/>
        <v>-2.2565625000000013E-2</v>
      </c>
      <c r="O80" s="11"/>
      <c r="P80" s="6">
        <v>17965.550000000003</v>
      </c>
      <c r="Q80" s="2"/>
      <c r="R80" s="7">
        <f t="shared" si="48"/>
        <v>5.9596430503034504E-3</v>
      </c>
      <c r="S80" s="2"/>
      <c r="T80" s="6">
        <v>25600</v>
      </c>
      <c r="U80" s="2"/>
      <c r="V80" s="7">
        <f t="shared" si="49"/>
        <v>8.5923109557334877E-3</v>
      </c>
      <c r="W80" s="2"/>
      <c r="X80" s="6">
        <f t="shared" si="50"/>
        <v>-7634.4499999999971</v>
      </c>
      <c r="Y80" s="2"/>
      <c r="Z80" s="7">
        <f t="shared" si="51"/>
        <v>-0.29822070312499988</v>
      </c>
    </row>
    <row r="81" spans="1:26" s="24" customFormat="1" hidden="1" outlineLevel="2" x14ac:dyDescent="0.25">
      <c r="A81" s="25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441</v>
      </c>
      <c r="Q81" s="2"/>
      <c r="R81" s="7">
        <f t="shared" si="48"/>
        <v>1.4629123991104204E-4</v>
      </c>
      <c r="S81" s="2"/>
      <c r="T81" s="6"/>
      <c r="U81" s="2"/>
      <c r="V81" s="7">
        <f t="shared" si="49"/>
        <v>0</v>
      </c>
      <c r="W81" s="2"/>
      <c r="X81" s="6">
        <f t="shared" si="50"/>
        <v>441</v>
      </c>
      <c r="Y81" s="2"/>
      <c r="Z81" s="7">
        <f t="shared" si="51"/>
        <v>0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153.87</v>
      </c>
      <c r="Q82" s="2"/>
      <c r="R82" s="7">
        <f t="shared" si="48"/>
        <v>5.1042705408417324E-5</v>
      </c>
      <c r="S82" s="2"/>
      <c r="T82" s="6"/>
      <c r="U82" s="2"/>
      <c r="V82" s="7">
        <f t="shared" si="49"/>
        <v>0</v>
      </c>
      <c r="W82" s="2"/>
      <c r="X82" s="6">
        <f t="shared" si="50"/>
        <v>153.87</v>
      </c>
      <c r="Y82" s="2"/>
      <c r="Z82" s="7">
        <f t="shared" si="51"/>
        <v>0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>
        <v>375</v>
      </c>
      <c r="I83" s="2"/>
      <c r="J83" s="7">
        <f t="shared" si="45"/>
        <v>7.8089534336488837E-4</v>
      </c>
      <c r="K83" s="2"/>
      <c r="L83" s="6">
        <f t="shared" si="46"/>
        <v>-375</v>
      </c>
      <c r="M83" s="2"/>
      <c r="N83" s="7">
        <f t="shared" si="47"/>
        <v>-1</v>
      </c>
      <c r="O83" s="11"/>
      <c r="P83" s="6">
        <v>2567.92</v>
      </c>
      <c r="Q83" s="2"/>
      <c r="R83" s="7">
        <f t="shared" si="48"/>
        <v>8.5184626030014306E-4</v>
      </c>
      <c r="S83" s="2"/>
      <c r="T83" s="6">
        <v>3000</v>
      </c>
      <c r="U83" s="2"/>
      <c r="V83" s="7">
        <f t="shared" si="49"/>
        <v>1.0069114401250181E-3</v>
      </c>
      <c r="W83" s="2"/>
      <c r="X83" s="6">
        <f t="shared" si="50"/>
        <v>-432.07999999999993</v>
      </c>
      <c r="Y83" s="2"/>
      <c r="Z83" s="7">
        <f t="shared" si="51"/>
        <v>-0.14402666666666664</v>
      </c>
    </row>
    <row r="84" spans="1:26" s="27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260.89999999999998</v>
      </c>
      <c r="E84" s="1"/>
      <c r="F84" s="5">
        <f t="shared" ref="F84:F89" si="52">IF(D$12=0,0,D84/D$12)</f>
        <v>5.3099679006436413E-4</v>
      </c>
      <c r="G84" s="1"/>
      <c r="H84" s="1">
        <f>SUM(OSRRefH22_14x_0)</f>
        <v>275</v>
      </c>
      <c r="I84" s="1"/>
      <c r="J84" s="5">
        <f t="shared" ref="J84:J89" si="53">IF(H$12=0,0,H84/H$12)</f>
        <v>5.7265658513425144E-4</v>
      </c>
      <c r="K84" s="1"/>
      <c r="L84" s="1">
        <f t="shared" ref="L84:L89" si="54">+D84-H84</f>
        <v>-14.100000000000023</v>
      </c>
      <c r="M84" s="1"/>
      <c r="N84" s="5">
        <f t="shared" ref="N84:N89" si="55">IF(H84=0,0,L84/H84)</f>
        <v>-5.1272727272727359E-2</v>
      </c>
      <c r="O84" s="13"/>
      <c r="P84" s="1">
        <f>SUM(OSRRefP22_14x_0)</f>
        <v>2489.1999999999998</v>
      </c>
      <c r="Q84" s="1"/>
      <c r="R84" s="5">
        <f t="shared" ref="R84:R89" si="56">IF(P$12=0,0,P84/P$12)</f>
        <v>8.2573277638677055E-4</v>
      </c>
      <c r="S84" s="1"/>
      <c r="T84" s="1">
        <f>SUM(OSRRefT22_14x_0)</f>
        <v>2200</v>
      </c>
      <c r="U84" s="1"/>
      <c r="V84" s="5">
        <f t="shared" ref="V84:V89" si="57">IF(T$12=0,0,T84/T$12)</f>
        <v>7.3840172275834663E-4</v>
      </c>
      <c r="W84" s="1"/>
      <c r="X84" s="1">
        <f t="shared" ref="X84:X89" si="58">+P84-T84</f>
        <v>289.19999999999982</v>
      </c>
      <c r="Y84" s="1"/>
      <c r="Z84" s="5">
        <f t="shared" ref="Z84:Z89" si="59">IF(T84=0,0,X84/T84)</f>
        <v>0.13145454545454538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6">
        <v>260.89999999999998</v>
      </c>
      <c r="E85" s="2"/>
      <c r="F85" s="7">
        <f t="shared" si="52"/>
        <v>5.3099679006436413E-4</v>
      </c>
      <c r="G85" s="2"/>
      <c r="H85" s="6">
        <v>275</v>
      </c>
      <c r="I85" s="2"/>
      <c r="J85" s="7">
        <f t="shared" si="53"/>
        <v>5.7265658513425144E-4</v>
      </c>
      <c r="K85" s="2"/>
      <c r="L85" s="6">
        <f t="shared" si="54"/>
        <v>-14.100000000000023</v>
      </c>
      <c r="M85" s="2"/>
      <c r="N85" s="7">
        <f t="shared" si="55"/>
        <v>-5.1272727272727359E-2</v>
      </c>
      <c r="O85" s="11"/>
      <c r="P85" s="6">
        <v>2489.1999999999998</v>
      </c>
      <c r="Q85" s="2"/>
      <c r="R85" s="7">
        <f t="shared" si="56"/>
        <v>8.2573277638677055E-4</v>
      </c>
      <c r="S85" s="2"/>
      <c r="T85" s="6">
        <v>2200</v>
      </c>
      <c r="U85" s="2"/>
      <c r="V85" s="7">
        <f t="shared" si="57"/>
        <v>7.3840172275834663E-4</v>
      </c>
      <c r="W85" s="2"/>
      <c r="X85" s="6">
        <f t="shared" si="58"/>
        <v>289.19999999999982</v>
      </c>
      <c r="Y85" s="2"/>
      <c r="Z85" s="7">
        <f t="shared" si="59"/>
        <v>0.13145454545454538</v>
      </c>
    </row>
    <row r="86" spans="1:26" s="27" customFormat="1" outlineLevel="1" collapsed="1" x14ac:dyDescent="0.25">
      <c r="A86" s="26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201.11</v>
      </c>
      <c r="E86" s="1"/>
      <c r="F86" s="5">
        <f t="shared" si="52"/>
        <v>4.0930917765367682E-4</v>
      </c>
      <c r="G86" s="1"/>
      <c r="H86" s="1">
        <f>SUM(OSRRefH22_15x_0)</f>
        <v>700</v>
      </c>
      <c r="I86" s="1"/>
      <c r="J86" s="5">
        <f t="shared" si="53"/>
        <v>1.4576713076144582E-3</v>
      </c>
      <c r="K86" s="1"/>
      <c r="L86" s="1">
        <f t="shared" si="54"/>
        <v>-498.89</v>
      </c>
      <c r="M86" s="1"/>
      <c r="N86" s="5">
        <f t="shared" si="55"/>
        <v>-0.7127</v>
      </c>
      <c r="O86" s="13"/>
      <c r="P86" s="1">
        <f>SUM(OSRRefP22_15x_0)</f>
        <v>1112.43</v>
      </c>
      <c r="Q86" s="1"/>
      <c r="R86" s="5">
        <f t="shared" si="56"/>
        <v>3.6902214062186056E-4</v>
      </c>
      <c r="S86" s="1"/>
      <c r="T86" s="1">
        <f>SUM(OSRRefT22_15x_0)</f>
        <v>5600</v>
      </c>
      <c r="U86" s="1"/>
      <c r="V86" s="5">
        <f t="shared" si="57"/>
        <v>1.8795680215667005E-3</v>
      </c>
      <c r="W86" s="1"/>
      <c r="X86" s="1">
        <f t="shared" si="58"/>
        <v>-4487.57</v>
      </c>
      <c r="Y86" s="1"/>
      <c r="Z86" s="5">
        <f t="shared" si="59"/>
        <v>-0.80135178571428567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6">
        <v>201.11</v>
      </c>
      <c r="E87" s="2"/>
      <c r="F87" s="7">
        <f t="shared" si="52"/>
        <v>4.0930917765367682E-4</v>
      </c>
      <c r="G87" s="2"/>
      <c r="H87" s="6">
        <v>700</v>
      </c>
      <c r="I87" s="2"/>
      <c r="J87" s="7">
        <f t="shared" si="53"/>
        <v>1.4576713076144582E-3</v>
      </c>
      <c r="K87" s="2"/>
      <c r="L87" s="6">
        <f t="shared" si="54"/>
        <v>-498.89</v>
      </c>
      <c r="M87" s="2"/>
      <c r="N87" s="7">
        <f t="shared" si="55"/>
        <v>-0.7127</v>
      </c>
      <c r="O87" s="11"/>
      <c r="P87" s="6">
        <v>1112.43</v>
      </c>
      <c r="Q87" s="2"/>
      <c r="R87" s="7">
        <f t="shared" si="56"/>
        <v>3.6902214062186056E-4</v>
      </c>
      <c r="S87" s="2"/>
      <c r="T87" s="6">
        <v>5600</v>
      </c>
      <c r="U87" s="2"/>
      <c r="V87" s="7">
        <f t="shared" si="57"/>
        <v>1.8795680215667005E-3</v>
      </c>
      <c r="W87" s="2"/>
      <c r="X87" s="6">
        <f t="shared" si="58"/>
        <v>-4487.57</v>
      </c>
      <c r="Y87" s="2"/>
      <c r="Z87" s="7">
        <f t="shared" si="59"/>
        <v>-0.80135178571428567</v>
      </c>
    </row>
    <row r="88" spans="1:26" s="27" customFormat="1" outlineLevel="1" collapsed="1" x14ac:dyDescent="0.25">
      <c r="A88" s="26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SUM(OSRRefD22_16x_0)</f>
        <v>0</v>
      </c>
      <c r="E88" s="1"/>
      <c r="F88" s="5">
        <f t="shared" si="52"/>
        <v>0</v>
      </c>
      <c r="G88" s="1"/>
      <c r="H88" s="1">
        <f>SUM(OSRRefH22_16x_0)</f>
        <v>0</v>
      </c>
      <c r="I88" s="1"/>
      <c r="J88" s="5">
        <f t="shared" si="53"/>
        <v>0</v>
      </c>
      <c r="K88" s="1"/>
      <c r="L88" s="1">
        <f t="shared" si="54"/>
        <v>0</v>
      </c>
      <c r="M88" s="1"/>
      <c r="N88" s="5">
        <f t="shared" si="55"/>
        <v>0</v>
      </c>
      <c r="O88" s="13"/>
      <c r="P88" s="1">
        <f>SUM(OSRRefP22_16x_0)</f>
        <v>59.14</v>
      </c>
      <c r="Q88" s="1"/>
      <c r="R88" s="5">
        <f t="shared" si="56"/>
        <v>1.9618285551789175E-5</v>
      </c>
      <c r="S88" s="1"/>
      <c r="T88" s="1">
        <f>SUM(OSRRefT22_16x_0)</f>
        <v>0</v>
      </c>
      <c r="U88" s="1"/>
      <c r="V88" s="5">
        <f t="shared" si="57"/>
        <v>0</v>
      </c>
      <c r="W88" s="1"/>
      <c r="X88" s="1">
        <f t="shared" si="58"/>
        <v>59.14</v>
      </c>
      <c r="Y88" s="1"/>
      <c r="Z88" s="5">
        <f t="shared" si="59"/>
        <v>0</v>
      </c>
    </row>
    <row r="89" spans="1:26" s="24" customFormat="1" hidden="1" outlineLevel="2" x14ac:dyDescent="0.25">
      <c r="A89" s="25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>
        <v>59.14</v>
      </c>
      <c r="Q89" s="2"/>
      <c r="R89" s="7">
        <f t="shared" si="56"/>
        <v>1.9618285551789175E-5</v>
      </c>
      <c r="S89" s="2"/>
      <c r="T89" s="6"/>
      <c r="U89" s="2"/>
      <c r="V89" s="7">
        <f t="shared" si="57"/>
        <v>0</v>
      </c>
      <c r="W89" s="2"/>
      <c r="X89" s="6">
        <f t="shared" si="58"/>
        <v>59.14</v>
      </c>
      <c r="Y89" s="2"/>
      <c r="Z89" s="7">
        <f t="shared" si="59"/>
        <v>0</v>
      </c>
    </row>
    <row r="90" spans="1:26" s="53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1">
        <f>+D23-D25+D91</f>
        <v>168022.99999999997</v>
      </c>
      <c r="E93" s="14"/>
      <c r="F93" s="22">
        <f>IF(D$12=0,0,D93/D$12)</f>
        <v>0.34196885265229837</v>
      </c>
      <c r="G93" s="14"/>
      <c r="H93" s="21">
        <f>+H23-H25+H91</f>
        <v>160501.09716481541</v>
      </c>
      <c r="I93" s="14"/>
      <c r="J93" s="22">
        <f>IF(H$12=0,0,H93/H$12)</f>
        <v>0.33422549168255955</v>
      </c>
      <c r="K93" s="15"/>
      <c r="L93" s="21">
        <f>+D93-H93</f>
        <v>7521.9028351845627</v>
      </c>
      <c r="M93" s="15"/>
      <c r="N93" s="22">
        <f>IF(H93=0,0,L93/H93)</f>
        <v>4.6865117859353128E-2</v>
      </c>
      <c r="O93" s="29"/>
      <c r="P93" s="21">
        <f>+P23-P25+P91</f>
        <v>842937.69000000064</v>
      </c>
      <c r="Q93" s="14"/>
      <c r="R93" s="22">
        <f>IF(P$12=0,0,P93/P$12)</f>
        <v>0.27962448942823054</v>
      </c>
      <c r="S93" s="14"/>
      <c r="T93" s="21">
        <f>+T23-T25+T91</f>
        <v>710873.47746549454</v>
      </c>
      <c r="U93" s="14"/>
      <c r="V93" s="22">
        <f>IF(T$12=0,0,T93/T$12)</f>
        <v>0.23859554564715357</v>
      </c>
      <c r="W93" s="15"/>
      <c r="X93" s="21">
        <f>+P93-T93</f>
        <v>132064.21253450611</v>
      </c>
      <c r="Y93" s="15"/>
      <c r="Z93" s="22">
        <f>IF(T93=0,0,X93/T93)</f>
        <v>0.18577738053381862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44107.23</v>
      </c>
      <c r="E95" s="4"/>
      <c r="F95" s="12">
        <f>IF(D$12=0,0,D95/D$12)</f>
        <v>8.9769250857150734E-2</v>
      </c>
      <c r="G95" s="4"/>
      <c r="H95" s="4">
        <v>50566</v>
      </c>
      <c r="I95" s="4"/>
      <c r="J95" s="12">
        <f>IF(H$12=0,0,H95/H$12)</f>
        <v>0.10529801048690385</v>
      </c>
      <c r="K95" s="4"/>
      <c r="L95" s="4">
        <f>+D95-H95</f>
        <v>-6458.7699999999968</v>
      </c>
      <c r="M95" s="4"/>
      <c r="N95" s="12">
        <f>IF(H95=0,0,L95/H95)</f>
        <v>-0.12772950203694175</v>
      </c>
      <c r="O95" s="10"/>
      <c r="P95" s="4">
        <v>307240.68</v>
      </c>
      <c r="Q95" s="4"/>
      <c r="R95" s="12">
        <f>IF(P$12=0,0,P95/P$12)</f>
        <v>0.10191977330682923</v>
      </c>
      <c r="S95" s="4"/>
      <c r="T95" s="4">
        <v>358277</v>
      </c>
      <c r="U95" s="4"/>
      <c r="V95" s="12">
        <f>IF(T$12=0,0,T95/T$12)</f>
        <v>0.1202510700112237</v>
      </c>
      <c r="W95" s="4"/>
      <c r="X95" s="4">
        <f>+P95-T95</f>
        <v>-51036.320000000007</v>
      </c>
      <c r="Y95" s="4"/>
      <c r="Z95" s="12">
        <f>IF(T95=0,0,X95/T95)</f>
        <v>-0.14244933389528217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123915.76999999996</v>
      </c>
      <c r="E97" s="14"/>
      <c r="F97" s="32">
        <f>IF(D$12=0,0,D97/D$12)</f>
        <v>0.25219960179514761</v>
      </c>
      <c r="G97" s="14"/>
      <c r="H97" s="31">
        <f>+H93-H95</f>
        <v>109935.09716481541</v>
      </c>
      <c r="I97" s="14"/>
      <c r="J97" s="32">
        <f>IF(H$12=0,0,H97/H$12)</f>
        <v>0.2289274811956557</v>
      </c>
      <c r="K97" s="15"/>
      <c r="L97" s="31">
        <f>D97-H97</f>
        <v>13980.672835184552</v>
      </c>
      <c r="M97" s="15"/>
      <c r="N97" s="32">
        <f>IF(H97=0,0,L97/H97)</f>
        <v>0.12717206056792435</v>
      </c>
      <c r="O97" s="29"/>
      <c r="P97" s="31">
        <f>+P93-P95</f>
        <v>535697.01000000071</v>
      </c>
      <c r="Q97" s="14"/>
      <c r="R97" s="32">
        <f>IF(P$12=0,0,P97/P$12)</f>
        <v>0.17770471612140135</v>
      </c>
      <c r="S97" s="14"/>
      <c r="T97" s="31">
        <f>+T93-T95</f>
        <v>352596.47746549454</v>
      </c>
      <c r="U97" s="14"/>
      <c r="V97" s="32">
        <f>IF(T$12=0,0,T97/T$12)</f>
        <v>0.11834447563592987</v>
      </c>
      <c r="W97" s="15"/>
      <c r="X97" s="31">
        <f>P97-T97</f>
        <v>183100.53253450617</v>
      </c>
      <c r="Y97" s="15"/>
      <c r="Z97" s="32">
        <f>IF(T97=0,0,X97/T97)</f>
        <v>0.51929200725615465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3">
        <f>SUM(D97:D99)</f>
        <v>123915.76999999996</v>
      </c>
      <c r="E100" s="14"/>
      <c r="F100" s="30">
        <f>IF(D$12=0,0,D100/D$12)</f>
        <v>0.25219960179514761</v>
      </c>
      <c r="G100" s="14"/>
      <c r="H100" s="33">
        <f>SUM(H97:H99)</f>
        <v>109935.09716481541</v>
      </c>
      <c r="I100" s="14"/>
      <c r="J100" s="30">
        <f>IF(H$12=0,0,H100/H$12)</f>
        <v>0.2289274811956557</v>
      </c>
      <c r="K100" s="15"/>
      <c r="L100" s="33">
        <f>+D100-H100</f>
        <v>13980.672835184552</v>
      </c>
      <c r="M100" s="15"/>
      <c r="N100" s="30">
        <f>IF(H100=0,0,L100/H100)</f>
        <v>0.12717206056792435</v>
      </c>
      <c r="O100" s="29"/>
      <c r="P100" s="33">
        <f>SUM(P97:P99)</f>
        <v>535697.01000000071</v>
      </c>
      <c r="Q100" s="14"/>
      <c r="R100" s="30">
        <f>IF(P$12=0,0,P100/P$12)</f>
        <v>0.17770471612140135</v>
      </c>
      <c r="S100" s="14"/>
      <c r="T100" s="33">
        <f>SUM(T97:T99)</f>
        <v>352596.47746549454</v>
      </c>
      <c r="U100" s="14"/>
      <c r="V100" s="30">
        <f>IF(T$12=0,0,T100/T$12)</f>
        <v>0.11834447563592987</v>
      </c>
      <c r="W100" s="15"/>
      <c r="X100" s="33">
        <f>+P100-T100</f>
        <v>183100.53253450617</v>
      </c>
      <c r="Y100" s="15"/>
      <c r="Z100" s="30">
        <f>IF(T100=0,0,X100/T100)</f>
        <v>0.51929200725615465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9">
        <v>43908.495388541669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63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7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314551.61000000004</v>
      </c>
      <c r="E12" s="4"/>
      <c r="F12" s="12"/>
      <c r="G12" s="4"/>
      <c r="H12" s="4">
        <f>SUM(OSRRefH13x_0)</f>
        <v>314468</v>
      </c>
      <c r="I12" s="4"/>
      <c r="J12" s="12"/>
      <c r="K12" s="4"/>
      <c r="L12" s="4">
        <f t="shared" ref="L12:L16" si="0">+D12-H12</f>
        <v>83.610000000044238</v>
      </c>
      <c r="M12" s="4"/>
      <c r="N12" s="12">
        <f t="shared" ref="N12:N16" si="1">IF(H12=0,0,L12/H12)</f>
        <v>2.6587760916864112E-4</v>
      </c>
      <c r="O12" s="10"/>
      <c r="P12" s="4">
        <f>SUM(OSRRefP13x_0)</f>
        <v>1759896.8800000001</v>
      </c>
      <c r="Q12" s="4"/>
      <c r="R12" s="12"/>
      <c r="S12" s="4"/>
      <c r="T12" s="4">
        <f>SUM(OSRRefT13x_0)</f>
        <v>1706112</v>
      </c>
      <c r="U12" s="4"/>
      <c r="V12" s="12"/>
      <c r="W12" s="4"/>
      <c r="X12" s="4">
        <f t="shared" ref="X12:X16" si="2">+P12-T12</f>
        <v>53784.880000000121</v>
      </c>
      <c r="Y12" s="4"/>
      <c r="Z12" s="12">
        <f t="shared" ref="Z12:Z16" si="3">IF(T12=0,0,X12/T12)</f>
        <v>3.1524823692700196E-2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--71.9</f>
        <v>71.900000000000006</v>
      </c>
      <c r="E13" s="2"/>
      <c r="F13" s="19"/>
      <c r="G13" s="2"/>
      <c r="H13" s="2"/>
      <c r="I13" s="2"/>
      <c r="J13" s="19"/>
      <c r="K13" s="2"/>
      <c r="L13" s="2">
        <f t="shared" si="0"/>
        <v>71.900000000000006</v>
      </c>
      <c r="M13" s="2"/>
      <c r="N13" s="19">
        <f t="shared" si="1"/>
        <v>0</v>
      </c>
      <c r="O13" s="11"/>
      <c r="P13" s="2">
        <f>--207.62</f>
        <v>207.62</v>
      </c>
      <c r="Q13" s="2"/>
      <c r="R13" s="19"/>
      <c r="S13" s="2"/>
      <c r="T13" s="2"/>
      <c r="U13" s="2"/>
      <c r="V13" s="19"/>
      <c r="W13" s="2"/>
      <c r="X13" s="2">
        <f t="shared" si="2"/>
        <v>207.62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314468</v>
      </c>
      <c r="I14" s="2"/>
      <c r="J14" s="19"/>
      <c r="K14" s="2"/>
      <c r="L14" s="2">
        <f t="shared" si="0"/>
        <v>-314468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1706112</v>
      </c>
      <c r="U14" s="2"/>
      <c r="V14" s="19"/>
      <c r="W14" s="2"/>
      <c r="X14" s="2">
        <f t="shared" si="2"/>
        <v>-1706112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--313068.51</f>
        <v>313068.51</v>
      </c>
      <c r="E15" s="2"/>
      <c r="F15" s="19"/>
      <c r="G15" s="2"/>
      <c r="H15" s="2"/>
      <c r="I15" s="2"/>
      <c r="J15" s="19"/>
      <c r="K15" s="2"/>
      <c r="L15" s="2">
        <f t="shared" si="0"/>
        <v>313068.51</v>
      </c>
      <c r="M15" s="2"/>
      <c r="N15" s="19">
        <f t="shared" si="1"/>
        <v>0</v>
      </c>
      <c r="O15" s="11"/>
      <c r="P15" s="2">
        <f>--1751487.56</f>
        <v>1751487.56</v>
      </c>
      <c r="Q15" s="2"/>
      <c r="R15" s="19"/>
      <c r="S15" s="2"/>
      <c r="T15" s="2"/>
      <c r="U15" s="2"/>
      <c r="V15" s="19"/>
      <c r="W15" s="2"/>
      <c r="X15" s="2">
        <f t="shared" si="2"/>
        <v>1751487.56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--1411.2</f>
        <v>1411.2</v>
      </c>
      <c r="E16" s="2"/>
      <c r="F16" s="19"/>
      <c r="G16" s="2"/>
      <c r="H16" s="2"/>
      <c r="I16" s="2"/>
      <c r="J16" s="19"/>
      <c r="K16" s="2"/>
      <c r="L16" s="2">
        <f t="shared" si="0"/>
        <v>1411.2</v>
      </c>
      <c r="M16" s="2"/>
      <c r="N16" s="19">
        <f t="shared" si="1"/>
        <v>0</v>
      </c>
      <c r="O16" s="11"/>
      <c r="P16" s="2">
        <f>--8201.7</f>
        <v>8201.7000000000007</v>
      </c>
      <c r="Q16" s="2"/>
      <c r="R16" s="19"/>
      <c r="S16" s="2"/>
      <c r="T16" s="2"/>
      <c r="U16" s="2"/>
      <c r="V16" s="19"/>
      <c r="W16" s="2"/>
      <c r="X16" s="2">
        <f t="shared" si="2"/>
        <v>8201.7000000000007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69903.900000000009</v>
      </c>
      <c r="E18" s="4"/>
      <c r="F18" s="12">
        <f t="shared" ref="F18:F21" si="4">IF(D$12=0,0,D18/D$12)</f>
        <v>0.22223348340197654</v>
      </c>
      <c r="G18" s="4"/>
      <c r="H18" s="4">
        <f>SUM(OSRRefH16x_0)</f>
        <v>70389</v>
      </c>
      <c r="I18" s="4"/>
      <c r="J18" s="12">
        <f t="shared" ref="J18:J21" si="5">IF(H$12=0,0,H18/H$12)</f>
        <v>0.22383517559815308</v>
      </c>
      <c r="K18" s="4"/>
      <c r="L18" s="4">
        <f t="shared" ref="L18:L21" si="6">+D18-H18</f>
        <v>-485.09999999999127</v>
      </c>
      <c r="M18" s="4"/>
      <c r="N18" s="12">
        <f t="shared" ref="N18:N21" si="7">IF(H18=0,0,L18/H18)</f>
        <v>-6.891701828410565E-3</v>
      </c>
      <c r="O18" s="10"/>
      <c r="P18" s="4">
        <f>SUM(OSRRefP16x_0)</f>
        <v>399967.99000000005</v>
      </c>
      <c r="Q18" s="4"/>
      <c r="R18" s="12">
        <f t="shared" ref="R18:R21" si="8">IF(P$12=0,0,P18/P$12)</f>
        <v>0.2272678556029942</v>
      </c>
      <c r="S18" s="4"/>
      <c r="T18" s="4">
        <f>SUM(OSRRefT16x_0)</f>
        <v>413594</v>
      </c>
      <c r="U18" s="4"/>
      <c r="V18" s="12">
        <f t="shared" ref="V18:V21" si="9">IF(T$12=0,0,T18/T$12)</f>
        <v>0.24241902055668091</v>
      </c>
      <c r="W18" s="4"/>
      <c r="X18" s="4">
        <f t="shared" ref="X18:X21" si="10">+P18-T18</f>
        <v>-13626.009999999951</v>
      </c>
      <c r="Y18" s="4"/>
      <c r="Z18" s="12">
        <f t="shared" ref="Z18:Z21" si="11">IF(T18=0,0,X18/T18)</f>
        <v>-3.2945376383603127E-2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70389</v>
      </c>
      <c r="I19" s="2"/>
      <c r="J19" s="19">
        <f t="shared" si="5"/>
        <v>0.22383517559815308</v>
      </c>
      <c r="K19" s="2"/>
      <c r="L19" s="2">
        <f t="shared" si="6"/>
        <v>-70389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413594</v>
      </c>
      <c r="U19" s="2"/>
      <c r="V19" s="19">
        <f t="shared" si="9"/>
        <v>0.24241902055668091</v>
      </c>
      <c r="W19" s="2"/>
      <c r="X19" s="2">
        <f t="shared" si="10"/>
        <v>-413594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69149.900000000009</v>
      </c>
      <c r="E20" s="2"/>
      <c r="F20" s="19">
        <f t="shared" si="4"/>
        <v>0.21983642048438409</v>
      </c>
      <c r="G20" s="2"/>
      <c r="H20" s="2"/>
      <c r="I20" s="2"/>
      <c r="J20" s="19">
        <f t="shared" si="5"/>
        <v>0</v>
      </c>
      <c r="K20" s="2"/>
      <c r="L20" s="2">
        <f t="shared" si="6"/>
        <v>69149.900000000009</v>
      </c>
      <c r="M20" s="2"/>
      <c r="N20" s="19">
        <f t="shared" si="7"/>
        <v>0</v>
      </c>
      <c r="O20" s="11"/>
      <c r="P20" s="2">
        <v>402110.99000000005</v>
      </c>
      <c r="Q20" s="2"/>
      <c r="R20" s="19">
        <f t="shared" si="8"/>
        <v>0.22848554058462789</v>
      </c>
      <c r="S20" s="2"/>
      <c r="T20" s="2"/>
      <c r="U20" s="2"/>
      <c r="V20" s="19">
        <f t="shared" si="9"/>
        <v>0</v>
      </c>
      <c r="W20" s="2"/>
      <c r="X20" s="2">
        <f t="shared" si="10"/>
        <v>402110.99000000005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754</v>
      </c>
      <c r="E21" s="2"/>
      <c r="F21" s="19">
        <f t="shared" si="4"/>
        <v>2.3970629175924419E-3</v>
      </c>
      <c r="G21" s="2"/>
      <c r="H21" s="2"/>
      <c r="I21" s="2"/>
      <c r="J21" s="19">
        <f t="shared" si="5"/>
        <v>0</v>
      </c>
      <c r="K21" s="2"/>
      <c r="L21" s="2">
        <f t="shared" si="6"/>
        <v>754</v>
      </c>
      <c r="M21" s="2"/>
      <c r="N21" s="19">
        <f t="shared" si="7"/>
        <v>0</v>
      </c>
      <c r="O21" s="11"/>
      <c r="P21" s="2">
        <v>-2143</v>
      </c>
      <c r="Q21" s="2"/>
      <c r="R21" s="19">
        <f t="shared" si="8"/>
        <v>-1.2176849816336965E-3</v>
      </c>
      <c r="S21" s="2"/>
      <c r="T21" s="2"/>
      <c r="U21" s="2"/>
      <c r="V21" s="19">
        <f t="shared" si="9"/>
        <v>0</v>
      </c>
      <c r="W21" s="2"/>
      <c r="X21" s="2">
        <f t="shared" si="10"/>
        <v>-2143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D12-D18</f>
        <v>244647.71000000002</v>
      </c>
      <c r="E23" s="14"/>
      <c r="F23" s="22">
        <f>IF(D$12=0,0,D23/D$12)</f>
        <v>0.77776651659802343</v>
      </c>
      <c r="G23" s="14"/>
      <c r="H23" s="21">
        <f>H12-H18</f>
        <v>244079</v>
      </c>
      <c r="I23" s="14"/>
      <c r="J23" s="22">
        <f>IF(H$12=0,0,H23/H$12)</f>
        <v>0.77616482440184698</v>
      </c>
      <c r="K23" s="15"/>
      <c r="L23" s="21">
        <f>+D23-H23</f>
        <v>568.71000000002095</v>
      </c>
      <c r="M23" s="15"/>
      <c r="N23" s="22">
        <f>IF(H23=0,0,L23/H23)</f>
        <v>2.3300242954126366E-3</v>
      </c>
      <c r="O23" s="29"/>
      <c r="P23" s="21">
        <f>P12-P18</f>
        <v>1359928.8900000001</v>
      </c>
      <c r="Q23" s="14"/>
      <c r="R23" s="22">
        <f>IF(P$12=0,0,P23/P$12)</f>
        <v>0.77273214439700588</v>
      </c>
      <c r="S23" s="14"/>
      <c r="T23" s="21">
        <f>T12-T18</f>
        <v>1292518</v>
      </c>
      <c r="U23" s="14"/>
      <c r="V23" s="22">
        <f>IF(T$12=0,0,T23/T$12)</f>
        <v>0.75758097944331904</v>
      </c>
      <c r="W23" s="15"/>
      <c r="X23" s="21">
        <f>+P23-T23</f>
        <v>67410.89000000013</v>
      </c>
      <c r="Y23" s="15"/>
      <c r="Z23" s="22">
        <f>IF(T23=0,0,X23/T23)</f>
        <v>5.2154701133756073E-2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144050.29</v>
      </c>
      <c r="E25" s="20"/>
      <c r="F25" s="34">
        <f t="shared" ref="F25:F36" si="12">IF(D$12=0,0,D25/D$12)</f>
        <v>0.45795438783479758</v>
      </c>
      <c r="G25" s="20"/>
      <c r="H25" s="20">
        <f>SUM(OSRRefH22x_0)</f>
        <v>122669.87901333229</v>
      </c>
      <c r="I25" s="20"/>
      <c r="J25" s="34">
        <f t="shared" ref="J25:J36" si="13">IF(H$12=0,0,H25/H$12)</f>
        <v>0.39008700094550891</v>
      </c>
      <c r="K25" s="4"/>
      <c r="L25" s="20">
        <f t="shared" ref="L25:L36" si="14">+D25-H25</f>
        <v>21380.410986667717</v>
      </c>
      <c r="M25" s="4"/>
      <c r="N25" s="34">
        <f t="shared" ref="N25:N36" si="15">IF(H25=0,0,L25/H25)</f>
        <v>0.17429226439804349</v>
      </c>
      <c r="O25" s="10"/>
      <c r="P25" s="20">
        <f>SUM(OSRRefP22x_0)</f>
        <v>998019.1599999998</v>
      </c>
      <c r="Q25" s="20"/>
      <c r="R25" s="34">
        <f t="shared" ref="R25:R36" si="16">IF(P$12=0,0,P25/P$12)</f>
        <v>0.56708956720236914</v>
      </c>
      <c r="S25" s="20"/>
      <c r="T25" s="20">
        <f>SUM(OSRRefT22x_0)</f>
        <v>798962.9677668683</v>
      </c>
      <c r="U25" s="20"/>
      <c r="V25" s="34">
        <f t="shared" ref="V25:V36" si="17">IF(T$12=0,0,T25/T$12)</f>
        <v>0.46829455965778816</v>
      </c>
      <c r="W25" s="4"/>
      <c r="X25" s="20">
        <f t="shared" ref="X25:X36" si="18">+P25-T25</f>
        <v>199056.1922331315</v>
      </c>
      <c r="Y25" s="4"/>
      <c r="Z25" s="34">
        <f t="shared" ref="Z25:Z36" si="19">IF(T25=0,0,X25/T25)</f>
        <v>0.24914320220560546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29262.06</v>
      </c>
      <c r="E26" s="1"/>
      <c r="F26" s="5">
        <f t="shared" si="12"/>
        <v>9.3027850024356887E-2</v>
      </c>
      <c r="G26" s="1"/>
      <c r="H26" s="1">
        <f>SUM(OSRRefH22_0x_0)</f>
        <v>20508.329842255374</v>
      </c>
      <c r="I26" s="1"/>
      <c r="J26" s="5">
        <f t="shared" si="13"/>
        <v>6.5215951518931572E-2</v>
      </c>
      <c r="K26" s="1"/>
      <c r="L26" s="1">
        <f t="shared" si="14"/>
        <v>8753.7301577446269</v>
      </c>
      <c r="M26" s="1"/>
      <c r="N26" s="5">
        <f t="shared" si="15"/>
        <v>0.42683778859985155</v>
      </c>
      <c r="O26" s="13"/>
      <c r="P26" s="1">
        <f>SUM(OSRRefP22_0x_0)</f>
        <v>218092.58000000002</v>
      </c>
      <c r="Q26" s="1"/>
      <c r="R26" s="5">
        <f t="shared" si="16"/>
        <v>0.12392349942685278</v>
      </c>
      <c r="S26" s="1"/>
      <c r="T26" s="1">
        <f>SUM(OSRRefT22_0x_0)</f>
        <v>150194.44704794532</v>
      </c>
      <c r="U26" s="1"/>
      <c r="V26" s="5">
        <f t="shared" si="17"/>
        <v>8.8033169597274571E-2</v>
      </c>
      <c r="W26" s="1"/>
      <c r="X26" s="1">
        <f t="shared" si="18"/>
        <v>67898.132952054701</v>
      </c>
      <c r="Y26" s="1"/>
      <c r="Z26" s="5">
        <f t="shared" si="19"/>
        <v>0.4520681975038674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3668.34</v>
      </c>
      <c r="E27" s="2"/>
      <c r="F27" s="7">
        <f t="shared" si="12"/>
        <v>1.1662124380797159E-2</v>
      </c>
      <c r="G27" s="2"/>
      <c r="H27" s="6">
        <v>4459.1887453569207</v>
      </c>
      <c r="I27" s="2"/>
      <c r="J27" s="7">
        <f t="shared" si="13"/>
        <v>1.4180103366183271E-2</v>
      </c>
      <c r="K27" s="2"/>
      <c r="L27" s="6">
        <f t="shared" si="14"/>
        <v>-790.84874535692052</v>
      </c>
      <c r="M27" s="2"/>
      <c r="N27" s="7">
        <f t="shared" si="15"/>
        <v>-0.17735260616191292</v>
      </c>
      <c r="O27" s="11"/>
      <c r="P27" s="6">
        <v>29563.25</v>
      </c>
      <c r="Q27" s="2"/>
      <c r="R27" s="7">
        <f t="shared" si="16"/>
        <v>1.6798285363174233E-2</v>
      </c>
      <c r="S27" s="2"/>
      <c r="T27" s="6">
        <v>28566.231411413049</v>
      </c>
      <c r="U27" s="2"/>
      <c r="V27" s="7">
        <f t="shared" si="17"/>
        <v>1.6743467844674353E-2</v>
      </c>
      <c r="W27" s="2"/>
      <c r="X27" s="6">
        <f t="shared" si="18"/>
        <v>997.0185885869505</v>
      </c>
      <c r="Y27" s="2"/>
      <c r="Z27" s="7">
        <f t="shared" si="19"/>
        <v>3.4901999295175221E-2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3089.28</v>
      </c>
      <c r="E28" s="2"/>
      <c r="F28" s="7">
        <f t="shared" si="12"/>
        <v>9.8212182096286196E-3</v>
      </c>
      <c r="G28" s="2"/>
      <c r="H28" s="6">
        <v>2482.4428365046201</v>
      </c>
      <c r="I28" s="2"/>
      <c r="J28" s="7">
        <f t="shared" si="13"/>
        <v>7.8941031726745495E-3</v>
      </c>
      <c r="K28" s="2"/>
      <c r="L28" s="6">
        <f t="shared" si="14"/>
        <v>606.83716349538008</v>
      </c>
      <c r="M28" s="2"/>
      <c r="N28" s="7">
        <f t="shared" si="15"/>
        <v>0.24445161619505057</v>
      </c>
      <c r="O28" s="11"/>
      <c r="P28" s="6">
        <v>17628.14</v>
      </c>
      <c r="Q28" s="2"/>
      <c r="R28" s="7">
        <f t="shared" si="16"/>
        <v>1.0016575516629132E-2</v>
      </c>
      <c r="S28" s="2"/>
      <c r="T28" s="6">
        <v>15980.564439895408</v>
      </c>
      <c r="U28" s="2"/>
      <c r="V28" s="7">
        <f t="shared" si="17"/>
        <v>9.3666561397466336E-3</v>
      </c>
      <c r="W28" s="2"/>
      <c r="X28" s="6">
        <f t="shared" si="18"/>
        <v>1647.5755601045912</v>
      </c>
      <c r="Y28" s="2"/>
      <c r="Z28" s="7">
        <f t="shared" si="19"/>
        <v>0.10309870882854588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15945.350000000002</v>
      </c>
      <c r="E29" s="2"/>
      <c r="F29" s="7">
        <f t="shared" si="12"/>
        <v>5.0692317232138788E-2</v>
      </c>
      <c r="G29" s="2"/>
      <c r="H29" s="6">
        <v>10500.692307692299</v>
      </c>
      <c r="I29" s="2"/>
      <c r="J29" s="7">
        <f t="shared" si="13"/>
        <v>3.3391926388988066E-2</v>
      </c>
      <c r="K29" s="2"/>
      <c r="L29" s="6">
        <f t="shared" si="14"/>
        <v>5444.6576923077027</v>
      </c>
      <c r="M29" s="2"/>
      <c r="N29" s="7">
        <f t="shared" si="15"/>
        <v>0.51850464071966096</v>
      </c>
      <c r="O29" s="11"/>
      <c r="P29" s="6">
        <v>113869.79</v>
      </c>
      <c r="Q29" s="2"/>
      <c r="R29" s="7">
        <f t="shared" si="16"/>
        <v>6.4702535298545444E-2</v>
      </c>
      <c r="S29" s="2"/>
      <c r="T29" s="6">
        <v>84005.538461538395</v>
      </c>
      <c r="U29" s="2"/>
      <c r="V29" s="7">
        <f t="shared" si="17"/>
        <v>4.9237997541508642E-2</v>
      </c>
      <c r="W29" s="2"/>
      <c r="X29" s="6">
        <f t="shared" si="18"/>
        <v>29864.251538461598</v>
      </c>
      <c r="Y29" s="2"/>
      <c r="Z29" s="7">
        <f t="shared" si="19"/>
        <v>0.35550336424704698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212.86</v>
      </c>
      <c r="E30" s="2"/>
      <c r="F30" s="7">
        <f t="shared" si="12"/>
        <v>6.7670930058186631E-4</v>
      </c>
      <c r="G30" s="2"/>
      <c r="H30" s="6">
        <v>166.34926224</v>
      </c>
      <c r="I30" s="2"/>
      <c r="J30" s="7">
        <f t="shared" si="13"/>
        <v>5.2898629507612863E-4</v>
      </c>
      <c r="K30" s="2"/>
      <c r="L30" s="6">
        <f t="shared" si="14"/>
        <v>46.510737760000012</v>
      </c>
      <c r="M30" s="2"/>
      <c r="N30" s="7">
        <f t="shared" si="15"/>
        <v>0.27959689831925288</v>
      </c>
      <c r="O30" s="11"/>
      <c r="P30" s="6">
        <v>1434.64</v>
      </c>
      <c r="Q30" s="2"/>
      <c r="R30" s="7">
        <f t="shared" si="16"/>
        <v>8.151841260153834E-4</v>
      </c>
      <c r="S30" s="2"/>
      <c r="T30" s="6">
        <v>1070.8625655600001</v>
      </c>
      <c r="U30" s="2"/>
      <c r="V30" s="7">
        <f t="shared" si="17"/>
        <v>6.2766252482838179E-4</v>
      </c>
      <c r="W30" s="2"/>
      <c r="X30" s="6">
        <f t="shared" si="18"/>
        <v>363.77743443999998</v>
      </c>
      <c r="Y30" s="2"/>
      <c r="Z30" s="7">
        <f t="shared" si="19"/>
        <v>0.3397050621988687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959.64</v>
      </c>
      <c r="E31" s="2"/>
      <c r="F31" s="7">
        <f t="shared" si="12"/>
        <v>3.0508189101305185E-3</v>
      </c>
      <c r="G31" s="2"/>
      <c r="H31" s="6">
        <v>403.720384615385</v>
      </c>
      <c r="I31" s="2"/>
      <c r="J31" s="7">
        <f t="shared" si="13"/>
        <v>1.2838202443981104E-3</v>
      </c>
      <c r="K31" s="2"/>
      <c r="L31" s="6">
        <f t="shared" si="14"/>
        <v>555.91961538461499</v>
      </c>
      <c r="M31" s="2"/>
      <c r="N31" s="7">
        <f t="shared" si="15"/>
        <v>1.3769916916982694</v>
      </c>
      <c r="O31" s="11"/>
      <c r="P31" s="6">
        <v>9282.9699999999993</v>
      </c>
      <c r="Q31" s="2"/>
      <c r="R31" s="7">
        <f t="shared" si="16"/>
        <v>5.2747238235912996E-3</v>
      </c>
      <c r="S31" s="2"/>
      <c r="T31" s="6">
        <v>3532.5533653846178</v>
      </c>
      <c r="U31" s="2"/>
      <c r="V31" s="7">
        <f t="shared" si="17"/>
        <v>2.0705284092630599E-3</v>
      </c>
      <c r="W31" s="2"/>
      <c r="X31" s="6">
        <f t="shared" si="18"/>
        <v>5750.4166346153816</v>
      </c>
      <c r="Y31" s="2"/>
      <c r="Z31" s="7">
        <f t="shared" si="19"/>
        <v>1.6278357436758175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273.35000000000002</v>
      </c>
      <c r="E33" s="2"/>
      <c r="F33" s="7">
        <f t="shared" si="12"/>
        <v>8.6901478584070825E-4</v>
      </c>
      <c r="G33" s="2"/>
      <c r="H33" s="6"/>
      <c r="I33" s="2"/>
      <c r="J33" s="7">
        <f t="shared" si="13"/>
        <v>0</v>
      </c>
      <c r="K33" s="2"/>
      <c r="L33" s="6">
        <f t="shared" si="14"/>
        <v>273.35000000000002</v>
      </c>
      <c r="M33" s="2"/>
      <c r="N33" s="7">
        <f t="shared" si="15"/>
        <v>0</v>
      </c>
      <c r="O33" s="11"/>
      <c r="P33" s="6">
        <v>3983.83</v>
      </c>
      <c r="Q33" s="2"/>
      <c r="R33" s="7">
        <f t="shared" si="16"/>
        <v>2.263672403351269E-3</v>
      </c>
      <c r="S33" s="2"/>
      <c r="T33" s="6"/>
      <c r="U33" s="2"/>
      <c r="V33" s="7">
        <f t="shared" si="17"/>
        <v>0</v>
      </c>
      <c r="W33" s="2"/>
      <c r="X33" s="6">
        <f t="shared" si="18"/>
        <v>3983.83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2045.43</v>
      </c>
      <c r="E34" s="2"/>
      <c r="F34" s="7">
        <f t="shared" si="12"/>
        <v>6.5026848853197722E-3</v>
      </c>
      <c r="G34" s="2"/>
      <c r="H34" s="6">
        <v>623.46597230769203</v>
      </c>
      <c r="I34" s="2"/>
      <c r="J34" s="7">
        <f t="shared" si="13"/>
        <v>1.9826054552695093E-3</v>
      </c>
      <c r="K34" s="2"/>
      <c r="L34" s="6">
        <f t="shared" si="14"/>
        <v>1421.964027692308</v>
      </c>
      <c r="M34" s="2"/>
      <c r="N34" s="7">
        <f t="shared" si="15"/>
        <v>2.2807403945865108</v>
      </c>
      <c r="O34" s="11"/>
      <c r="P34" s="6">
        <v>18406.390000000003</v>
      </c>
      <c r="Q34" s="2"/>
      <c r="R34" s="7">
        <f t="shared" si="16"/>
        <v>1.045878892631482E-2</v>
      </c>
      <c r="S34" s="2"/>
      <c r="T34" s="6">
        <v>5093.352297692305</v>
      </c>
      <c r="U34" s="2"/>
      <c r="V34" s="7">
        <f t="shared" si="17"/>
        <v>2.9853563527437268E-3</v>
      </c>
      <c r="W34" s="2"/>
      <c r="X34" s="6">
        <f t="shared" si="18"/>
        <v>13313.037702307698</v>
      </c>
      <c r="Y34" s="2"/>
      <c r="Z34" s="7">
        <f t="shared" si="19"/>
        <v>2.613806570642986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1519.56</v>
      </c>
      <c r="E35" s="2"/>
      <c r="F35" s="7">
        <f t="shared" si="12"/>
        <v>4.8308765610832506E-3</v>
      </c>
      <c r="G35" s="2"/>
      <c r="H35" s="6">
        <v>1872.47033353846</v>
      </c>
      <c r="I35" s="2"/>
      <c r="J35" s="7">
        <f t="shared" si="13"/>
        <v>5.9544065963419487E-3</v>
      </c>
      <c r="K35" s="2"/>
      <c r="L35" s="6">
        <f t="shared" si="14"/>
        <v>-352.91033353846001</v>
      </c>
      <c r="M35" s="2"/>
      <c r="N35" s="7">
        <f t="shared" si="15"/>
        <v>-0.18847312409567279</v>
      </c>
      <c r="O35" s="11"/>
      <c r="P35" s="6">
        <v>14173.81</v>
      </c>
      <c r="Q35" s="2"/>
      <c r="R35" s="7">
        <f t="shared" si="16"/>
        <v>8.0537730142461513E-3</v>
      </c>
      <c r="S35" s="2"/>
      <c r="T35" s="6">
        <v>11945.344506461539</v>
      </c>
      <c r="U35" s="2"/>
      <c r="V35" s="7">
        <f t="shared" si="17"/>
        <v>7.0015007845097739E-3</v>
      </c>
      <c r="W35" s="2"/>
      <c r="X35" s="6">
        <f t="shared" si="18"/>
        <v>2228.4654935384606</v>
      </c>
      <c r="Y35" s="2"/>
      <c r="Z35" s="7">
        <f t="shared" si="19"/>
        <v>0.18655514642821958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1548.25</v>
      </c>
      <c r="E36" s="2"/>
      <c r="F36" s="7">
        <f t="shared" si="12"/>
        <v>4.9220857588362045E-3</v>
      </c>
      <c r="G36" s="2"/>
      <c r="H36" s="6"/>
      <c r="I36" s="2"/>
      <c r="J36" s="7">
        <f t="shared" si="13"/>
        <v>0</v>
      </c>
      <c r="K36" s="2"/>
      <c r="L36" s="6">
        <f t="shared" si="14"/>
        <v>1548.25</v>
      </c>
      <c r="M36" s="2"/>
      <c r="N36" s="7">
        <f t="shared" si="15"/>
        <v>0</v>
      </c>
      <c r="O36" s="11"/>
      <c r="P36" s="6">
        <v>9749.76</v>
      </c>
      <c r="Q36" s="2"/>
      <c r="R36" s="7">
        <f t="shared" si="16"/>
        <v>5.5399609549850442E-3</v>
      </c>
      <c r="S36" s="2"/>
      <c r="T36" s="6"/>
      <c r="U36" s="2"/>
      <c r="V36" s="7">
        <f t="shared" si="17"/>
        <v>0</v>
      </c>
      <c r="W36" s="2"/>
      <c r="X36" s="6">
        <f t="shared" si="18"/>
        <v>9749.76</v>
      </c>
      <c r="Y36" s="2"/>
      <c r="Z36" s="7">
        <f t="shared" si="19"/>
        <v>0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77081.19</v>
      </c>
      <c r="E37" s="1"/>
      <c r="F37" s="5">
        <f t="shared" ref="F37:F47" si="20">IF(D$12=0,0,D37/D$12)</f>
        <v>0.24505101086591161</v>
      </c>
      <c r="G37" s="1"/>
      <c r="H37" s="1">
        <f>SUM(OSRRefH22_1x_0)</f>
        <v>61484.549171076913</v>
      </c>
      <c r="I37" s="1"/>
      <c r="J37" s="5">
        <f t="shared" ref="J37:J47" si="21">IF(H$12=0,0,H37/H$12)</f>
        <v>0.19551925528536104</v>
      </c>
      <c r="K37" s="1"/>
      <c r="L37" s="1">
        <f t="shared" ref="L37:L47" si="22">+D37-H37</f>
        <v>15596.640828923089</v>
      </c>
      <c r="M37" s="1"/>
      <c r="N37" s="5">
        <f t="shared" ref="N37:N47" si="23">IF(H37=0,0,L37/H37)</f>
        <v>0.25366764559867572</v>
      </c>
      <c r="O37" s="13"/>
      <c r="P37" s="1">
        <f>SUM(OSRRefP22_1x_0)</f>
        <v>529271.36</v>
      </c>
      <c r="Q37" s="1"/>
      <c r="R37" s="5">
        <f t="shared" ref="R37:R47" si="24">IF(P$12=0,0,P37/P$12)</f>
        <v>0.30073998426544168</v>
      </c>
      <c r="S37" s="1"/>
      <c r="T37" s="1">
        <f>SUM(OSRRefT22_1x_0)</f>
        <v>394831.52071892301</v>
      </c>
      <c r="U37" s="1"/>
      <c r="V37" s="5">
        <f t="shared" ref="V37:V47" si="25">IF(T$12=0,0,T37/T$12)</f>
        <v>0.23142180625827791</v>
      </c>
      <c r="W37" s="1"/>
      <c r="X37" s="1">
        <f t="shared" ref="X37:X47" si="26">+P37-T37</f>
        <v>134439.83928107697</v>
      </c>
      <c r="Y37" s="1"/>
      <c r="Z37" s="5">
        <f t="shared" ref="Z37:Z47" si="27">IF(T37=0,0,X37/T37)</f>
        <v>0.34049925658489533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8420.26</v>
      </c>
      <c r="E39" s="2"/>
      <c r="F39" s="7">
        <f t="shared" si="20"/>
        <v>2.6769088862714768E-2</v>
      </c>
      <c r="G39" s="2"/>
      <c r="H39" s="6">
        <v>4459.7019230769201</v>
      </c>
      <c r="I39" s="2"/>
      <c r="J39" s="7">
        <f t="shared" si="21"/>
        <v>1.4181735257886081E-2</v>
      </c>
      <c r="K39" s="2"/>
      <c r="L39" s="6">
        <f t="shared" si="22"/>
        <v>3960.5580769230801</v>
      </c>
      <c r="M39" s="2"/>
      <c r="N39" s="7">
        <f t="shared" si="23"/>
        <v>0.88807685922438029</v>
      </c>
      <c r="O39" s="11"/>
      <c r="P39" s="6">
        <v>77808.17</v>
      </c>
      <c r="Q39" s="2"/>
      <c r="R39" s="7">
        <f t="shared" si="24"/>
        <v>4.4211777908260169E-2</v>
      </c>
      <c r="S39" s="2"/>
      <c r="T39" s="6">
        <v>39022.391826923049</v>
      </c>
      <c r="U39" s="2"/>
      <c r="V39" s="7">
        <f t="shared" si="25"/>
        <v>2.2872116148836094E-2</v>
      </c>
      <c r="W39" s="2"/>
      <c r="X39" s="6">
        <f t="shared" si="26"/>
        <v>38785.778173076949</v>
      </c>
      <c r="Y39" s="2"/>
      <c r="Z39" s="7">
        <f t="shared" si="27"/>
        <v>0.99393646460997165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22911.41</v>
      </c>
      <c r="E41" s="2"/>
      <c r="F41" s="7">
        <f t="shared" si="20"/>
        <v>7.2838317375008815E-2</v>
      </c>
      <c r="G41" s="2"/>
      <c r="H41" s="6">
        <v>15122.50944</v>
      </c>
      <c r="I41" s="2"/>
      <c r="J41" s="7">
        <f t="shared" si="21"/>
        <v>4.8089183764325784E-2</v>
      </c>
      <c r="K41" s="2"/>
      <c r="L41" s="6">
        <f t="shared" si="22"/>
        <v>7788.90056</v>
      </c>
      <c r="M41" s="2"/>
      <c r="N41" s="7">
        <f t="shared" si="23"/>
        <v>0.51505344340522363</v>
      </c>
      <c r="O41" s="11"/>
      <c r="P41" s="6">
        <v>170894.54</v>
      </c>
      <c r="Q41" s="2"/>
      <c r="R41" s="7">
        <f t="shared" si="24"/>
        <v>9.7104859916565103E-2</v>
      </c>
      <c r="S41" s="2"/>
      <c r="T41" s="6">
        <v>120980.07552</v>
      </c>
      <c r="U41" s="2"/>
      <c r="V41" s="7">
        <f t="shared" si="25"/>
        <v>7.0909808687823539E-2</v>
      </c>
      <c r="W41" s="2"/>
      <c r="X41" s="6">
        <f t="shared" si="26"/>
        <v>49914.46448000001</v>
      </c>
      <c r="Y41" s="2"/>
      <c r="Z41" s="7">
        <f t="shared" si="27"/>
        <v>0.41258417359599292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14313.64</v>
      </c>
      <c r="E42" s="2"/>
      <c r="F42" s="7">
        <f t="shared" si="20"/>
        <v>4.5504901405527688E-2</v>
      </c>
      <c r="G42" s="2"/>
      <c r="H42" s="6">
        <v>5541.8878080000004</v>
      </c>
      <c r="I42" s="2"/>
      <c r="J42" s="7">
        <f t="shared" si="21"/>
        <v>1.7623058015441954E-2</v>
      </c>
      <c r="K42" s="2"/>
      <c r="L42" s="6">
        <f t="shared" si="22"/>
        <v>8771.7521919999999</v>
      </c>
      <c r="M42" s="2"/>
      <c r="N42" s="7">
        <f t="shared" si="23"/>
        <v>1.5828094136690252</v>
      </c>
      <c r="O42" s="11"/>
      <c r="P42" s="6">
        <v>89274.099999999991</v>
      </c>
      <c r="Q42" s="2"/>
      <c r="R42" s="7">
        <f t="shared" si="24"/>
        <v>5.0726892589297613E-2</v>
      </c>
      <c r="S42" s="2"/>
      <c r="T42" s="6">
        <v>32558.590871999997</v>
      </c>
      <c r="U42" s="2"/>
      <c r="V42" s="7">
        <f t="shared" si="25"/>
        <v>1.9083501477042537E-2</v>
      </c>
      <c r="W42" s="2"/>
      <c r="X42" s="6">
        <f t="shared" si="26"/>
        <v>56715.509127999991</v>
      </c>
      <c r="Y42" s="2"/>
      <c r="Z42" s="7">
        <f t="shared" si="27"/>
        <v>1.7419522039811206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10378.219999999999</v>
      </c>
      <c r="Q43" s="2"/>
      <c r="R43" s="7">
        <f t="shared" si="24"/>
        <v>5.8970614232806634E-3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10378.219999999999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22002.1</v>
      </c>
      <c r="E44" s="2"/>
      <c r="F44" s="7">
        <f t="shared" si="20"/>
        <v>6.9947504004191863E-2</v>
      </c>
      <c r="G44" s="2"/>
      <c r="H44" s="6">
        <v>36360.449999999997</v>
      </c>
      <c r="I44" s="2"/>
      <c r="J44" s="7">
        <f t="shared" si="21"/>
        <v>0.11562527824770723</v>
      </c>
      <c r="K44" s="2"/>
      <c r="L44" s="6">
        <f t="shared" si="22"/>
        <v>-14358.349999999999</v>
      </c>
      <c r="M44" s="2"/>
      <c r="N44" s="7">
        <f t="shared" si="23"/>
        <v>-0.39488922716853064</v>
      </c>
      <c r="O44" s="11"/>
      <c r="P44" s="6">
        <v>130394.80000000002</v>
      </c>
      <c r="Q44" s="2"/>
      <c r="R44" s="7">
        <f t="shared" si="24"/>
        <v>7.4092295680415102E-2</v>
      </c>
      <c r="S44" s="2"/>
      <c r="T44" s="6">
        <v>197385.3</v>
      </c>
      <c r="U44" s="2"/>
      <c r="V44" s="7">
        <f t="shared" si="25"/>
        <v>0.11569304945982443</v>
      </c>
      <c r="W44" s="2"/>
      <c r="X44" s="6">
        <f t="shared" si="26"/>
        <v>-66990.499999999971</v>
      </c>
      <c r="Y44" s="2"/>
      <c r="Z44" s="7">
        <f t="shared" si="27"/>
        <v>-0.33938950874254553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9433.7800000000007</v>
      </c>
      <c r="E45" s="2"/>
      <c r="F45" s="7">
        <f t="shared" si="20"/>
        <v>2.9991199218468472E-2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9433.7800000000007</v>
      </c>
      <c r="M45" s="2"/>
      <c r="N45" s="7">
        <f t="shared" si="23"/>
        <v>0</v>
      </c>
      <c r="O45" s="11"/>
      <c r="P45" s="6">
        <v>50521.53</v>
      </c>
      <c r="Q45" s="2"/>
      <c r="R45" s="7">
        <f t="shared" si="24"/>
        <v>2.8707096747623072E-2</v>
      </c>
      <c r="S45" s="2"/>
      <c r="T45" s="6">
        <v>4885.1624999999995</v>
      </c>
      <c r="U45" s="2"/>
      <c r="V45" s="7">
        <f t="shared" si="25"/>
        <v>2.8633304847512937E-3</v>
      </c>
      <c r="W45" s="2"/>
      <c r="X45" s="6">
        <f t="shared" si="26"/>
        <v>45636.3675</v>
      </c>
      <c r="Y45" s="2"/>
      <c r="Z45" s="7">
        <f t="shared" si="27"/>
        <v>9.3418320270820079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105.86</v>
      </c>
      <c r="E48" s="1"/>
      <c r="F48" s="5">
        <f t="shared" ref="F48:F52" si="28">IF(D$12=0,0,D48/D$12)</f>
        <v>3.3654254702431815E-4</v>
      </c>
      <c r="G48" s="1"/>
      <c r="H48" s="1">
        <f>SUM(OSRRefH22_2x_0)</f>
        <v>250</v>
      </c>
      <c r="I48" s="1"/>
      <c r="J48" s="5">
        <f t="shared" ref="J48:J52" si="29">IF(H$12=0,0,H48/H$12)</f>
        <v>7.9499344925397812E-4</v>
      </c>
      <c r="K48" s="1"/>
      <c r="L48" s="1">
        <f t="shared" ref="L48:L52" si="30">+D48-H48</f>
        <v>-144.13999999999999</v>
      </c>
      <c r="M48" s="1"/>
      <c r="N48" s="5">
        <f t="shared" ref="N48:N52" si="31">IF(H48=0,0,L48/H48)</f>
        <v>-0.57655999999999996</v>
      </c>
      <c r="O48" s="13"/>
      <c r="P48" s="1">
        <f>SUM(OSRRefP22_2x_0)</f>
        <v>3020.03</v>
      </c>
      <c r="Q48" s="1"/>
      <c r="R48" s="5">
        <f t="shared" ref="R48:R52" si="32">IF(P$12=0,0,P48/P$12)</f>
        <v>1.7160266799268375E-3</v>
      </c>
      <c r="S48" s="1"/>
      <c r="T48" s="1">
        <f>SUM(OSRRefT22_2x_0)</f>
        <v>3950</v>
      </c>
      <c r="U48" s="1"/>
      <c r="V48" s="5">
        <f t="shared" ref="V48:V52" si="33">IF(T$12=0,0,T48/T$12)</f>
        <v>2.3152055668092131E-3</v>
      </c>
      <c r="W48" s="1"/>
      <c r="X48" s="1">
        <f t="shared" ref="X48:X52" si="34">+P48-T48</f>
        <v>-929.9699999999998</v>
      </c>
      <c r="Y48" s="1"/>
      <c r="Z48" s="5">
        <f t="shared" ref="Z48:Z52" si="35">IF(T48=0,0,X48/T48)</f>
        <v>-0.23543544303797465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105.86</v>
      </c>
      <c r="E49" s="2"/>
      <c r="F49" s="7">
        <f t="shared" si="28"/>
        <v>3.3654254702431815E-4</v>
      </c>
      <c r="G49" s="2"/>
      <c r="H49" s="6">
        <v>250</v>
      </c>
      <c r="I49" s="2"/>
      <c r="J49" s="7">
        <f t="shared" si="29"/>
        <v>7.9499344925397812E-4</v>
      </c>
      <c r="K49" s="2"/>
      <c r="L49" s="6">
        <f t="shared" si="30"/>
        <v>-144.13999999999999</v>
      </c>
      <c r="M49" s="2"/>
      <c r="N49" s="7">
        <f t="shared" si="31"/>
        <v>-0.57655999999999996</v>
      </c>
      <c r="O49" s="11"/>
      <c r="P49" s="6">
        <v>3020.03</v>
      </c>
      <c r="Q49" s="2"/>
      <c r="R49" s="7">
        <f t="shared" si="32"/>
        <v>1.7160266799268375E-3</v>
      </c>
      <c r="S49" s="2"/>
      <c r="T49" s="6">
        <v>3950</v>
      </c>
      <c r="U49" s="2"/>
      <c r="V49" s="7">
        <f t="shared" si="33"/>
        <v>2.3152055668092131E-3</v>
      </c>
      <c r="W49" s="2"/>
      <c r="X49" s="6">
        <f t="shared" si="34"/>
        <v>-929.9699999999998</v>
      </c>
      <c r="Y49" s="2"/>
      <c r="Z49" s="7">
        <f t="shared" si="35"/>
        <v>-0.23543544303797465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70</v>
      </c>
      <c r="I50" s="1"/>
      <c r="J50" s="5">
        <f t="shared" si="29"/>
        <v>2.2259816579111387E-4</v>
      </c>
      <c r="K50" s="1"/>
      <c r="L50" s="1">
        <f t="shared" si="30"/>
        <v>-70</v>
      </c>
      <c r="M50" s="1"/>
      <c r="N50" s="5">
        <f t="shared" si="31"/>
        <v>-1</v>
      </c>
      <c r="O50" s="13"/>
      <c r="P50" s="1">
        <f>SUM(OSRRefP22_3x_0)</f>
        <v>13.18</v>
      </c>
      <c r="Q50" s="1"/>
      <c r="R50" s="5">
        <f t="shared" si="32"/>
        <v>7.4890751553579652E-6</v>
      </c>
      <c r="S50" s="1"/>
      <c r="T50" s="1">
        <f>SUM(OSRRefT22_3x_0)</f>
        <v>490</v>
      </c>
      <c r="U50" s="1"/>
      <c r="V50" s="5">
        <f t="shared" si="33"/>
        <v>2.8720271588266187E-4</v>
      </c>
      <c r="W50" s="1"/>
      <c r="X50" s="1">
        <f t="shared" si="34"/>
        <v>-476.82</v>
      </c>
      <c r="Y50" s="1"/>
      <c r="Z50" s="5">
        <f t="shared" si="35"/>
        <v>-0.97310204081632656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20</v>
      </c>
      <c r="I51" s="2"/>
      <c r="J51" s="7">
        <f t="shared" si="29"/>
        <v>6.3599475940318256E-5</v>
      </c>
      <c r="K51" s="2"/>
      <c r="L51" s="6">
        <f t="shared" si="30"/>
        <v>-20</v>
      </c>
      <c r="M51" s="2"/>
      <c r="N51" s="7">
        <f t="shared" si="31"/>
        <v>-1</v>
      </c>
      <c r="O51" s="11"/>
      <c r="P51" s="6">
        <v>13.18</v>
      </c>
      <c r="Q51" s="2"/>
      <c r="R51" s="7">
        <f t="shared" si="32"/>
        <v>7.4890751553579652E-6</v>
      </c>
      <c r="S51" s="2"/>
      <c r="T51" s="6">
        <v>140</v>
      </c>
      <c r="U51" s="2"/>
      <c r="V51" s="7">
        <f t="shared" si="33"/>
        <v>8.2057918823617672E-5</v>
      </c>
      <c r="W51" s="2"/>
      <c r="X51" s="6">
        <f t="shared" si="34"/>
        <v>-126.82</v>
      </c>
      <c r="Y51" s="2"/>
      <c r="Z51" s="7">
        <f t="shared" si="35"/>
        <v>-0.90585714285714281</v>
      </c>
    </row>
    <row r="52" spans="1:26" s="24" customFormat="1" hidden="1" outlineLevel="2" x14ac:dyDescent="0.25">
      <c r="A52" s="25"/>
      <c r="B52" s="11" t="str">
        <f>CONCATENATE("          ", "6342", " - ", "BAD DEBT")</f>
        <v xml:space="preserve">          6342 - BAD DEBT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1.5899868985079564E-4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350</v>
      </c>
      <c r="U52" s="2"/>
      <c r="V52" s="7">
        <f t="shared" si="33"/>
        <v>2.0514479705904419E-4</v>
      </c>
      <c r="W52" s="2"/>
      <c r="X52" s="6">
        <f t="shared" si="34"/>
        <v>-350</v>
      </c>
      <c r="Y52" s="2"/>
      <c r="Z52" s="7">
        <f t="shared" si="35"/>
        <v>-1</v>
      </c>
    </row>
    <row r="53" spans="1:26" s="27" customFormat="1" outlineLevel="1" collapsed="1" x14ac:dyDescent="0.25">
      <c r="A53" s="26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12</v>
      </c>
      <c r="E53" s="1"/>
      <c r="F53" s="5">
        <f t="shared" ref="F53:F71" si="36">IF(D$12=0,0,D53/D$12)</f>
        <v>3.8149542455052126E-5</v>
      </c>
      <c r="G53" s="1"/>
      <c r="H53" s="1">
        <f>SUM(OSRRefH22_4x_0)</f>
        <v>20</v>
      </c>
      <c r="I53" s="1"/>
      <c r="J53" s="5">
        <f t="shared" ref="J53:J71" si="37">IF(H$12=0,0,H53/H$12)</f>
        <v>6.3599475940318256E-5</v>
      </c>
      <c r="K53" s="1"/>
      <c r="L53" s="1">
        <f t="shared" ref="L53:L71" si="38">+D53-H53</f>
        <v>-8</v>
      </c>
      <c r="M53" s="1"/>
      <c r="N53" s="5">
        <f t="shared" ref="N53:N71" si="39">IF(H53=0,0,L53/H53)</f>
        <v>-0.4</v>
      </c>
      <c r="O53" s="13"/>
      <c r="P53" s="1">
        <f>SUM(OSRRefP22_4x_0)</f>
        <v>66.7</v>
      </c>
      <c r="Q53" s="1"/>
      <c r="R53" s="5">
        <f t="shared" ref="R53:R71" si="40">IF(P$12=0,0,P53/P$12)</f>
        <v>3.7899947865127185E-5</v>
      </c>
      <c r="S53" s="1"/>
      <c r="T53" s="1">
        <f>SUM(OSRRefT22_4x_0)</f>
        <v>160</v>
      </c>
      <c r="U53" s="1"/>
      <c r="V53" s="5">
        <f t="shared" ref="V53:V71" si="41">IF(T$12=0,0,T53/T$12)</f>
        <v>9.3780478655563061E-5</v>
      </c>
      <c r="W53" s="1"/>
      <c r="X53" s="1">
        <f t="shared" ref="X53:X71" si="42">+P53-T53</f>
        <v>-93.3</v>
      </c>
      <c r="Y53" s="1"/>
      <c r="Z53" s="5">
        <f t="shared" ref="Z53:Z71" si="43">IF(T53=0,0,X53/T53)</f>
        <v>-0.583125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6">
        <v>12</v>
      </c>
      <c r="E54" s="2"/>
      <c r="F54" s="7">
        <f t="shared" si="36"/>
        <v>3.8149542455052126E-5</v>
      </c>
      <c r="G54" s="2"/>
      <c r="H54" s="6">
        <v>20</v>
      </c>
      <c r="I54" s="2"/>
      <c r="J54" s="7">
        <f t="shared" si="37"/>
        <v>6.3599475940318256E-5</v>
      </c>
      <c r="K54" s="2"/>
      <c r="L54" s="6">
        <f t="shared" si="38"/>
        <v>-8</v>
      </c>
      <c r="M54" s="2"/>
      <c r="N54" s="7">
        <f t="shared" si="39"/>
        <v>-0.4</v>
      </c>
      <c r="O54" s="11"/>
      <c r="P54" s="6">
        <v>66.7</v>
      </c>
      <c r="Q54" s="2"/>
      <c r="R54" s="7">
        <f t="shared" si="40"/>
        <v>3.7899947865127185E-5</v>
      </c>
      <c r="S54" s="2"/>
      <c r="T54" s="6">
        <v>160</v>
      </c>
      <c r="U54" s="2"/>
      <c r="V54" s="7">
        <f t="shared" si="41"/>
        <v>9.3780478655563061E-5</v>
      </c>
      <c r="W54" s="2"/>
      <c r="X54" s="6">
        <f t="shared" si="42"/>
        <v>-93.3</v>
      </c>
      <c r="Y54" s="2"/>
      <c r="Z54" s="7">
        <f t="shared" si="43"/>
        <v>-0.583125</v>
      </c>
    </row>
    <row r="55" spans="1:26" s="27" customFormat="1" outlineLevel="1" collapsed="1" x14ac:dyDescent="0.25">
      <c r="A55" s="26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SUM(OSRRefD22_5x_0)</f>
        <v>3235.02</v>
      </c>
      <c r="E55" s="1"/>
      <c r="F55" s="5">
        <f t="shared" si="36"/>
        <v>1.0284544402745227E-2</v>
      </c>
      <c r="G55" s="1"/>
      <c r="H55" s="1">
        <f>SUM(OSRRefH22_5x_0)</f>
        <v>2830</v>
      </c>
      <c r="I55" s="1"/>
      <c r="J55" s="5">
        <f t="shared" si="37"/>
        <v>8.999325845555033E-3</v>
      </c>
      <c r="K55" s="1"/>
      <c r="L55" s="1">
        <f t="shared" si="38"/>
        <v>405.02</v>
      </c>
      <c r="M55" s="1"/>
      <c r="N55" s="5">
        <f t="shared" si="39"/>
        <v>0.14311660777385157</v>
      </c>
      <c r="O55" s="13"/>
      <c r="P55" s="1">
        <f>SUM(OSRRefP22_5x_0)</f>
        <v>18714.900000000001</v>
      </c>
      <c r="Q55" s="1"/>
      <c r="R55" s="5">
        <f t="shared" si="40"/>
        <v>1.0634088970031017E-2</v>
      </c>
      <c r="S55" s="1"/>
      <c r="T55" s="1">
        <f>SUM(OSRRefT22_5x_0)</f>
        <v>13634</v>
      </c>
      <c r="U55" s="1"/>
      <c r="V55" s="5">
        <f t="shared" si="41"/>
        <v>7.9912690374371667E-3</v>
      </c>
      <c r="W55" s="1"/>
      <c r="X55" s="1">
        <f t="shared" si="42"/>
        <v>5080.9000000000015</v>
      </c>
      <c r="Y55" s="1"/>
      <c r="Z55" s="5">
        <f t="shared" si="43"/>
        <v>0.37266392841425861</v>
      </c>
    </row>
    <row r="56" spans="1:26" s="24" customFormat="1" hidden="1" outlineLevel="2" x14ac:dyDescent="0.25">
      <c r="A56" s="25"/>
      <c r="B56" s="11" t="str">
        <f>CONCATENATE("          ", "6399", " - ", "DONATION-ON CAMPUS")</f>
        <v xml:space="preserve">          6399 - DONATION-ON CAMPUS</v>
      </c>
      <c r="C56" s="11"/>
      <c r="D56" s="6">
        <v>3235.02</v>
      </c>
      <c r="E56" s="2"/>
      <c r="F56" s="7">
        <f t="shared" si="36"/>
        <v>1.0284544402745227E-2</v>
      </c>
      <c r="G56" s="2"/>
      <c r="H56" s="6">
        <v>2830</v>
      </c>
      <c r="I56" s="2"/>
      <c r="J56" s="7">
        <f t="shared" si="37"/>
        <v>8.999325845555033E-3</v>
      </c>
      <c r="K56" s="2"/>
      <c r="L56" s="6">
        <f t="shared" si="38"/>
        <v>405.02</v>
      </c>
      <c r="M56" s="2"/>
      <c r="N56" s="7">
        <f t="shared" si="39"/>
        <v>0.14311660777385157</v>
      </c>
      <c r="O56" s="11"/>
      <c r="P56" s="6">
        <v>18714.900000000001</v>
      </c>
      <c r="Q56" s="2"/>
      <c r="R56" s="7">
        <f t="shared" si="40"/>
        <v>1.0634088970031017E-2</v>
      </c>
      <c r="S56" s="2"/>
      <c r="T56" s="6">
        <v>13634</v>
      </c>
      <c r="U56" s="2"/>
      <c r="V56" s="7">
        <f t="shared" si="41"/>
        <v>7.9912690374371667E-3</v>
      </c>
      <c r="W56" s="2"/>
      <c r="X56" s="6">
        <f t="shared" si="42"/>
        <v>5080.9000000000015</v>
      </c>
      <c r="Y56" s="2"/>
      <c r="Z56" s="7">
        <f t="shared" si="43"/>
        <v>0.37266392841425861</v>
      </c>
    </row>
    <row r="57" spans="1:26" s="27" customFormat="1" outlineLevel="1" collapsed="1" x14ac:dyDescent="0.25">
      <c r="A57" s="26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si="36"/>
        <v>0</v>
      </c>
      <c r="G57" s="1"/>
      <c r="H57" s="1">
        <f>SUM(OSRRefH22_6x_0)</f>
        <v>0</v>
      </c>
      <c r="I57" s="1"/>
      <c r="J57" s="5">
        <f t="shared" si="37"/>
        <v>0</v>
      </c>
      <c r="K57" s="1"/>
      <c r="L57" s="1">
        <f t="shared" si="38"/>
        <v>0</v>
      </c>
      <c r="M57" s="1"/>
      <c r="N57" s="5">
        <f t="shared" si="39"/>
        <v>0</v>
      </c>
      <c r="O57" s="13"/>
      <c r="P57" s="1">
        <f>SUM(OSRRefP22_6x_0)</f>
        <v>21.34</v>
      </c>
      <c r="Q57" s="1"/>
      <c r="R57" s="5">
        <f t="shared" si="40"/>
        <v>1.2125710456399013E-5</v>
      </c>
      <c r="S57" s="1"/>
      <c r="T57" s="1">
        <f>SUM(OSRRefT22_6x_0)</f>
        <v>600</v>
      </c>
      <c r="U57" s="1"/>
      <c r="V57" s="5">
        <f t="shared" si="41"/>
        <v>3.5167679495836149E-4</v>
      </c>
      <c r="W57" s="1"/>
      <c r="X57" s="1">
        <f t="shared" si="42"/>
        <v>-578.66</v>
      </c>
      <c r="Y57" s="1"/>
      <c r="Z57" s="5">
        <f t="shared" si="43"/>
        <v>-0.96443333333333325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0</v>
      </c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21.34</v>
      </c>
      <c r="Q58" s="2"/>
      <c r="R58" s="7">
        <f t="shared" si="40"/>
        <v>1.2125710456399013E-5</v>
      </c>
      <c r="S58" s="2"/>
      <c r="T58" s="6">
        <v>600</v>
      </c>
      <c r="U58" s="2"/>
      <c r="V58" s="7">
        <f t="shared" si="41"/>
        <v>3.5167679495836149E-4</v>
      </c>
      <c r="W58" s="2"/>
      <c r="X58" s="6">
        <f t="shared" si="42"/>
        <v>-578.66</v>
      </c>
      <c r="Y58" s="2"/>
      <c r="Z58" s="7">
        <f t="shared" si="43"/>
        <v>-0.96443333333333325</v>
      </c>
    </row>
    <row r="59" spans="1:26" s="27" customFormat="1" outlineLevel="1" collapsed="1" x14ac:dyDescent="0.25">
      <c r="A59" s="26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SUM(OSRRefP22_7x_0)</f>
        <v>0.01</v>
      </c>
      <c r="Q59" s="1"/>
      <c r="R59" s="5">
        <f t="shared" si="40"/>
        <v>5.6821511042169695E-9</v>
      </c>
      <c r="S59" s="1"/>
      <c r="T59" s="1">
        <f>SUM(OSRRefT22_7x_0)</f>
        <v>0</v>
      </c>
      <c r="U59" s="1"/>
      <c r="V59" s="5">
        <f t="shared" si="41"/>
        <v>0</v>
      </c>
      <c r="W59" s="1"/>
      <c r="X59" s="1">
        <f t="shared" si="42"/>
        <v>0.01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0.01</v>
      </c>
      <c r="Q60" s="2"/>
      <c r="R60" s="7">
        <f t="shared" si="40"/>
        <v>5.6821511042169695E-9</v>
      </c>
      <c r="S60" s="2"/>
      <c r="T60" s="6"/>
      <c r="U60" s="2"/>
      <c r="V60" s="7">
        <f t="shared" si="41"/>
        <v>0</v>
      </c>
      <c r="W60" s="2"/>
      <c r="X60" s="6">
        <f t="shared" si="42"/>
        <v>0.01</v>
      </c>
      <c r="Y60" s="2"/>
      <c r="Z60" s="7">
        <f t="shared" si="43"/>
        <v>0</v>
      </c>
    </row>
    <row r="61" spans="1:26" s="27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275</v>
      </c>
      <c r="I61" s="1"/>
      <c r="J61" s="5">
        <f t="shared" si="37"/>
        <v>8.7449279417937595E-4</v>
      </c>
      <c r="K61" s="1"/>
      <c r="L61" s="1">
        <f t="shared" si="38"/>
        <v>-275</v>
      </c>
      <c r="M61" s="1"/>
      <c r="N61" s="5">
        <f t="shared" si="39"/>
        <v>-1</v>
      </c>
      <c r="O61" s="13"/>
      <c r="P61" s="1">
        <f>SUM(OSRRefP22_8x_0)</f>
        <v>1517.11</v>
      </c>
      <c r="Q61" s="1"/>
      <c r="R61" s="5">
        <f t="shared" si="40"/>
        <v>8.6204482617186059E-4</v>
      </c>
      <c r="S61" s="1"/>
      <c r="T61" s="1">
        <f>SUM(OSRRefT22_8x_0)</f>
        <v>2200</v>
      </c>
      <c r="U61" s="1"/>
      <c r="V61" s="5">
        <f t="shared" si="41"/>
        <v>1.289481581513992E-3</v>
      </c>
      <c r="W61" s="1"/>
      <c r="X61" s="1">
        <f t="shared" si="42"/>
        <v>-682.8900000000001</v>
      </c>
      <c r="Y61" s="1"/>
      <c r="Z61" s="5">
        <f t="shared" si="43"/>
        <v>-0.31040454545454549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275</v>
      </c>
      <c r="I62" s="2"/>
      <c r="J62" s="7">
        <f t="shared" si="37"/>
        <v>8.7449279417937595E-4</v>
      </c>
      <c r="K62" s="2"/>
      <c r="L62" s="6">
        <f t="shared" si="38"/>
        <v>-275</v>
      </c>
      <c r="M62" s="2"/>
      <c r="N62" s="7">
        <f t="shared" si="39"/>
        <v>-1</v>
      </c>
      <c r="O62" s="11"/>
      <c r="P62" s="6">
        <v>1517.11</v>
      </c>
      <c r="Q62" s="2"/>
      <c r="R62" s="7">
        <f t="shared" si="40"/>
        <v>8.6204482617186059E-4</v>
      </c>
      <c r="S62" s="2"/>
      <c r="T62" s="6">
        <v>2200</v>
      </c>
      <c r="U62" s="2"/>
      <c r="V62" s="7">
        <f t="shared" si="41"/>
        <v>1.289481581513992E-3</v>
      </c>
      <c r="W62" s="2"/>
      <c r="X62" s="6">
        <f t="shared" si="42"/>
        <v>-682.8900000000001</v>
      </c>
      <c r="Y62" s="2"/>
      <c r="Z62" s="7">
        <f t="shared" si="43"/>
        <v>-0.31040454545454549</v>
      </c>
    </row>
    <row r="63" spans="1:26" s="27" customFormat="1" outlineLevel="1" collapsed="1" x14ac:dyDescent="0.25">
      <c r="A63" s="26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SUM(OSRRefD22_9x_0)</f>
        <v>5.9</v>
      </c>
      <c r="E63" s="1"/>
      <c r="F63" s="5">
        <f t="shared" si="36"/>
        <v>1.8756858373733964E-5</v>
      </c>
      <c r="G63" s="1"/>
      <c r="H63" s="1">
        <f>SUM(OSRRefH22_9x_0)</f>
        <v>5</v>
      </c>
      <c r="I63" s="1"/>
      <c r="J63" s="5">
        <f t="shared" si="37"/>
        <v>1.5899868985079564E-5</v>
      </c>
      <c r="K63" s="1"/>
      <c r="L63" s="1">
        <f t="shared" si="38"/>
        <v>0.90000000000000036</v>
      </c>
      <c r="M63" s="1"/>
      <c r="N63" s="5">
        <f t="shared" si="39"/>
        <v>0.18000000000000008</v>
      </c>
      <c r="O63" s="13"/>
      <c r="P63" s="1">
        <f>SUM(OSRRefP22_9x_0)</f>
        <v>47.2</v>
      </c>
      <c r="Q63" s="1"/>
      <c r="R63" s="5">
        <f t="shared" si="40"/>
        <v>2.6819753211904098E-5</v>
      </c>
      <c r="S63" s="1"/>
      <c r="T63" s="1">
        <f>SUM(OSRRefT22_9x_0)</f>
        <v>40</v>
      </c>
      <c r="U63" s="1"/>
      <c r="V63" s="5">
        <f t="shared" si="41"/>
        <v>2.3445119663890765E-5</v>
      </c>
      <c r="W63" s="1"/>
      <c r="X63" s="1">
        <f t="shared" si="42"/>
        <v>7.2000000000000028</v>
      </c>
      <c r="Y63" s="1"/>
      <c r="Z63" s="5">
        <f t="shared" si="43"/>
        <v>0.18000000000000008</v>
      </c>
    </row>
    <row r="64" spans="1:26" s="24" customFormat="1" hidden="1" outlineLevel="2" x14ac:dyDescent="0.25">
      <c r="A64" s="25"/>
      <c r="B64" s="11" t="str">
        <f>CONCATENATE("          ", "6314", " - ", "LIABILITY INSURANCE")</f>
        <v xml:space="preserve">          6314 - LIABILITY INSURANCE</v>
      </c>
      <c r="C64" s="11"/>
      <c r="D64" s="6">
        <v>5.9</v>
      </c>
      <c r="E64" s="2"/>
      <c r="F64" s="7">
        <f t="shared" si="36"/>
        <v>1.8756858373733964E-5</v>
      </c>
      <c r="G64" s="2"/>
      <c r="H64" s="6">
        <v>5</v>
      </c>
      <c r="I64" s="2"/>
      <c r="J64" s="7">
        <f t="shared" si="37"/>
        <v>1.5899868985079564E-5</v>
      </c>
      <c r="K64" s="2"/>
      <c r="L64" s="6">
        <f t="shared" si="38"/>
        <v>0.90000000000000036</v>
      </c>
      <c r="M64" s="2"/>
      <c r="N64" s="7">
        <f t="shared" si="39"/>
        <v>0.18000000000000008</v>
      </c>
      <c r="O64" s="11"/>
      <c r="P64" s="6">
        <v>47.2</v>
      </c>
      <c r="Q64" s="2"/>
      <c r="R64" s="7">
        <f t="shared" si="40"/>
        <v>2.6819753211904098E-5</v>
      </c>
      <c r="S64" s="2"/>
      <c r="T64" s="6">
        <v>40</v>
      </c>
      <c r="U64" s="2"/>
      <c r="V64" s="7">
        <f t="shared" si="41"/>
        <v>2.3445119663890765E-5</v>
      </c>
      <c r="W64" s="2"/>
      <c r="X64" s="6">
        <f t="shared" si="42"/>
        <v>7.2000000000000028</v>
      </c>
      <c r="Y64" s="2"/>
      <c r="Z64" s="7">
        <f t="shared" si="43"/>
        <v>0.18000000000000008</v>
      </c>
    </row>
    <row r="65" spans="1:26" s="27" customFormat="1" outlineLevel="1" collapsed="1" x14ac:dyDescent="0.25">
      <c r="A65" s="26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SUM(OSRRefD22_10x_0)</f>
        <v>24786.68</v>
      </c>
      <c r="E65" s="1"/>
      <c r="F65" s="5">
        <f t="shared" si="36"/>
        <v>7.8800041748315952E-2</v>
      </c>
      <c r="G65" s="1"/>
      <c r="H65" s="1">
        <f>SUM(OSRRefH22_10x_0)</f>
        <v>25157</v>
      </c>
      <c r="I65" s="1"/>
      <c r="J65" s="5">
        <f t="shared" si="37"/>
        <v>7.9998600811529319E-2</v>
      </c>
      <c r="K65" s="1"/>
      <c r="L65" s="1">
        <f t="shared" si="38"/>
        <v>-370.31999999999971</v>
      </c>
      <c r="M65" s="1"/>
      <c r="N65" s="5">
        <f t="shared" si="39"/>
        <v>-1.4720356163294498E-2</v>
      </c>
      <c r="O65" s="13"/>
      <c r="P65" s="1">
        <f>SUM(OSRRefP22_10x_0)</f>
        <v>137583.88</v>
      </c>
      <c r="Q65" s="1"/>
      <c r="R65" s="5">
        <f t="shared" si="40"/>
        <v>7.8177239566445497E-2</v>
      </c>
      <c r="S65" s="1"/>
      <c r="T65" s="1">
        <f>SUM(OSRRefT22_10x_0)</f>
        <v>136566</v>
      </c>
      <c r="U65" s="1"/>
      <c r="V65" s="5">
        <f t="shared" si="41"/>
        <v>8.0045155300472653E-2</v>
      </c>
      <c r="W65" s="1"/>
      <c r="X65" s="1">
        <f t="shared" si="42"/>
        <v>1017.8800000000047</v>
      </c>
      <c r="Y65" s="1"/>
      <c r="Z65" s="5">
        <f t="shared" si="43"/>
        <v>7.4533924988650514E-3</v>
      </c>
    </row>
    <row r="66" spans="1:26" s="24" customFormat="1" hidden="1" outlineLevel="2" x14ac:dyDescent="0.25">
      <c r="A66" s="25"/>
      <c r="B66" s="11" t="str">
        <f>CONCATENATE("          ", "6387", " - ", "COMMISSION DUE HOUSING")</f>
        <v xml:space="preserve">          6387 - COMMISSION DUE HOUSING</v>
      </c>
      <c r="C66" s="11"/>
      <c r="D66" s="6">
        <v>24786.68</v>
      </c>
      <c r="E66" s="2"/>
      <c r="F66" s="7">
        <f t="shared" si="36"/>
        <v>7.8800041748315952E-2</v>
      </c>
      <c r="G66" s="2"/>
      <c r="H66" s="6">
        <v>25157</v>
      </c>
      <c r="I66" s="2"/>
      <c r="J66" s="7">
        <f t="shared" si="37"/>
        <v>7.9998600811529319E-2</v>
      </c>
      <c r="K66" s="2"/>
      <c r="L66" s="6">
        <f t="shared" si="38"/>
        <v>-370.31999999999971</v>
      </c>
      <c r="M66" s="2"/>
      <c r="N66" s="7">
        <f t="shared" si="39"/>
        <v>-1.4720356163294498E-2</v>
      </c>
      <c r="O66" s="11"/>
      <c r="P66" s="6">
        <v>137583.88</v>
      </c>
      <c r="Q66" s="2"/>
      <c r="R66" s="7">
        <f t="shared" si="40"/>
        <v>7.8177239566445497E-2</v>
      </c>
      <c r="S66" s="2"/>
      <c r="T66" s="6">
        <v>136566</v>
      </c>
      <c r="U66" s="2"/>
      <c r="V66" s="7">
        <f t="shared" si="41"/>
        <v>8.0045155300472653E-2</v>
      </c>
      <c r="W66" s="2"/>
      <c r="X66" s="6">
        <f t="shared" si="42"/>
        <v>1017.8800000000047</v>
      </c>
      <c r="Y66" s="2"/>
      <c r="Z66" s="7">
        <f t="shared" si="43"/>
        <v>7.4533924988650514E-3</v>
      </c>
    </row>
    <row r="67" spans="1:26" s="27" customFormat="1" outlineLevel="1" collapsed="1" x14ac:dyDescent="0.25">
      <c r="A67" s="26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SUM(OSRRefD22_11x_0)</f>
        <v>-1554.56</v>
      </c>
      <c r="E67" s="1"/>
      <c r="F67" s="5">
        <f t="shared" si="36"/>
        <v>-4.942146059910486E-3</v>
      </c>
      <c r="G67" s="1"/>
      <c r="H67" s="1">
        <f>SUM(OSRRefH22_11x_0)</f>
        <v>497</v>
      </c>
      <c r="I67" s="1"/>
      <c r="J67" s="5">
        <f t="shared" si="37"/>
        <v>1.5804469771169085E-3</v>
      </c>
      <c r="K67" s="1"/>
      <c r="L67" s="1">
        <f t="shared" si="38"/>
        <v>-2051.56</v>
      </c>
      <c r="M67" s="1"/>
      <c r="N67" s="5">
        <f t="shared" si="39"/>
        <v>-4.1278873239436615</v>
      </c>
      <c r="O67" s="13"/>
      <c r="P67" s="1">
        <f>SUM(OSRRefP22_11x_0)</f>
        <v>-1414.73</v>
      </c>
      <c r="Q67" s="1"/>
      <c r="R67" s="5">
        <f t="shared" si="40"/>
        <v>-8.0387096316688732E-4</v>
      </c>
      <c r="S67" s="1"/>
      <c r="T67" s="1">
        <f>SUM(OSRRefT22_11x_0)</f>
        <v>4116</v>
      </c>
      <c r="U67" s="1"/>
      <c r="V67" s="5">
        <f t="shared" si="41"/>
        <v>2.4125028134143597E-3</v>
      </c>
      <c r="W67" s="1"/>
      <c r="X67" s="1">
        <f t="shared" si="42"/>
        <v>-5530.73</v>
      </c>
      <c r="Y67" s="1"/>
      <c r="Z67" s="5">
        <f t="shared" si="43"/>
        <v>-1.3437147716229347</v>
      </c>
    </row>
    <row r="68" spans="1:26" s="24" customFormat="1" hidden="1" outlineLevel="2" x14ac:dyDescent="0.25">
      <c r="A68" s="25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36"/>
        <v>0</v>
      </c>
      <c r="G68" s="2"/>
      <c r="H68" s="6">
        <v>497</v>
      </c>
      <c r="I68" s="2"/>
      <c r="J68" s="7">
        <f t="shared" si="37"/>
        <v>1.5804469771169085E-3</v>
      </c>
      <c r="K68" s="2"/>
      <c r="L68" s="6">
        <f t="shared" si="38"/>
        <v>-497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3976</v>
      </c>
      <c r="U68" s="2"/>
      <c r="V68" s="7">
        <f t="shared" si="41"/>
        <v>2.3304448945907419E-3</v>
      </c>
      <c r="W68" s="2"/>
      <c r="X68" s="6">
        <f t="shared" si="42"/>
        <v>-3976</v>
      </c>
      <c r="Y68" s="2"/>
      <c r="Z68" s="7">
        <f t="shared" si="43"/>
        <v>-1</v>
      </c>
    </row>
    <row r="69" spans="1:26" s="24" customFormat="1" hidden="1" outlineLevel="2" x14ac:dyDescent="0.25">
      <c r="A69" s="25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/>
      <c r="Q69" s="2"/>
      <c r="R69" s="7">
        <f t="shared" si="40"/>
        <v>0</v>
      </c>
      <c r="S69" s="2"/>
      <c r="T69" s="6">
        <v>140</v>
      </c>
      <c r="U69" s="2"/>
      <c r="V69" s="7">
        <f t="shared" si="41"/>
        <v>8.2057918823617672E-5</v>
      </c>
      <c r="W69" s="2"/>
      <c r="X69" s="6">
        <f t="shared" si="42"/>
        <v>-140</v>
      </c>
      <c r="Y69" s="2"/>
      <c r="Z69" s="7">
        <f t="shared" si="43"/>
        <v>-1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139.83000000000001</v>
      </c>
      <c r="Q70" s="2"/>
      <c r="R70" s="7">
        <f t="shared" si="40"/>
        <v>7.9453518890265892E-5</v>
      </c>
      <c r="S70" s="2"/>
      <c r="T70" s="6"/>
      <c r="U70" s="2"/>
      <c r="V70" s="7">
        <f t="shared" si="41"/>
        <v>0</v>
      </c>
      <c r="W70" s="2"/>
      <c r="X70" s="6">
        <f t="shared" si="42"/>
        <v>139.83000000000001</v>
      </c>
      <c r="Y70" s="2"/>
      <c r="Z70" s="7">
        <f t="shared" si="43"/>
        <v>0</v>
      </c>
    </row>
    <row r="71" spans="1:26" s="24" customFormat="1" hidden="1" outlineLevel="2" x14ac:dyDescent="0.25">
      <c r="A71" s="25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-1554.56</v>
      </c>
      <c r="E71" s="2"/>
      <c r="F71" s="7">
        <f t="shared" si="36"/>
        <v>-4.942146059910486E-3</v>
      </c>
      <c r="G71" s="2"/>
      <c r="H71" s="6"/>
      <c r="I71" s="2"/>
      <c r="J71" s="7">
        <f t="shared" si="37"/>
        <v>0</v>
      </c>
      <c r="K71" s="2"/>
      <c r="L71" s="6">
        <f t="shared" si="38"/>
        <v>-1554.56</v>
      </c>
      <c r="M71" s="2"/>
      <c r="N71" s="7">
        <f t="shared" si="39"/>
        <v>0</v>
      </c>
      <c r="O71" s="11"/>
      <c r="P71" s="6">
        <v>-1554.56</v>
      </c>
      <c r="Q71" s="2"/>
      <c r="R71" s="7">
        <f t="shared" si="40"/>
        <v>-8.833244820571532E-4</v>
      </c>
      <c r="S71" s="2"/>
      <c r="T71" s="6"/>
      <c r="U71" s="2"/>
      <c r="V71" s="7">
        <f t="shared" si="41"/>
        <v>0</v>
      </c>
      <c r="W71" s="2"/>
      <c r="X71" s="6">
        <f t="shared" si="42"/>
        <v>-1554.56</v>
      </c>
      <c r="Y71" s="2"/>
      <c r="Z71" s="7">
        <f t="shared" si="43"/>
        <v>0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SUM(OSRRefD22_12x_0)</f>
        <v>6531.38</v>
      </c>
      <c r="E72" s="1"/>
      <c r="F72" s="5">
        <f t="shared" ref="F72:F75" si="44">IF(D$12=0,0,D72/D$12)</f>
        <v>2.0764096550006529E-2</v>
      </c>
      <c r="G72" s="1"/>
      <c r="H72" s="1">
        <f>SUM(OSRRefH22_12x_0)</f>
        <v>6202</v>
      </c>
      <c r="I72" s="1"/>
      <c r="J72" s="5">
        <f t="shared" ref="J72:J75" si="45">IF(H$12=0,0,H72/H$12)</f>
        <v>1.972219748909269E-2</v>
      </c>
      <c r="K72" s="1"/>
      <c r="L72" s="1">
        <f t="shared" ref="L72:L75" si="46">+D72-H72</f>
        <v>329.38000000000011</v>
      </c>
      <c r="M72" s="1"/>
      <c r="N72" s="5">
        <f t="shared" ref="N72:N75" si="47">IF(H72=0,0,L72/H72)</f>
        <v>5.3108674621089987E-2</v>
      </c>
      <c r="O72" s="13"/>
      <c r="P72" s="1">
        <f>SUM(OSRRefP22_12x_0)</f>
        <v>49098.99</v>
      </c>
      <c r="Q72" s="1"/>
      <c r="R72" s="5">
        <f t="shared" ref="R72:R75" si="48">IF(P$12=0,0,P72/P$12)</f>
        <v>2.7898788024443791E-2</v>
      </c>
      <c r="S72" s="1"/>
      <c r="T72" s="1">
        <f>SUM(OSRRefT22_12x_0)</f>
        <v>44164</v>
      </c>
      <c r="U72" s="1"/>
      <c r="V72" s="5">
        <f t="shared" ref="V72:V75" si="49">IF(T$12=0,0,T72/T$12)</f>
        <v>2.5885756620901795E-2</v>
      </c>
      <c r="W72" s="1"/>
      <c r="X72" s="1">
        <f t="shared" ref="X72:X75" si="50">+P72-T72</f>
        <v>4934.989999999998</v>
      </c>
      <c r="Y72" s="1"/>
      <c r="Z72" s="5">
        <f t="shared" ref="Z72:Z75" si="51">IF(T72=0,0,X72/T72)</f>
        <v>0.11174236935060225</v>
      </c>
    </row>
    <row r="73" spans="1:26" s="24" customFormat="1" hidden="1" outlineLevel="2" x14ac:dyDescent="0.25">
      <c r="A73" s="25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1339.28</v>
      </c>
      <c r="E73" s="2"/>
      <c r="F73" s="7">
        <f t="shared" si="44"/>
        <v>4.257743268266851E-3</v>
      </c>
      <c r="G73" s="2"/>
      <c r="H73" s="6">
        <v>750</v>
      </c>
      <c r="I73" s="2"/>
      <c r="J73" s="7">
        <f t="shared" si="45"/>
        <v>2.3849803477619344E-3</v>
      </c>
      <c r="K73" s="2"/>
      <c r="L73" s="6">
        <f t="shared" si="46"/>
        <v>589.28</v>
      </c>
      <c r="M73" s="2"/>
      <c r="N73" s="7">
        <f t="shared" si="47"/>
        <v>0.78570666666666666</v>
      </c>
      <c r="O73" s="11"/>
      <c r="P73" s="6">
        <v>6176.76</v>
      </c>
      <c r="Q73" s="2"/>
      <c r="R73" s="7">
        <f t="shared" si="48"/>
        <v>3.5097283654483211E-3</v>
      </c>
      <c r="S73" s="2"/>
      <c r="T73" s="6">
        <v>6000</v>
      </c>
      <c r="U73" s="2"/>
      <c r="V73" s="7">
        <f t="shared" si="49"/>
        <v>3.5167679495836145E-3</v>
      </c>
      <c r="W73" s="2"/>
      <c r="X73" s="6">
        <f t="shared" si="50"/>
        <v>176.76000000000022</v>
      </c>
      <c r="Y73" s="2"/>
      <c r="Z73" s="7">
        <f t="shared" si="51"/>
        <v>2.9460000000000035E-2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6">
        <v>3897.05</v>
      </c>
      <c r="E74" s="2"/>
      <c r="F74" s="7">
        <f t="shared" si="44"/>
        <v>1.2389222868705073E-2</v>
      </c>
      <c r="G74" s="2"/>
      <c r="H74" s="6">
        <v>3852</v>
      </c>
      <c r="I74" s="2"/>
      <c r="J74" s="7">
        <f t="shared" si="45"/>
        <v>1.2249259066105295E-2</v>
      </c>
      <c r="K74" s="2"/>
      <c r="L74" s="6">
        <f t="shared" si="46"/>
        <v>45.050000000000182</v>
      </c>
      <c r="M74" s="2"/>
      <c r="N74" s="7">
        <f t="shared" si="47"/>
        <v>1.1695223260643869E-2</v>
      </c>
      <c r="O74" s="11"/>
      <c r="P74" s="6">
        <v>31175.219999999998</v>
      </c>
      <c r="Q74" s="2"/>
      <c r="R74" s="7">
        <f t="shared" si="48"/>
        <v>1.7714231074720692E-2</v>
      </c>
      <c r="S74" s="2"/>
      <c r="T74" s="6">
        <v>26964</v>
      </c>
      <c r="U74" s="2"/>
      <c r="V74" s="7">
        <f t="shared" si="49"/>
        <v>1.5804355165428764E-2</v>
      </c>
      <c r="W74" s="2"/>
      <c r="X74" s="6">
        <f t="shared" si="50"/>
        <v>4211.2199999999975</v>
      </c>
      <c r="Y74" s="2"/>
      <c r="Z74" s="7">
        <f t="shared" si="51"/>
        <v>0.15617935024477073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6">
        <v>1295.05</v>
      </c>
      <c r="E75" s="2"/>
      <c r="F75" s="7">
        <f t="shared" si="44"/>
        <v>4.117130413034604E-3</v>
      </c>
      <c r="G75" s="2"/>
      <c r="H75" s="6">
        <v>1600</v>
      </c>
      <c r="I75" s="2"/>
      <c r="J75" s="7">
        <f t="shared" si="45"/>
        <v>5.0879580752254605E-3</v>
      </c>
      <c r="K75" s="2"/>
      <c r="L75" s="6">
        <f t="shared" si="46"/>
        <v>-304.95000000000005</v>
      </c>
      <c r="M75" s="2"/>
      <c r="N75" s="7">
        <f t="shared" si="47"/>
        <v>-0.19059375000000003</v>
      </c>
      <c r="O75" s="11"/>
      <c r="P75" s="6">
        <v>11747.01</v>
      </c>
      <c r="Q75" s="2"/>
      <c r="R75" s="7">
        <f t="shared" si="48"/>
        <v>6.6748285842747786E-3</v>
      </c>
      <c r="S75" s="2"/>
      <c r="T75" s="6">
        <v>11200</v>
      </c>
      <c r="U75" s="2"/>
      <c r="V75" s="7">
        <f t="shared" si="49"/>
        <v>6.564633505889414E-3</v>
      </c>
      <c r="W75" s="2"/>
      <c r="X75" s="6">
        <f t="shared" si="50"/>
        <v>547.01000000000022</v>
      </c>
      <c r="Y75" s="2"/>
      <c r="Z75" s="7">
        <f t="shared" si="51"/>
        <v>4.884017857142859E-2</v>
      </c>
    </row>
    <row r="76" spans="1:26" s="27" customFormat="1" outlineLevel="1" collapsed="1" x14ac:dyDescent="0.25">
      <c r="A76" s="26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SUM(OSRRefD22_13x_0)</f>
        <v>4322.4399999999996</v>
      </c>
      <c r="E76" s="1"/>
      <c r="F76" s="5">
        <f t="shared" ref="F76:F82" si="52">IF(D$12=0,0,D76/D$12)</f>
        <v>1.3741592357451291E-2</v>
      </c>
      <c r="G76" s="1"/>
      <c r="H76" s="1">
        <f>SUM(OSRRefH22_13x_0)</f>
        <v>5088</v>
      </c>
      <c r="I76" s="1"/>
      <c r="J76" s="5">
        <f t="shared" ref="J76:J82" si="53">IF(H$12=0,0,H76/H$12)</f>
        <v>1.6179706679216962E-2</v>
      </c>
      <c r="K76" s="1"/>
      <c r="L76" s="1">
        <f t="shared" ref="L76:L82" si="54">+D76-H76</f>
        <v>-765.5600000000004</v>
      </c>
      <c r="M76" s="1"/>
      <c r="N76" s="5">
        <f t="shared" ref="N76:N82" si="55">IF(H76=0,0,L76/H76)</f>
        <v>-0.1504638364779875</v>
      </c>
      <c r="O76" s="13"/>
      <c r="P76" s="1">
        <f>SUM(OSRRefP22_13x_0)</f>
        <v>39140</v>
      </c>
      <c r="Q76" s="1"/>
      <c r="R76" s="5">
        <f t="shared" ref="R76:R82" si="56">IF(P$12=0,0,P76/P$12)</f>
        <v>2.2239939421905219E-2</v>
      </c>
      <c r="S76" s="1"/>
      <c r="T76" s="1">
        <f>SUM(OSRRefT22_13x_0)</f>
        <v>41616</v>
      </c>
      <c r="U76" s="1"/>
      <c r="V76" s="5">
        <f t="shared" ref="V76:V82" si="57">IF(T$12=0,0,T76/T$12)</f>
        <v>2.4392302498311952E-2</v>
      </c>
      <c r="W76" s="1"/>
      <c r="X76" s="1">
        <f t="shared" ref="X76:X82" si="58">+P76-T76</f>
        <v>-2476</v>
      </c>
      <c r="Y76" s="1"/>
      <c r="Z76" s="5">
        <f t="shared" ref="Z76:Z82" si="59">IF(T76=0,0,X76/T76)</f>
        <v>-5.9496347558631299E-2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6">
        <v>1280.57</v>
      </c>
      <c r="E77" s="2"/>
      <c r="F77" s="7">
        <f t="shared" si="52"/>
        <v>4.0710966318055078E-3</v>
      </c>
      <c r="G77" s="2"/>
      <c r="H77" s="6">
        <v>2005</v>
      </c>
      <c r="I77" s="2"/>
      <c r="J77" s="7">
        <f t="shared" si="53"/>
        <v>6.3758474630169048E-3</v>
      </c>
      <c r="K77" s="2"/>
      <c r="L77" s="6">
        <f t="shared" si="54"/>
        <v>-724.43000000000006</v>
      </c>
      <c r="M77" s="2"/>
      <c r="N77" s="7">
        <f t="shared" si="55"/>
        <v>-0.3613117206982544</v>
      </c>
      <c r="O77" s="11"/>
      <c r="P77" s="6">
        <v>10673.21</v>
      </c>
      <c r="Q77" s="2"/>
      <c r="R77" s="7">
        <f t="shared" si="56"/>
        <v>6.0646791987039594E-3</v>
      </c>
      <c r="S77" s="2"/>
      <c r="T77" s="6">
        <v>14035</v>
      </c>
      <c r="U77" s="2"/>
      <c r="V77" s="7">
        <f t="shared" si="57"/>
        <v>8.2263063620676719E-3</v>
      </c>
      <c r="W77" s="2"/>
      <c r="X77" s="6">
        <f t="shared" si="58"/>
        <v>-3361.7900000000009</v>
      </c>
      <c r="Y77" s="2"/>
      <c r="Z77" s="7">
        <f t="shared" si="59"/>
        <v>-0.23952903455646604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6">
        <v>428.79</v>
      </c>
      <c r="E78" s="2"/>
      <c r="F78" s="7">
        <f t="shared" si="52"/>
        <v>1.36317852577515E-3</v>
      </c>
      <c r="G78" s="2"/>
      <c r="H78" s="6">
        <v>750</v>
      </c>
      <c r="I78" s="2"/>
      <c r="J78" s="7">
        <f t="shared" si="53"/>
        <v>2.3849803477619344E-3</v>
      </c>
      <c r="K78" s="2"/>
      <c r="L78" s="6">
        <f t="shared" si="54"/>
        <v>-321.20999999999998</v>
      </c>
      <c r="M78" s="2"/>
      <c r="N78" s="7">
        <f t="shared" si="55"/>
        <v>-0.42827999999999999</v>
      </c>
      <c r="O78" s="11"/>
      <c r="P78" s="6">
        <v>4463.4799999999996</v>
      </c>
      <c r="Q78" s="2"/>
      <c r="R78" s="7">
        <f t="shared" si="56"/>
        <v>2.5362167810650356E-3</v>
      </c>
      <c r="S78" s="2"/>
      <c r="T78" s="6">
        <v>5250</v>
      </c>
      <c r="U78" s="2"/>
      <c r="V78" s="7">
        <f t="shared" si="57"/>
        <v>3.0771719558856628E-3</v>
      </c>
      <c r="W78" s="2"/>
      <c r="X78" s="6">
        <f t="shared" si="58"/>
        <v>-786.52000000000044</v>
      </c>
      <c r="Y78" s="2"/>
      <c r="Z78" s="7">
        <f t="shared" si="59"/>
        <v>-0.14981333333333341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>
        <v>364.63</v>
      </c>
      <c r="E79" s="2"/>
      <c r="F79" s="7">
        <f t="shared" si="52"/>
        <v>1.159205638782138E-3</v>
      </c>
      <c r="G79" s="2"/>
      <c r="H79" s="6">
        <v>524</v>
      </c>
      <c r="I79" s="2"/>
      <c r="J79" s="7">
        <f t="shared" si="53"/>
        <v>1.6663062696363382E-3</v>
      </c>
      <c r="K79" s="2"/>
      <c r="L79" s="6">
        <f t="shared" si="54"/>
        <v>-159.37</v>
      </c>
      <c r="M79" s="2"/>
      <c r="N79" s="7">
        <f t="shared" si="55"/>
        <v>-0.30414122137404581</v>
      </c>
      <c r="O79" s="11"/>
      <c r="P79" s="6">
        <v>18489.099999999999</v>
      </c>
      <c r="Q79" s="2"/>
      <c r="R79" s="7">
        <f t="shared" si="56"/>
        <v>1.0505785998097796E-2</v>
      </c>
      <c r="S79" s="2"/>
      <c r="T79" s="6">
        <v>3668</v>
      </c>
      <c r="U79" s="2"/>
      <c r="V79" s="7">
        <f t="shared" si="57"/>
        <v>2.1499174731787829E-3</v>
      </c>
      <c r="W79" s="2"/>
      <c r="X79" s="6">
        <f t="shared" si="58"/>
        <v>14821.099999999999</v>
      </c>
      <c r="Y79" s="2"/>
      <c r="Z79" s="7">
        <f t="shared" si="59"/>
        <v>4.040648854961832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6">
        <v>2248.4499999999998</v>
      </c>
      <c r="E80" s="2"/>
      <c r="F80" s="7">
        <f t="shared" si="52"/>
        <v>7.1481115610884955E-3</v>
      </c>
      <c r="G80" s="2"/>
      <c r="H80" s="6">
        <v>1809</v>
      </c>
      <c r="I80" s="2"/>
      <c r="J80" s="7">
        <f t="shared" si="53"/>
        <v>5.752572598801786E-3</v>
      </c>
      <c r="K80" s="2"/>
      <c r="L80" s="6">
        <f t="shared" si="54"/>
        <v>439.44999999999982</v>
      </c>
      <c r="M80" s="2"/>
      <c r="N80" s="7">
        <f t="shared" si="55"/>
        <v>0.24292426755113311</v>
      </c>
      <c r="O80" s="11"/>
      <c r="P80" s="6">
        <v>12374.72</v>
      </c>
      <c r="Q80" s="2"/>
      <c r="R80" s="7">
        <f t="shared" si="56"/>
        <v>7.0315028912375814E-3</v>
      </c>
      <c r="S80" s="2"/>
      <c r="T80" s="6">
        <v>12663</v>
      </c>
      <c r="U80" s="2"/>
      <c r="V80" s="7">
        <f t="shared" si="57"/>
        <v>7.4221387575962184E-3</v>
      </c>
      <c r="W80" s="2"/>
      <c r="X80" s="6">
        <f t="shared" si="58"/>
        <v>-288.28000000000065</v>
      </c>
      <c r="Y80" s="2"/>
      <c r="Z80" s="7">
        <f t="shared" si="59"/>
        <v>-2.2765537392403116E-2</v>
      </c>
    </row>
    <row r="81" spans="1:26" s="24" customFormat="1" hidden="1" outlineLevel="2" x14ac:dyDescent="0.25">
      <c r="A81" s="25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>
        <v>469.44</v>
      </c>
      <c r="Q81" s="2"/>
      <c r="R81" s="7">
        <f t="shared" si="56"/>
        <v>2.6674290143636142E-4</v>
      </c>
      <c r="S81" s="2"/>
      <c r="T81" s="6"/>
      <c r="U81" s="2"/>
      <c r="V81" s="7">
        <f t="shared" si="57"/>
        <v>0</v>
      </c>
      <c r="W81" s="2"/>
      <c r="X81" s="6">
        <f t="shared" si="58"/>
        <v>469.44</v>
      </c>
      <c r="Y81" s="2"/>
      <c r="Z81" s="7">
        <f t="shared" si="59"/>
        <v>0</v>
      </c>
    </row>
    <row r="82" spans="1:26" s="24" customFormat="1" hidden="1" outlineLevel="2" x14ac:dyDescent="0.25">
      <c r="A82" s="25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>
        <v>-7329.95</v>
      </c>
      <c r="Q82" s="2"/>
      <c r="R82" s="7">
        <f t="shared" si="56"/>
        <v>-4.1649883486355177E-3</v>
      </c>
      <c r="S82" s="2"/>
      <c r="T82" s="6">
        <v>6000</v>
      </c>
      <c r="U82" s="2"/>
      <c r="V82" s="7">
        <f t="shared" si="57"/>
        <v>3.5167679495836145E-3</v>
      </c>
      <c r="W82" s="2"/>
      <c r="X82" s="6">
        <f t="shared" si="58"/>
        <v>-13329.95</v>
      </c>
      <c r="Y82" s="2"/>
      <c r="Z82" s="7">
        <f t="shared" si="59"/>
        <v>-2.2216583333333335</v>
      </c>
    </row>
    <row r="83" spans="1:26" s="27" customFormat="1" outlineLevel="1" collapsed="1" x14ac:dyDescent="0.25">
      <c r="A83" s="26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SUM(OSRRefD22_14x_0)</f>
        <v>161</v>
      </c>
      <c r="E83" s="1"/>
      <c r="F83" s="5">
        <f t="shared" ref="F83:F89" si="60">IF(D$12=0,0,D83/D$12)</f>
        <v>5.1183969460528262E-4</v>
      </c>
      <c r="G83" s="1"/>
      <c r="H83" s="1">
        <f>SUM(OSRRefH22_14x_0)</f>
        <v>233</v>
      </c>
      <c r="I83" s="1"/>
      <c r="J83" s="5">
        <f t="shared" ref="J83:J89" si="61">IF(H$12=0,0,H83/H$12)</f>
        <v>7.4093389470470761E-4</v>
      </c>
      <c r="K83" s="1"/>
      <c r="L83" s="1">
        <f t="shared" ref="L83:L89" si="62">+D83-H83</f>
        <v>-72</v>
      </c>
      <c r="M83" s="1"/>
      <c r="N83" s="5">
        <f t="shared" ref="N83:N89" si="63">IF(H83=0,0,L83/H83)</f>
        <v>-0.30901287553648071</v>
      </c>
      <c r="O83" s="13"/>
      <c r="P83" s="1">
        <f>SUM(OSRRefP22_14x_0)</f>
        <v>1110</v>
      </c>
      <c r="Q83" s="1"/>
      <c r="R83" s="5">
        <f t="shared" ref="R83:R89" si="64">IF(P$12=0,0,P83/P$12)</f>
        <v>6.3071877256808356E-4</v>
      </c>
      <c r="S83" s="1"/>
      <c r="T83" s="1">
        <f>SUM(OSRRefT22_14x_0)</f>
        <v>1864</v>
      </c>
      <c r="U83" s="1"/>
      <c r="V83" s="5">
        <f t="shared" ref="V83:V89" si="65">IF(T$12=0,0,T83/T$12)</f>
        <v>1.0925425763373096E-3</v>
      </c>
      <c r="W83" s="1"/>
      <c r="X83" s="1">
        <f t="shared" ref="X83:X89" si="66">+P83-T83</f>
        <v>-754</v>
      </c>
      <c r="Y83" s="1"/>
      <c r="Z83" s="5">
        <f t="shared" ref="Z83:Z89" si="67">IF(T83=0,0,X83/T83)</f>
        <v>-0.40450643776824036</v>
      </c>
    </row>
    <row r="84" spans="1:26" s="24" customFormat="1" hidden="1" outlineLevel="2" x14ac:dyDescent="0.25">
      <c r="A84" s="25"/>
      <c r="B84" s="11" t="str">
        <f>CONCATENATE("          ", "6309", " - ", "TELEPHONE")</f>
        <v xml:space="preserve">          6309 - TELEPHONE</v>
      </c>
      <c r="C84" s="11"/>
      <c r="D84" s="6">
        <v>161</v>
      </c>
      <c r="E84" s="2"/>
      <c r="F84" s="7">
        <f t="shared" si="60"/>
        <v>5.1183969460528262E-4</v>
      </c>
      <c r="G84" s="2"/>
      <c r="H84" s="6">
        <v>233</v>
      </c>
      <c r="I84" s="2"/>
      <c r="J84" s="7">
        <f t="shared" si="61"/>
        <v>7.4093389470470761E-4</v>
      </c>
      <c r="K84" s="2"/>
      <c r="L84" s="6">
        <f t="shared" si="62"/>
        <v>-72</v>
      </c>
      <c r="M84" s="2"/>
      <c r="N84" s="7">
        <f t="shared" si="63"/>
        <v>-0.30901287553648071</v>
      </c>
      <c r="O84" s="11"/>
      <c r="P84" s="6">
        <v>1110</v>
      </c>
      <c r="Q84" s="2"/>
      <c r="R84" s="7">
        <f t="shared" si="64"/>
        <v>6.3071877256808356E-4</v>
      </c>
      <c r="S84" s="2"/>
      <c r="T84" s="6">
        <v>1864</v>
      </c>
      <c r="U84" s="2"/>
      <c r="V84" s="7">
        <f t="shared" si="65"/>
        <v>1.0925425763373096E-3</v>
      </c>
      <c r="W84" s="2"/>
      <c r="X84" s="6">
        <f t="shared" si="66"/>
        <v>-754</v>
      </c>
      <c r="Y84" s="2"/>
      <c r="Z84" s="7">
        <f t="shared" si="67"/>
        <v>-0.40450643776824036</v>
      </c>
    </row>
    <row r="85" spans="1:26" s="27" customFormat="1" outlineLevel="1" collapsed="1" x14ac:dyDescent="0.25">
      <c r="A85" s="26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SUM(OSRRefD22_15x_0)</f>
        <v>101.32</v>
      </c>
      <c r="E85" s="1"/>
      <c r="F85" s="5">
        <f t="shared" si="60"/>
        <v>3.2210930346215677E-4</v>
      </c>
      <c r="G85" s="1"/>
      <c r="H85" s="1">
        <f>SUM(OSRRefH22_15x_0)</f>
        <v>0</v>
      </c>
      <c r="I85" s="1"/>
      <c r="J85" s="5">
        <f t="shared" si="61"/>
        <v>0</v>
      </c>
      <c r="K85" s="1"/>
      <c r="L85" s="1">
        <f t="shared" si="62"/>
        <v>101.32</v>
      </c>
      <c r="M85" s="1"/>
      <c r="N85" s="5">
        <f t="shared" si="63"/>
        <v>0</v>
      </c>
      <c r="O85" s="13"/>
      <c r="P85" s="1">
        <f>SUM(OSRRefP22_15x_0)</f>
        <v>1657.1</v>
      </c>
      <c r="Q85" s="1"/>
      <c r="R85" s="5">
        <f t="shared" si="64"/>
        <v>9.4158925947979393E-4</v>
      </c>
      <c r="S85" s="1"/>
      <c r="T85" s="1">
        <f>SUM(OSRRefT22_15x_0)</f>
        <v>4137</v>
      </c>
      <c r="U85" s="1"/>
      <c r="V85" s="5">
        <f t="shared" si="65"/>
        <v>2.4248115012379021E-3</v>
      </c>
      <c r="W85" s="1"/>
      <c r="X85" s="1">
        <f t="shared" si="66"/>
        <v>-2479.9</v>
      </c>
      <c r="Y85" s="1"/>
      <c r="Z85" s="5">
        <f t="shared" si="67"/>
        <v>-0.59944404157602127</v>
      </c>
    </row>
    <row r="86" spans="1:26" s="24" customFormat="1" hidden="1" outlineLevel="2" x14ac:dyDescent="0.25">
      <c r="A86" s="25"/>
      <c r="B86" s="11" t="str">
        <f>CONCATENATE("          ", "6376", " - ", "TRAINING")</f>
        <v xml:space="preserve">          6376 - TRAINING</v>
      </c>
      <c r="C86" s="11"/>
      <c r="D86" s="6">
        <v>101.32</v>
      </c>
      <c r="E86" s="2"/>
      <c r="F86" s="7">
        <f t="shared" si="60"/>
        <v>3.2210930346215677E-4</v>
      </c>
      <c r="G86" s="2"/>
      <c r="H86" s="6"/>
      <c r="I86" s="2"/>
      <c r="J86" s="7">
        <f t="shared" si="61"/>
        <v>0</v>
      </c>
      <c r="K86" s="2"/>
      <c r="L86" s="6">
        <f t="shared" si="62"/>
        <v>101.32</v>
      </c>
      <c r="M86" s="2"/>
      <c r="N86" s="7">
        <f t="shared" si="63"/>
        <v>0</v>
      </c>
      <c r="O86" s="11"/>
      <c r="P86" s="6">
        <v>1657.1</v>
      </c>
      <c r="Q86" s="2"/>
      <c r="R86" s="7">
        <f t="shared" si="64"/>
        <v>9.4158925947979393E-4</v>
      </c>
      <c r="S86" s="2"/>
      <c r="T86" s="6">
        <v>4137</v>
      </c>
      <c r="U86" s="2"/>
      <c r="V86" s="7">
        <f t="shared" si="65"/>
        <v>2.4248115012379021E-3</v>
      </c>
      <c r="W86" s="2"/>
      <c r="X86" s="6">
        <f t="shared" si="66"/>
        <v>-2479.9</v>
      </c>
      <c r="Y86" s="2"/>
      <c r="Z86" s="7">
        <f t="shared" si="67"/>
        <v>-0.59944404157602127</v>
      </c>
    </row>
    <row r="87" spans="1:26" s="27" customFormat="1" outlineLevel="1" collapsed="1" x14ac:dyDescent="0.25">
      <c r="A87" s="26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50</v>
      </c>
      <c r="I87" s="1"/>
      <c r="J87" s="5">
        <f t="shared" si="61"/>
        <v>1.5899868985079564E-4</v>
      </c>
      <c r="K87" s="1"/>
      <c r="L87" s="1">
        <f t="shared" si="62"/>
        <v>-50</v>
      </c>
      <c r="M87" s="1"/>
      <c r="N87" s="5">
        <f t="shared" si="63"/>
        <v>-1</v>
      </c>
      <c r="O87" s="13"/>
      <c r="P87" s="1">
        <f>SUM(OSRRefP22_16x_0)</f>
        <v>79.510000000000005</v>
      </c>
      <c r="Q87" s="1"/>
      <c r="R87" s="5">
        <f t="shared" si="64"/>
        <v>4.5178783429629126E-5</v>
      </c>
      <c r="S87" s="1"/>
      <c r="T87" s="1">
        <f>SUM(OSRRefT22_16x_0)</f>
        <v>400</v>
      </c>
      <c r="U87" s="1"/>
      <c r="V87" s="5">
        <f t="shared" si="65"/>
        <v>2.3445119663890765E-4</v>
      </c>
      <c r="W87" s="1"/>
      <c r="X87" s="1">
        <f t="shared" si="66"/>
        <v>-320.49</v>
      </c>
      <c r="Y87" s="1"/>
      <c r="Z87" s="5">
        <f t="shared" si="67"/>
        <v>-0.80122500000000008</v>
      </c>
    </row>
    <row r="88" spans="1:26" s="24" customFormat="1" hidden="1" outlineLevel="2" x14ac:dyDescent="0.25">
      <c r="A88" s="25"/>
      <c r="B88" s="11" t="str">
        <f>CONCATENATE("          ", "6292", " - ", "TRAVEL/CONFERENCE")</f>
        <v xml:space="preserve">          6292 - TRAVEL/CONFERENCE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>
        <v>79.510000000000005</v>
      </c>
      <c r="Q88" s="2"/>
      <c r="R88" s="7">
        <f t="shared" si="64"/>
        <v>4.5178783429629126E-5</v>
      </c>
      <c r="S88" s="2"/>
      <c r="T88" s="6"/>
      <c r="U88" s="2"/>
      <c r="V88" s="7">
        <f t="shared" si="65"/>
        <v>0</v>
      </c>
      <c r="W88" s="2"/>
      <c r="X88" s="6">
        <f t="shared" si="66"/>
        <v>79.510000000000005</v>
      </c>
      <c r="Y88" s="2"/>
      <c r="Z88" s="7">
        <f t="shared" si="67"/>
        <v>0</v>
      </c>
    </row>
    <row r="89" spans="1:26" s="24" customFormat="1" hidden="1" outlineLevel="2" x14ac:dyDescent="0.25">
      <c r="A89" s="25"/>
      <c r="B89" s="11" t="str">
        <f>CONCATENATE("          ", "6298", " - ", "VEHICLE MILEAGE")</f>
        <v xml:space="preserve">          6298 - VEHICLE MILEAGE</v>
      </c>
      <c r="C89" s="11"/>
      <c r="D89" s="6"/>
      <c r="E89" s="2"/>
      <c r="F89" s="7">
        <f t="shared" si="60"/>
        <v>0</v>
      </c>
      <c r="G89" s="2"/>
      <c r="H89" s="6">
        <v>50</v>
      </c>
      <c r="I89" s="2"/>
      <c r="J89" s="7">
        <f t="shared" si="61"/>
        <v>1.5899868985079564E-4</v>
      </c>
      <c r="K89" s="2"/>
      <c r="L89" s="6">
        <f t="shared" si="62"/>
        <v>-50</v>
      </c>
      <c r="M89" s="2"/>
      <c r="N89" s="7">
        <f t="shared" si="63"/>
        <v>-1</v>
      </c>
      <c r="O89" s="11"/>
      <c r="P89" s="6"/>
      <c r="Q89" s="2"/>
      <c r="R89" s="7">
        <f t="shared" si="64"/>
        <v>0</v>
      </c>
      <c r="S89" s="2"/>
      <c r="T89" s="6">
        <v>400</v>
      </c>
      <c r="U89" s="2"/>
      <c r="V89" s="7">
        <f t="shared" si="65"/>
        <v>2.3445119663890765E-4</v>
      </c>
      <c r="W89" s="2"/>
      <c r="X89" s="6">
        <f t="shared" si="66"/>
        <v>-400</v>
      </c>
      <c r="Y89" s="2"/>
      <c r="Z89" s="7">
        <f t="shared" si="67"/>
        <v>-1</v>
      </c>
    </row>
    <row r="90" spans="1:26" s="53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1">
        <f>+D23-D25+D91</f>
        <v>100597.42000000001</v>
      </c>
      <c r="E93" s="14"/>
      <c r="F93" s="22">
        <f>IF(D$12=0,0,D93/D$12)</f>
        <v>0.31981212876322584</v>
      </c>
      <c r="G93" s="14"/>
      <c r="H93" s="21">
        <f>+H23-H25+H91</f>
        <v>121409.12098666771</v>
      </c>
      <c r="I93" s="14"/>
      <c r="J93" s="22">
        <f>IF(H$12=0,0,H93/H$12)</f>
        <v>0.38607782345633801</v>
      </c>
      <c r="K93" s="15"/>
      <c r="L93" s="21">
        <f>+D93-H93</f>
        <v>-20811.700986667696</v>
      </c>
      <c r="M93" s="15"/>
      <c r="N93" s="22">
        <f>IF(H93=0,0,L93/H93)</f>
        <v>-0.17141793645761663</v>
      </c>
      <c r="O93" s="29"/>
      <c r="P93" s="21">
        <f>+P23-P25+P91</f>
        <v>361909.73000000033</v>
      </c>
      <c r="Q93" s="14"/>
      <c r="R93" s="22">
        <f>IF(P$12=0,0,P93/P$12)</f>
        <v>0.20564257719463672</v>
      </c>
      <c r="S93" s="14"/>
      <c r="T93" s="21">
        <f>+T23-T25+T91</f>
        <v>493555.0322331317</v>
      </c>
      <c r="U93" s="14"/>
      <c r="V93" s="22">
        <f>IF(T$12=0,0,T93/T$12)</f>
        <v>0.28928641978553088</v>
      </c>
      <c r="W93" s="15"/>
      <c r="X93" s="21">
        <f>+P93-T93</f>
        <v>-131645.30223313137</v>
      </c>
      <c r="Y93" s="15"/>
      <c r="Z93" s="22">
        <f>IF(T93=0,0,X93/T93)</f>
        <v>-0.2667287204782231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28639.230000000003</v>
      </c>
      <c r="E95" s="4"/>
      <c r="F95" s="12">
        <f>IF(D$12=0,0,D95/D$12)</f>
        <v>9.1047793397083548E-2</v>
      </c>
      <c r="G95" s="4"/>
      <c r="H95" s="4">
        <v>33817</v>
      </c>
      <c r="I95" s="4"/>
      <c r="J95" s="12">
        <f>IF(H$12=0,0,H95/H$12)</f>
        <v>0.10753717389368711</v>
      </c>
      <c r="K95" s="4"/>
      <c r="L95" s="4">
        <f>+D95-H95</f>
        <v>-5177.7699999999968</v>
      </c>
      <c r="M95" s="4"/>
      <c r="N95" s="12">
        <f>IF(H95=0,0,L95/H95)</f>
        <v>-0.15311145281958768</v>
      </c>
      <c r="O95" s="10"/>
      <c r="P95" s="4">
        <v>179368.27</v>
      </c>
      <c r="Q95" s="4"/>
      <c r="R95" s="12">
        <f>IF(P$12=0,0,P95/P$12)</f>
        <v>0.10191976134419875</v>
      </c>
      <c r="S95" s="4"/>
      <c r="T95" s="4">
        <v>205163</v>
      </c>
      <c r="U95" s="4"/>
      <c r="V95" s="12">
        <f>IF(T$12=0,0,T95/T$12)</f>
        <v>0.12025177714007053</v>
      </c>
      <c r="W95" s="4"/>
      <c r="X95" s="4">
        <f>+P95-T95</f>
        <v>-25794.73000000001</v>
      </c>
      <c r="Y95" s="4"/>
      <c r="Z95" s="12">
        <f>IF(T95=0,0,X95/T95)</f>
        <v>-0.12572798214102937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71958.19</v>
      </c>
      <c r="E97" s="14"/>
      <c r="F97" s="32">
        <f>IF(D$12=0,0,D97/D$12)</f>
        <v>0.22876433536614227</v>
      </c>
      <c r="G97" s="14"/>
      <c r="H97" s="31">
        <f>+H93-H95</f>
        <v>87592.120986667709</v>
      </c>
      <c r="I97" s="14"/>
      <c r="J97" s="32">
        <f>IF(H$12=0,0,H97/H$12)</f>
        <v>0.2785406495626509</v>
      </c>
      <c r="K97" s="15"/>
      <c r="L97" s="31">
        <f>D97-H97</f>
        <v>-15633.930986667707</v>
      </c>
      <c r="M97" s="15"/>
      <c r="N97" s="32">
        <f>IF(H97=0,0,L97/H97)</f>
        <v>-0.17848558535358824</v>
      </c>
      <c r="O97" s="29"/>
      <c r="P97" s="31">
        <f>+P93-P95</f>
        <v>182541.46000000034</v>
      </c>
      <c r="Q97" s="14"/>
      <c r="R97" s="32">
        <f>IF(P$12=0,0,P97/P$12)</f>
        <v>0.10372281585043797</v>
      </c>
      <c r="S97" s="14"/>
      <c r="T97" s="31">
        <f>+T93-T95</f>
        <v>288392.0322331317</v>
      </c>
      <c r="U97" s="14"/>
      <c r="V97" s="32">
        <f>IF(T$12=0,0,T97/T$12)</f>
        <v>0.16903464264546039</v>
      </c>
      <c r="W97" s="15"/>
      <c r="X97" s="31">
        <f>P97-T97</f>
        <v>-105850.57223313136</v>
      </c>
      <c r="Y97" s="15"/>
      <c r="Z97" s="32">
        <f>IF(T97=0,0,X97/T97)</f>
        <v>-0.36703708980268701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3">
        <f>SUM(D97:D99)</f>
        <v>71958.19</v>
      </c>
      <c r="E100" s="14"/>
      <c r="F100" s="30">
        <f>IF(D$12=0,0,D100/D$12)</f>
        <v>0.22876433536614227</v>
      </c>
      <c r="G100" s="14"/>
      <c r="H100" s="33">
        <f>SUM(H97:H99)</f>
        <v>87592.120986667709</v>
      </c>
      <c r="I100" s="14"/>
      <c r="J100" s="30">
        <f>IF(H$12=0,0,H100/H$12)</f>
        <v>0.2785406495626509</v>
      </c>
      <c r="K100" s="15"/>
      <c r="L100" s="33">
        <f>+D100-H100</f>
        <v>-15633.930986667707</v>
      </c>
      <c r="M100" s="15"/>
      <c r="N100" s="30">
        <f>IF(H100=0,0,L100/H100)</f>
        <v>-0.17848558535358824</v>
      </c>
      <c r="O100" s="29"/>
      <c r="P100" s="33">
        <f>SUM(P97:P99)</f>
        <v>182541.46000000034</v>
      </c>
      <c r="Q100" s="14"/>
      <c r="R100" s="30">
        <f>IF(P$12=0,0,P100/P$12)</f>
        <v>0.10372281585043797</v>
      </c>
      <c r="S100" s="14"/>
      <c r="T100" s="33">
        <f>SUM(T97:T99)</f>
        <v>288392.0322331317</v>
      </c>
      <c r="U100" s="14"/>
      <c r="V100" s="30">
        <f>IF(T$12=0,0,T100/T$12)</f>
        <v>0.16903464264546039</v>
      </c>
      <c r="W100" s="15"/>
      <c r="X100" s="33">
        <f>+P100-T100</f>
        <v>-105850.57223313136</v>
      </c>
      <c r="Y100" s="15"/>
      <c r="Z100" s="30">
        <f>IF(T100=0,0,X100/T100)</f>
        <v>-0.36703708980268701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9">
        <v>43908.495421331019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63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7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144535</v>
      </c>
      <c r="E12" s="4"/>
      <c r="F12" s="12"/>
      <c r="G12" s="4"/>
      <c r="H12" s="4">
        <f>SUM(OSRRefH13x_0)</f>
        <v>26624</v>
      </c>
      <c r="I12" s="4"/>
      <c r="J12" s="12"/>
      <c r="K12" s="4"/>
      <c r="L12" s="4">
        <f t="shared" ref="L12:L13" si="0">+D12-H12</f>
        <v>117911</v>
      </c>
      <c r="M12" s="4"/>
      <c r="N12" s="12">
        <f t="shared" ref="N12:N13" si="1">IF(H12=0,0,L12/H12)</f>
        <v>4.4287484975961542</v>
      </c>
      <c r="O12" s="10"/>
      <c r="P12" s="4">
        <f>SUM(OSRRefP13x_0)</f>
        <v>336180</v>
      </c>
      <c r="Q12" s="4"/>
      <c r="R12" s="12"/>
      <c r="S12" s="4"/>
      <c r="T12" s="4">
        <f>SUM(OSRRefT13x_0)</f>
        <v>358574</v>
      </c>
      <c r="U12" s="4"/>
      <c r="V12" s="12"/>
      <c r="W12" s="4"/>
      <c r="X12" s="4">
        <f t="shared" ref="X12:X13" si="2">+P12-T12</f>
        <v>-22394</v>
      </c>
      <c r="Y12" s="4"/>
      <c r="Z12" s="12">
        <f t="shared" ref="Z12:Z13" si="3">IF(T12=0,0,X12/T12)</f>
        <v>-6.2452938584504174E-2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--144535</f>
        <v>144535</v>
      </c>
      <c r="E13" s="2"/>
      <c r="F13" s="19"/>
      <c r="G13" s="2"/>
      <c r="H13" s="2">
        <v>26624</v>
      </c>
      <c r="I13" s="2"/>
      <c r="J13" s="19"/>
      <c r="K13" s="2"/>
      <c r="L13" s="2">
        <f t="shared" si="0"/>
        <v>117911</v>
      </c>
      <c r="M13" s="2"/>
      <c r="N13" s="19">
        <f t="shared" si="1"/>
        <v>4.4287484975961542</v>
      </c>
      <c r="O13" s="11"/>
      <c r="P13" s="2">
        <f>--336180</f>
        <v>336180</v>
      </c>
      <c r="Q13" s="2"/>
      <c r="R13" s="19"/>
      <c r="S13" s="2"/>
      <c r="T13" s="2">
        <v>358574</v>
      </c>
      <c r="U13" s="2"/>
      <c r="V13" s="19"/>
      <c r="W13" s="2"/>
      <c r="X13" s="2">
        <f t="shared" si="2"/>
        <v>-22394</v>
      </c>
      <c r="Y13" s="2"/>
      <c r="Z13" s="19">
        <f t="shared" si="3"/>
        <v>-6.2452938584504174E-2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144535</v>
      </c>
      <c r="E17" s="14"/>
      <c r="F17" s="22">
        <f>IF(D$12=0,0,D17/D$12)</f>
        <v>1</v>
      </c>
      <c r="G17" s="14"/>
      <c r="H17" s="21">
        <f>H12-H15</f>
        <v>26624</v>
      </c>
      <c r="I17" s="14"/>
      <c r="J17" s="22">
        <f>IF(H$12=0,0,H17/H$12)</f>
        <v>1</v>
      </c>
      <c r="K17" s="15"/>
      <c r="L17" s="21">
        <f>+D17-H17</f>
        <v>117911</v>
      </c>
      <c r="M17" s="15"/>
      <c r="N17" s="22">
        <f>IF(H17=0,0,L17/H17)</f>
        <v>4.4287484975961542</v>
      </c>
      <c r="O17" s="29"/>
      <c r="P17" s="21">
        <f>P12-P15</f>
        <v>336180</v>
      </c>
      <c r="Q17" s="14"/>
      <c r="R17" s="22">
        <f>IF(P$12=0,0,P17/P$12)</f>
        <v>1</v>
      </c>
      <c r="S17" s="14"/>
      <c r="T17" s="21">
        <f>T12-T15</f>
        <v>358574</v>
      </c>
      <c r="U17" s="14"/>
      <c r="V17" s="22">
        <f>IF(T$12=0,0,T17/T$12)</f>
        <v>1</v>
      </c>
      <c r="W17" s="15"/>
      <c r="X17" s="21">
        <f>+P17-T17</f>
        <v>-22394</v>
      </c>
      <c r="Y17" s="15"/>
      <c r="Z17" s="22">
        <f>IF(T17=0,0,X17/T17)</f>
        <v>-6.2452938584504174E-2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144614.88</v>
      </c>
      <c r="E19" s="20"/>
      <c r="F19" s="34">
        <f t="shared" ref="F19:F29" si="4">IF(D$12=0,0,D19/D$12)</f>
        <v>1.0005526689037259</v>
      </c>
      <c r="G19" s="20"/>
      <c r="H19" s="20">
        <f>SUM(OSRRefH22x_0)</f>
        <v>26831.141500846155</v>
      </c>
      <c r="I19" s="20"/>
      <c r="J19" s="34">
        <f t="shared" ref="J19:J29" si="5">IF(H$12=0,0,H19/H$12)</f>
        <v>1.0077802546892336</v>
      </c>
      <c r="K19" s="4"/>
      <c r="L19" s="20">
        <f t="shared" ref="L19:L29" si="6">+D19-H19</f>
        <v>117783.73849915384</v>
      </c>
      <c r="M19" s="4"/>
      <c r="N19" s="34">
        <f t="shared" ref="N19:N29" si="7">IF(H19=0,0,L19/H19)</f>
        <v>4.3898146672380438</v>
      </c>
      <c r="O19" s="10"/>
      <c r="P19" s="20">
        <f>SUM(OSRRefP22x_0)</f>
        <v>335538.99</v>
      </c>
      <c r="Q19" s="20"/>
      <c r="R19" s="34">
        <f t="shared" ref="R19:R29" si="8">IF(P$12=0,0,P19/P$12)</f>
        <v>0.99809325361413526</v>
      </c>
      <c r="S19" s="20"/>
      <c r="T19" s="20">
        <f>SUM(OSRRefT22x_0)</f>
        <v>334683.21516240388</v>
      </c>
      <c r="U19" s="20"/>
      <c r="V19" s="34">
        <f t="shared" ref="V19:V29" si="9">IF(T$12=0,0,T19/T$12)</f>
        <v>0.93337279100660919</v>
      </c>
      <c r="W19" s="4"/>
      <c r="X19" s="20">
        <f t="shared" ref="X19:X29" si="10">+P19-T19</f>
        <v>855.77483759610914</v>
      </c>
      <c r="Y19" s="4"/>
      <c r="Z19" s="34">
        <f t="shared" ref="Z19:Z29" si="11">IF(T19=0,0,X19/T19)</f>
        <v>2.5569696920141253E-3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4077.6500000000005</v>
      </c>
      <c r="E20" s="1"/>
      <c r="F20" s="5">
        <f t="shared" si="4"/>
        <v>2.8212197737572216E-2</v>
      </c>
      <c r="G20" s="1"/>
      <c r="H20" s="1">
        <f>SUM(OSRRefH22_0x_0)</f>
        <v>1031.7630393076925</v>
      </c>
      <c r="I20" s="1"/>
      <c r="J20" s="5">
        <f t="shared" si="5"/>
        <v>3.8753118964381481E-2</v>
      </c>
      <c r="K20" s="1"/>
      <c r="L20" s="1">
        <f t="shared" si="6"/>
        <v>3045.8869606923081</v>
      </c>
      <c r="M20" s="1"/>
      <c r="N20" s="5">
        <f t="shared" si="7"/>
        <v>2.9521186984330066</v>
      </c>
      <c r="O20" s="13"/>
      <c r="P20" s="1">
        <f>SUM(OSRRefP22_0x_0)</f>
        <v>35463.56</v>
      </c>
      <c r="Q20" s="1"/>
      <c r="R20" s="5">
        <f t="shared" si="8"/>
        <v>0.10548979713248854</v>
      </c>
      <c r="S20" s="1"/>
      <c r="T20" s="1">
        <f>SUM(OSRRefT22_0x_0)</f>
        <v>10253.461123942305</v>
      </c>
      <c r="U20" s="1"/>
      <c r="V20" s="5">
        <f t="shared" si="9"/>
        <v>2.8595104842911938E-2</v>
      </c>
      <c r="W20" s="1"/>
      <c r="X20" s="1">
        <f t="shared" si="10"/>
        <v>25210.098876057695</v>
      </c>
      <c r="Y20" s="1"/>
      <c r="Z20" s="5">
        <f t="shared" si="11"/>
        <v>2.4586916136241013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1001.81</v>
      </c>
      <c r="E21" s="2"/>
      <c r="F21" s="7">
        <f t="shared" si="4"/>
        <v>6.9312623240045659E-3</v>
      </c>
      <c r="G21" s="2"/>
      <c r="H21" s="6">
        <v>283.01206084615399</v>
      </c>
      <c r="I21" s="2"/>
      <c r="J21" s="7">
        <f t="shared" si="5"/>
        <v>1.0629960218079703E-2</v>
      </c>
      <c r="K21" s="2"/>
      <c r="L21" s="6">
        <f t="shared" si="6"/>
        <v>718.79793915384596</v>
      </c>
      <c r="M21" s="2"/>
      <c r="N21" s="7">
        <f t="shared" si="7"/>
        <v>2.5398138051246733</v>
      </c>
      <c r="O21" s="11"/>
      <c r="P21" s="6">
        <v>8719.5300000000007</v>
      </c>
      <c r="Q21" s="2"/>
      <c r="R21" s="7">
        <f t="shared" si="8"/>
        <v>2.5937087274674284E-2</v>
      </c>
      <c r="S21" s="2"/>
      <c r="T21" s="6">
        <v>3900.2727124038443</v>
      </c>
      <c r="U21" s="2"/>
      <c r="V21" s="7">
        <f t="shared" si="9"/>
        <v>1.0877176572768366E-2</v>
      </c>
      <c r="W21" s="2"/>
      <c r="X21" s="6">
        <f t="shared" si="10"/>
        <v>4819.2572875961559</v>
      </c>
      <c r="Y21" s="2"/>
      <c r="Z21" s="7">
        <f t="shared" si="11"/>
        <v>1.2356205944957928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56.69</v>
      </c>
      <c r="E22" s="2"/>
      <c r="F22" s="7">
        <f t="shared" si="4"/>
        <v>3.9222333690801535E-4</v>
      </c>
      <c r="G22" s="2"/>
      <c r="H22" s="6">
        <v>243.47177307692297</v>
      </c>
      <c r="I22" s="2"/>
      <c r="J22" s="7">
        <f t="shared" si="5"/>
        <v>9.1448232075166374E-3</v>
      </c>
      <c r="K22" s="2"/>
      <c r="L22" s="6">
        <f t="shared" si="6"/>
        <v>-186.78177307692297</v>
      </c>
      <c r="M22" s="2"/>
      <c r="N22" s="7">
        <f t="shared" si="7"/>
        <v>-0.7671598671025851</v>
      </c>
      <c r="O22" s="11"/>
      <c r="P22" s="6">
        <v>394.95</v>
      </c>
      <c r="Q22" s="2"/>
      <c r="R22" s="7">
        <f t="shared" si="8"/>
        <v>1.17481706228806E-3</v>
      </c>
      <c r="S22" s="2"/>
      <c r="T22" s="6">
        <v>1818.6129519230769</v>
      </c>
      <c r="U22" s="2"/>
      <c r="V22" s="7">
        <f t="shared" si="9"/>
        <v>5.0717925781653909E-3</v>
      </c>
      <c r="W22" s="2"/>
      <c r="X22" s="6">
        <f t="shared" si="10"/>
        <v>-1423.6629519230769</v>
      </c>
      <c r="Y22" s="2"/>
      <c r="Z22" s="7">
        <f t="shared" si="11"/>
        <v>-0.78282899636101044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1298.72</v>
      </c>
      <c r="E23" s="2"/>
      <c r="F23" s="7">
        <f t="shared" si="4"/>
        <v>8.9855052409451002E-3</v>
      </c>
      <c r="G23" s="2"/>
      <c r="H23" s="6">
        <v>138.1</v>
      </c>
      <c r="I23" s="2"/>
      <c r="J23" s="7">
        <f t="shared" si="5"/>
        <v>5.1870492788461536E-3</v>
      </c>
      <c r="K23" s="2"/>
      <c r="L23" s="6">
        <f t="shared" si="6"/>
        <v>1160.6200000000001</v>
      </c>
      <c r="M23" s="2"/>
      <c r="N23" s="7">
        <f t="shared" si="7"/>
        <v>8.4041998551774082</v>
      </c>
      <c r="O23" s="11"/>
      <c r="P23" s="6">
        <v>10057.299999999999</v>
      </c>
      <c r="Q23" s="2"/>
      <c r="R23" s="7">
        <f t="shared" si="8"/>
        <v>2.9916413825926583E-2</v>
      </c>
      <c r="S23" s="2"/>
      <c r="T23" s="6">
        <v>1104.8</v>
      </c>
      <c r="U23" s="2"/>
      <c r="V23" s="7">
        <f t="shared" si="9"/>
        <v>3.0810934423577837E-3</v>
      </c>
      <c r="W23" s="2"/>
      <c r="X23" s="6">
        <f t="shared" si="10"/>
        <v>8952.5</v>
      </c>
      <c r="Y23" s="2"/>
      <c r="Z23" s="7">
        <f t="shared" si="11"/>
        <v>8.1032766111513403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43.38</v>
      </c>
      <c r="E24" s="2"/>
      <c r="F24" s="7">
        <f t="shared" si="4"/>
        <v>3.001349154184108E-4</v>
      </c>
      <c r="G24" s="2"/>
      <c r="H24" s="6">
        <v>33.317189999999997</v>
      </c>
      <c r="I24" s="2"/>
      <c r="J24" s="7">
        <f t="shared" si="5"/>
        <v>1.2513968599759614E-3</v>
      </c>
      <c r="K24" s="2"/>
      <c r="L24" s="6">
        <f t="shared" si="6"/>
        <v>10.062810000000006</v>
      </c>
      <c r="M24" s="2"/>
      <c r="N24" s="7">
        <f t="shared" si="7"/>
        <v>0.30203057340670109</v>
      </c>
      <c r="O24" s="11"/>
      <c r="P24" s="6">
        <v>371.34</v>
      </c>
      <c r="Q24" s="2"/>
      <c r="R24" s="7">
        <f t="shared" si="8"/>
        <v>1.1045868284847403E-3</v>
      </c>
      <c r="S24" s="2"/>
      <c r="T24" s="6">
        <v>248.86282499999999</v>
      </c>
      <c r="U24" s="2"/>
      <c r="V24" s="7">
        <f t="shared" si="9"/>
        <v>6.9403477385421135E-4</v>
      </c>
      <c r="W24" s="2"/>
      <c r="X24" s="6">
        <f t="shared" si="10"/>
        <v>122.47717499999999</v>
      </c>
      <c r="Y24" s="2"/>
      <c r="Z24" s="7">
        <f t="shared" si="11"/>
        <v>0.49214733056252974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4.4243262877503723E-3</v>
      </c>
      <c r="G25" s="2"/>
      <c r="H25" s="6">
        <v>56.936630769230796</v>
      </c>
      <c r="I25" s="2"/>
      <c r="J25" s="7">
        <f t="shared" si="5"/>
        <v>2.1385453263683442E-3</v>
      </c>
      <c r="K25" s="2"/>
      <c r="L25" s="6">
        <f t="shared" si="6"/>
        <v>582.53336923076927</v>
      </c>
      <c r="M25" s="2"/>
      <c r="N25" s="7">
        <f t="shared" si="7"/>
        <v>10.231258178795802</v>
      </c>
      <c r="O25" s="11"/>
      <c r="P25" s="6">
        <v>6205.92</v>
      </c>
      <c r="Q25" s="2"/>
      <c r="R25" s="7">
        <f t="shared" si="8"/>
        <v>1.8460110655006245E-2</v>
      </c>
      <c r="S25" s="2"/>
      <c r="T25" s="6">
        <v>498.19551923076943</v>
      </c>
      <c r="U25" s="2"/>
      <c r="V25" s="7">
        <f t="shared" si="9"/>
        <v>1.3893799305883009E-3</v>
      </c>
      <c r="W25" s="2"/>
      <c r="X25" s="6">
        <f t="shared" si="10"/>
        <v>5707.7244807692305</v>
      </c>
      <c r="Y25" s="2"/>
      <c r="Z25" s="7">
        <f t="shared" si="11"/>
        <v>11.456796098010171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577.95000000000005</v>
      </c>
      <c r="E27" s="2"/>
      <c r="F27" s="7">
        <f t="shared" si="4"/>
        <v>3.9986854395129209E-3</v>
      </c>
      <c r="G27" s="2"/>
      <c r="H27" s="6">
        <v>33.102692307692301</v>
      </c>
      <c r="I27" s="2"/>
      <c r="J27" s="7">
        <f t="shared" si="5"/>
        <v>1.2433403060281062E-3</v>
      </c>
      <c r="K27" s="2"/>
      <c r="L27" s="6">
        <f t="shared" si="6"/>
        <v>544.84730769230771</v>
      </c>
      <c r="M27" s="2"/>
      <c r="N27" s="7">
        <f t="shared" si="7"/>
        <v>16.459304960089238</v>
      </c>
      <c r="O27" s="11"/>
      <c r="P27" s="6">
        <v>5648.78</v>
      </c>
      <c r="Q27" s="2"/>
      <c r="R27" s="7">
        <f t="shared" si="8"/>
        <v>1.6802843714676659E-2</v>
      </c>
      <c r="S27" s="2"/>
      <c r="T27" s="6">
        <v>289.64855769230769</v>
      </c>
      <c r="U27" s="2"/>
      <c r="V27" s="7">
        <f t="shared" si="9"/>
        <v>8.0777902941180253E-4</v>
      </c>
      <c r="W27" s="2"/>
      <c r="X27" s="6">
        <f t="shared" si="10"/>
        <v>5359.1314423076919</v>
      </c>
      <c r="Y27" s="2"/>
      <c r="Z27" s="7">
        <f t="shared" si="11"/>
        <v>18.502185838607463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288.58</v>
      </c>
      <c r="E28" s="2"/>
      <c r="F28" s="7">
        <f t="shared" si="4"/>
        <v>1.9966098176912167E-3</v>
      </c>
      <c r="G28" s="2"/>
      <c r="H28" s="6">
        <v>93.822692307692307</v>
      </c>
      <c r="I28" s="2"/>
      <c r="J28" s="7">
        <f t="shared" si="5"/>
        <v>3.5239893444896451E-3</v>
      </c>
      <c r="K28" s="2"/>
      <c r="L28" s="6">
        <f t="shared" si="6"/>
        <v>194.75730769230768</v>
      </c>
      <c r="M28" s="2"/>
      <c r="N28" s="7">
        <f t="shared" si="7"/>
        <v>2.0758017373195758</v>
      </c>
      <c r="O28" s="11"/>
      <c r="P28" s="6">
        <v>2842.86</v>
      </c>
      <c r="Q28" s="2"/>
      <c r="R28" s="7">
        <f t="shared" si="8"/>
        <v>8.4563626628591827E-3</v>
      </c>
      <c r="S28" s="2"/>
      <c r="T28" s="6">
        <v>1193.0685576923063</v>
      </c>
      <c r="U28" s="2"/>
      <c r="V28" s="7">
        <f t="shared" si="9"/>
        <v>3.3272589693962929E-3</v>
      </c>
      <c r="W28" s="2"/>
      <c r="X28" s="6">
        <f t="shared" si="10"/>
        <v>1649.7914423076938</v>
      </c>
      <c r="Y28" s="2"/>
      <c r="Z28" s="7">
        <f t="shared" si="11"/>
        <v>1.3828136125712709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171.05</v>
      </c>
      <c r="E29" s="2"/>
      <c r="F29" s="7">
        <f t="shared" si="4"/>
        <v>1.1834503753416128E-3</v>
      </c>
      <c r="G29" s="2"/>
      <c r="H29" s="6">
        <v>150</v>
      </c>
      <c r="I29" s="2"/>
      <c r="J29" s="7">
        <f t="shared" si="5"/>
        <v>5.634014423076923E-3</v>
      </c>
      <c r="K29" s="2"/>
      <c r="L29" s="6">
        <f t="shared" si="6"/>
        <v>21.050000000000011</v>
      </c>
      <c r="M29" s="2"/>
      <c r="N29" s="7">
        <f t="shared" si="7"/>
        <v>0.14033333333333342</v>
      </c>
      <c r="O29" s="11"/>
      <c r="P29" s="6">
        <v>1222.8800000000001</v>
      </c>
      <c r="Q29" s="2"/>
      <c r="R29" s="7">
        <f t="shared" si="8"/>
        <v>3.6375751085727889E-3</v>
      </c>
      <c r="S29" s="2"/>
      <c r="T29" s="6">
        <v>1200</v>
      </c>
      <c r="U29" s="2"/>
      <c r="V29" s="7">
        <f t="shared" si="9"/>
        <v>3.3465895463697872E-3</v>
      </c>
      <c r="W29" s="2"/>
      <c r="X29" s="6">
        <f t="shared" si="10"/>
        <v>22.880000000000109</v>
      </c>
      <c r="Y29" s="2"/>
      <c r="Z29" s="7">
        <f t="shared" si="11"/>
        <v>1.9066666666666756E-2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15402.619999999999</v>
      </c>
      <c r="E30" s="1"/>
      <c r="F30" s="5">
        <f t="shared" ref="F30:F40" si="12">IF(D$12=0,0,D30/D$12)</f>
        <v>0.10656671394471927</v>
      </c>
      <c r="G30" s="1"/>
      <c r="H30" s="1">
        <f>SUM(OSRRefH22_1x_0)</f>
        <v>12687.378461538461</v>
      </c>
      <c r="I30" s="1"/>
      <c r="J30" s="5">
        <f t="shared" ref="J30:J40" si="13">IF(H$12=0,0,H30/H$12)</f>
        <v>0.47653915495562127</v>
      </c>
      <c r="K30" s="1"/>
      <c r="L30" s="1">
        <f t="shared" ref="L30:L40" si="14">+D30-H30</f>
        <v>2715.2415384615379</v>
      </c>
      <c r="M30" s="1"/>
      <c r="N30" s="5">
        <f t="shared" ref="N30:N40" si="15">IF(H30=0,0,L30/H30)</f>
        <v>0.21401123539372136</v>
      </c>
      <c r="O30" s="13"/>
      <c r="P30" s="1">
        <f>SUM(OSRRefP22_1x_0)</f>
        <v>134696.46</v>
      </c>
      <c r="Q30" s="1"/>
      <c r="R30" s="5">
        <f t="shared" ref="R30:R40" si="16">IF(P$12=0,0,P30/P$12)</f>
        <v>0.40066767802962694</v>
      </c>
      <c r="S30" s="1"/>
      <c r="T30" s="1">
        <f>SUM(OSRRefT22_1x_0)</f>
        <v>94233.754038461542</v>
      </c>
      <c r="U30" s="1"/>
      <c r="V30" s="5">
        <f t="shared" ref="V30:V40" si="17">IF(T$12=0,0,T30/T$12)</f>
        <v>0.26280141348358094</v>
      </c>
      <c r="W30" s="1"/>
      <c r="X30" s="1">
        <f t="shared" ref="X30:X40" si="18">+P30-T30</f>
        <v>40462.70596153845</v>
      </c>
      <c r="Y30" s="1"/>
      <c r="Z30" s="5">
        <f t="shared" ref="Z30:Z40" si="19">IF(T30=0,0,X30/T30)</f>
        <v>0.42938654386010749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5804.8</v>
      </c>
      <c r="E32" s="2"/>
      <c r="F32" s="7">
        <f t="shared" si="12"/>
        <v>4.0161898502092917E-2</v>
      </c>
      <c r="G32" s="2"/>
      <c r="H32" s="6">
        <v>595.84846153846195</v>
      </c>
      <c r="I32" s="2"/>
      <c r="J32" s="7">
        <f t="shared" si="13"/>
        <v>2.2380125508505933E-2</v>
      </c>
      <c r="K32" s="2"/>
      <c r="L32" s="6">
        <f t="shared" si="14"/>
        <v>5208.9515384615379</v>
      </c>
      <c r="M32" s="2"/>
      <c r="N32" s="7">
        <f t="shared" si="15"/>
        <v>8.742074327106911</v>
      </c>
      <c r="O32" s="11"/>
      <c r="P32" s="6">
        <v>47186.67</v>
      </c>
      <c r="Q32" s="2"/>
      <c r="R32" s="7">
        <f t="shared" si="16"/>
        <v>0.14036132429055861</v>
      </c>
      <c r="S32" s="2"/>
      <c r="T32" s="6">
        <v>5213.6740384615405</v>
      </c>
      <c r="U32" s="2"/>
      <c r="V32" s="7">
        <f t="shared" si="17"/>
        <v>1.4540022529412451E-2</v>
      </c>
      <c r="W32" s="2"/>
      <c r="X32" s="6">
        <f t="shared" si="18"/>
        <v>41972.995961538458</v>
      </c>
      <c r="Y32" s="2"/>
      <c r="Z32" s="7">
        <f t="shared" si="19"/>
        <v>8.0505600564786981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2975.28</v>
      </c>
      <c r="I34" s="2"/>
      <c r="J34" s="7">
        <f t="shared" si="13"/>
        <v>0.11175180288461539</v>
      </c>
      <c r="K34" s="2"/>
      <c r="L34" s="6">
        <f t="shared" si="14"/>
        <v>-2975.28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24275.58</v>
      </c>
      <c r="U34" s="2"/>
      <c r="V34" s="7">
        <f t="shared" si="17"/>
        <v>6.7700335216719559E-2</v>
      </c>
      <c r="W34" s="2"/>
      <c r="X34" s="6">
        <f t="shared" si="18"/>
        <v>-24275.58</v>
      </c>
      <c r="Y34" s="2"/>
      <c r="Z34" s="7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7346.41</v>
      </c>
      <c r="E35" s="2"/>
      <c r="F35" s="7">
        <f t="shared" si="12"/>
        <v>5.08278963572837E-2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7346.41</v>
      </c>
      <c r="M35" s="2"/>
      <c r="N35" s="7">
        <f t="shared" si="15"/>
        <v>0</v>
      </c>
      <c r="O35" s="11"/>
      <c r="P35" s="6">
        <v>58441.049999999996</v>
      </c>
      <c r="Q35" s="2"/>
      <c r="R35" s="7">
        <f t="shared" si="16"/>
        <v>0.17383856862395144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58441.049999999996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1575</v>
      </c>
      <c r="E37" s="2"/>
      <c r="F37" s="7">
        <f t="shared" si="12"/>
        <v>1.0897014563946449E-2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1575</v>
      </c>
      <c r="M37" s="2"/>
      <c r="N37" s="7">
        <f t="shared" si="15"/>
        <v>0</v>
      </c>
      <c r="O37" s="11"/>
      <c r="P37" s="6">
        <v>24194.5</v>
      </c>
      <c r="Q37" s="2"/>
      <c r="R37" s="7">
        <f t="shared" si="16"/>
        <v>7.1968885715985489E-2</v>
      </c>
      <c r="S37" s="2"/>
      <c r="T37" s="6">
        <v>19992</v>
      </c>
      <c r="U37" s="2"/>
      <c r="V37" s="7">
        <f t="shared" si="17"/>
        <v>5.575418184252065E-2</v>
      </c>
      <c r="W37" s="2"/>
      <c r="X37" s="6">
        <f t="shared" si="18"/>
        <v>4202.5</v>
      </c>
      <c r="Y37" s="2"/>
      <c r="Z37" s="7">
        <f t="shared" si="19"/>
        <v>0.21020908363345339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676.41</v>
      </c>
      <c r="E38" s="2"/>
      <c r="F38" s="7">
        <f t="shared" si="12"/>
        <v>4.6799045213962017E-3</v>
      </c>
      <c r="G38" s="2"/>
      <c r="H38" s="6">
        <v>9116.25</v>
      </c>
      <c r="I38" s="2"/>
      <c r="J38" s="7">
        <f t="shared" si="13"/>
        <v>0.3424072265625</v>
      </c>
      <c r="K38" s="2"/>
      <c r="L38" s="6">
        <f t="shared" si="14"/>
        <v>-8439.84</v>
      </c>
      <c r="M38" s="2"/>
      <c r="N38" s="7">
        <f t="shared" si="15"/>
        <v>-0.92580172768408064</v>
      </c>
      <c r="O38" s="11"/>
      <c r="P38" s="6">
        <v>4874.24</v>
      </c>
      <c r="Q38" s="2"/>
      <c r="R38" s="7">
        <f t="shared" si="16"/>
        <v>1.4498899399131416E-2</v>
      </c>
      <c r="S38" s="2"/>
      <c r="T38" s="6">
        <v>44752.5</v>
      </c>
      <c r="U38" s="2"/>
      <c r="V38" s="7">
        <f t="shared" si="17"/>
        <v>0.12480687389492824</v>
      </c>
      <c r="W38" s="2"/>
      <c r="X38" s="6">
        <f t="shared" si="18"/>
        <v>-39878.26</v>
      </c>
      <c r="Y38" s="2"/>
      <c r="Z38" s="7">
        <f t="shared" si="19"/>
        <v>-0.8910845204178538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48.34</v>
      </c>
      <c r="E41" s="1"/>
      <c r="F41" s="5">
        <f t="shared" ref="F41:F61" si="20">IF(D$12=0,0,D41/D$12)</f>
        <v>3.3445186287058503E-4</v>
      </c>
      <c r="G41" s="1"/>
      <c r="H41" s="1">
        <f>SUM(OSRRefH22_2x_0)</f>
        <v>400</v>
      </c>
      <c r="I41" s="1"/>
      <c r="J41" s="5">
        <f t="shared" ref="J41:J61" si="21">IF(H$12=0,0,H41/H$12)</f>
        <v>1.5024038461538462E-2</v>
      </c>
      <c r="K41" s="1"/>
      <c r="L41" s="1">
        <f t="shared" ref="L41:L61" si="22">+D41-H41</f>
        <v>-351.65999999999997</v>
      </c>
      <c r="M41" s="1"/>
      <c r="N41" s="5">
        <f t="shared" ref="N41:N61" si="23">IF(H41=0,0,L41/H41)</f>
        <v>-0.87914999999999988</v>
      </c>
      <c r="O41" s="13"/>
      <c r="P41" s="1">
        <f>SUM(OSRRefP22_2x_0)</f>
        <v>155.11000000000001</v>
      </c>
      <c r="Q41" s="1"/>
      <c r="R41" s="5">
        <f t="shared" ref="R41:R61" si="24">IF(P$12=0,0,P41/P$12)</f>
        <v>4.6138973169135587E-4</v>
      </c>
      <c r="S41" s="1"/>
      <c r="T41" s="1">
        <f>SUM(OSRRefT22_2x_0)</f>
        <v>3200</v>
      </c>
      <c r="U41" s="1"/>
      <c r="V41" s="5">
        <f t="shared" ref="V41:V61" si="25">IF(T$12=0,0,T41/T$12)</f>
        <v>8.9242387903194324E-3</v>
      </c>
      <c r="W41" s="1"/>
      <c r="X41" s="1">
        <f t="shared" ref="X41:X61" si="26">+P41-T41</f>
        <v>-3044.89</v>
      </c>
      <c r="Y41" s="1"/>
      <c r="Z41" s="5">
        <f t="shared" ref="Z41:Z61" si="27">IF(T41=0,0,X41/T41)</f>
        <v>-0.95152812499999995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48.34</v>
      </c>
      <c r="E42" s="2"/>
      <c r="F42" s="7">
        <f t="shared" si="20"/>
        <v>3.3445186287058503E-4</v>
      </c>
      <c r="G42" s="2"/>
      <c r="H42" s="6">
        <v>400</v>
      </c>
      <c r="I42" s="2"/>
      <c r="J42" s="7">
        <f t="shared" si="21"/>
        <v>1.5024038461538462E-2</v>
      </c>
      <c r="K42" s="2"/>
      <c r="L42" s="6">
        <f t="shared" si="22"/>
        <v>-351.65999999999997</v>
      </c>
      <c r="M42" s="2"/>
      <c r="N42" s="7">
        <f t="shared" si="23"/>
        <v>-0.87914999999999988</v>
      </c>
      <c r="O42" s="11"/>
      <c r="P42" s="6">
        <v>155.11000000000001</v>
      </c>
      <c r="Q42" s="2"/>
      <c r="R42" s="7">
        <f t="shared" si="24"/>
        <v>4.6138973169135587E-4</v>
      </c>
      <c r="S42" s="2"/>
      <c r="T42" s="6">
        <v>3200</v>
      </c>
      <c r="U42" s="2"/>
      <c r="V42" s="7">
        <f t="shared" si="25"/>
        <v>8.9242387903194324E-3</v>
      </c>
      <c r="W42" s="2"/>
      <c r="X42" s="6">
        <f t="shared" si="26"/>
        <v>-3044.89</v>
      </c>
      <c r="Y42" s="2"/>
      <c r="Z42" s="7">
        <f t="shared" si="27"/>
        <v>-0.95152812499999995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2337.6999999999998</v>
      </c>
      <c r="E43" s="1"/>
      <c r="F43" s="5">
        <f t="shared" si="20"/>
        <v>1.61739371086588E-2</v>
      </c>
      <c r="G43" s="1"/>
      <c r="H43" s="1">
        <f>SUM(OSRRefH22_3x_0)</f>
        <v>2000</v>
      </c>
      <c r="I43" s="1"/>
      <c r="J43" s="5">
        <f t="shared" si="21"/>
        <v>7.5120192307692304E-2</v>
      </c>
      <c r="K43" s="1"/>
      <c r="L43" s="1">
        <f t="shared" si="22"/>
        <v>337.69999999999982</v>
      </c>
      <c r="M43" s="1"/>
      <c r="N43" s="5">
        <f t="shared" si="23"/>
        <v>0.16884999999999992</v>
      </c>
      <c r="O43" s="13"/>
      <c r="P43" s="1">
        <f>SUM(OSRRefP22_3x_0)</f>
        <v>16617.329999999998</v>
      </c>
      <c r="Q43" s="1"/>
      <c r="R43" s="5">
        <f t="shared" si="24"/>
        <v>4.9429859004104938E-2</v>
      </c>
      <c r="S43" s="1"/>
      <c r="T43" s="1">
        <f>SUM(OSRRefT22_3x_0)</f>
        <v>13700</v>
      </c>
      <c r="U43" s="1"/>
      <c r="V43" s="5">
        <f t="shared" si="25"/>
        <v>3.8206897321055068E-2</v>
      </c>
      <c r="W43" s="1"/>
      <c r="X43" s="1">
        <f t="shared" si="26"/>
        <v>2917.3299999999981</v>
      </c>
      <c r="Y43" s="1"/>
      <c r="Z43" s="5">
        <f t="shared" si="27"/>
        <v>0.21294379562043783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2337.6999999999998</v>
      </c>
      <c r="E44" s="2"/>
      <c r="F44" s="7">
        <f t="shared" si="20"/>
        <v>1.61739371086588E-2</v>
      </c>
      <c r="G44" s="2"/>
      <c r="H44" s="6">
        <v>2000</v>
      </c>
      <c r="I44" s="2"/>
      <c r="J44" s="7">
        <f t="shared" si="21"/>
        <v>7.5120192307692304E-2</v>
      </c>
      <c r="K44" s="2"/>
      <c r="L44" s="6">
        <f t="shared" si="22"/>
        <v>337.69999999999982</v>
      </c>
      <c r="M44" s="2"/>
      <c r="N44" s="7">
        <f t="shared" si="23"/>
        <v>0.16884999999999992</v>
      </c>
      <c r="O44" s="11"/>
      <c r="P44" s="6">
        <v>16617.329999999998</v>
      </c>
      <c r="Q44" s="2"/>
      <c r="R44" s="7">
        <f t="shared" si="24"/>
        <v>4.9429859004104938E-2</v>
      </c>
      <c r="S44" s="2"/>
      <c r="T44" s="6">
        <v>13700</v>
      </c>
      <c r="U44" s="2"/>
      <c r="V44" s="7">
        <f t="shared" si="25"/>
        <v>3.8206897321055068E-2</v>
      </c>
      <c r="W44" s="2"/>
      <c r="X44" s="6">
        <f t="shared" si="26"/>
        <v>2917.3299999999981</v>
      </c>
      <c r="Y44" s="2"/>
      <c r="Z44" s="7">
        <f t="shared" si="27"/>
        <v>0.21294379562043783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2.8170072115384615E-3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1.9108810756142541E-4</v>
      </c>
      <c r="S45" s="1"/>
      <c r="T45" s="1">
        <f>SUM(OSRRefT22_4x_0)</f>
        <v>600</v>
      </c>
      <c r="U45" s="1"/>
      <c r="V45" s="5">
        <f t="shared" si="25"/>
        <v>1.6732947731848936E-3</v>
      </c>
      <c r="W45" s="1"/>
      <c r="X45" s="1">
        <f t="shared" si="26"/>
        <v>-535.76</v>
      </c>
      <c r="Y45" s="1"/>
      <c r="Z45" s="5">
        <f t="shared" si="27"/>
        <v>-0.89293333333333336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2.8170072115384615E-3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1.9108810756142541E-4</v>
      </c>
      <c r="S46" s="2"/>
      <c r="T46" s="6">
        <v>600</v>
      </c>
      <c r="U46" s="2"/>
      <c r="V46" s="7">
        <f t="shared" si="25"/>
        <v>1.6732947731848936E-3</v>
      </c>
      <c r="W46" s="2"/>
      <c r="X46" s="6">
        <f t="shared" si="26"/>
        <v>-535.76</v>
      </c>
      <c r="Y46" s="2"/>
      <c r="Z46" s="7">
        <f t="shared" si="27"/>
        <v>-0.89293333333333336</v>
      </c>
    </row>
    <row r="47" spans="1:26" s="27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3.7560096153846156E-4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80</v>
      </c>
      <c r="U47" s="1"/>
      <c r="V47" s="5">
        <f t="shared" si="25"/>
        <v>2.231059697579858E-4</v>
      </c>
      <c r="W47" s="1"/>
      <c r="X47" s="1">
        <f t="shared" si="26"/>
        <v>-80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3.7560096153846156E-4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80</v>
      </c>
      <c r="U48" s="2"/>
      <c r="V48" s="7">
        <f t="shared" si="25"/>
        <v>2.231059697579858E-4</v>
      </c>
      <c r="W48" s="2"/>
      <c r="X48" s="6">
        <f t="shared" si="26"/>
        <v>-80</v>
      </c>
      <c r="Y48" s="2"/>
      <c r="Z48" s="7">
        <f t="shared" si="27"/>
        <v>-1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1.8780048076923077E-3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47.34</v>
      </c>
      <c r="Q49" s="1"/>
      <c r="R49" s="5">
        <f t="shared" si="24"/>
        <v>1.4081741923969304E-4</v>
      </c>
      <c r="S49" s="1"/>
      <c r="T49" s="1">
        <f>SUM(OSRRefT22_6x_0)</f>
        <v>400</v>
      </c>
      <c r="U49" s="1"/>
      <c r="V49" s="5">
        <f t="shared" si="25"/>
        <v>1.1155298487899291E-3</v>
      </c>
      <c r="W49" s="1"/>
      <c r="X49" s="1">
        <f t="shared" si="26"/>
        <v>-352.65999999999997</v>
      </c>
      <c r="Y49" s="1"/>
      <c r="Z49" s="5">
        <f t="shared" si="27"/>
        <v>-0.88164999999999993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1.8780048076923077E-3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1.4081741923969304E-4</v>
      </c>
      <c r="S50" s="2"/>
      <c r="T50" s="6">
        <v>400</v>
      </c>
      <c r="U50" s="2"/>
      <c r="V50" s="7">
        <f t="shared" si="25"/>
        <v>1.1155298487899291E-3</v>
      </c>
      <c r="W50" s="2"/>
      <c r="X50" s="6">
        <f t="shared" si="26"/>
        <v>-352.65999999999997</v>
      </c>
      <c r="Y50" s="2"/>
      <c r="Z50" s="7">
        <f t="shared" si="27"/>
        <v>-0.88164999999999993</v>
      </c>
    </row>
    <row r="51" spans="1:26" s="27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2.0071263015878507E-4</v>
      </c>
      <c r="G51" s="1"/>
      <c r="H51" s="1">
        <f>SUM(OSRRefH22_7x_0)</f>
        <v>27</v>
      </c>
      <c r="I51" s="1"/>
      <c r="J51" s="5">
        <f t="shared" si="21"/>
        <v>1.0141225961538462E-3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232.08</v>
      </c>
      <c r="Q51" s="1"/>
      <c r="R51" s="5">
        <f t="shared" si="24"/>
        <v>6.9034445832589684E-4</v>
      </c>
      <c r="S51" s="1"/>
      <c r="T51" s="1">
        <f>SUM(OSRRefT22_7x_0)</f>
        <v>216</v>
      </c>
      <c r="U51" s="1"/>
      <c r="V51" s="5">
        <f t="shared" si="25"/>
        <v>6.0238611834656161E-4</v>
      </c>
      <c r="W51" s="1"/>
      <c r="X51" s="1">
        <f t="shared" si="26"/>
        <v>16.080000000000013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2.0071263015878507E-4</v>
      </c>
      <c r="G52" s="2"/>
      <c r="H52" s="6">
        <v>27</v>
      </c>
      <c r="I52" s="2"/>
      <c r="J52" s="7">
        <f t="shared" si="21"/>
        <v>1.0141225961538462E-3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232.08</v>
      </c>
      <c r="Q52" s="2"/>
      <c r="R52" s="7">
        <f t="shared" si="24"/>
        <v>6.9034445832589684E-4</v>
      </c>
      <c r="S52" s="2"/>
      <c r="T52" s="6">
        <v>216</v>
      </c>
      <c r="U52" s="2"/>
      <c r="V52" s="7">
        <f t="shared" si="25"/>
        <v>6.0238611834656161E-4</v>
      </c>
      <c r="W52" s="2"/>
      <c r="X52" s="6">
        <f t="shared" si="26"/>
        <v>16.080000000000013</v>
      </c>
      <c r="Y52" s="2"/>
      <c r="Z52" s="7">
        <f t="shared" si="27"/>
        <v>7.4444444444444507E-2</v>
      </c>
    </row>
    <row r="53" spans="1:26" s="27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1.5024038461538462E-2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3200</v>
      </c>
      <c r="U53" s="1"/>
      <c r="V53" s="5">
        <f t="shared" si="25"/>
        <v>8.9242387903194324E-3</v>
      </c>
      <c r="W53" s="1"/>
      <c r="X53" s="1">
        <f t="shared" si="26"/>
        <v>-3200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1.5024038461538462E-2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3200</v>
      </c>
      <c r="U54" s="2"/>
      <c r="V54" s="7">
        <f t="shared" si="25"/>
        <v>8.9242387903194324E-3</v>
      </c>
      <c r="W54" s="2"/>
      <c r="X54" s="6">
        <f t="shared" si="26"/>
        <v>-3200</v>
      </c>
      <c r="Y54" s="2"/>
      <c r="Z54" s="7">
        <f t="shared" si="27"/>
        <v>-1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5.5349915245442279E-3</v>
      </c>
      <c r="G55" s="1"/>
      <c r="H55" s="1">
        <f>SUM(OSRRefH22_9x_0)</f>
        <v>800</v>
      </c>
      <c r="I55" s="1"/>
      <c r="J55" s="5">
        <f t="shared" si="21"/>
        <v>3.0048076923076924E-2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4800</v>
      </c>
      <c r="Q55" s="1"/>
      <c r="R55" s="5">
        <f t="shared" si="24"/>
        <v>1.4278065322148849E-2</v>
      </c>
      <c r="S55" s="1"/>
      <c r="T55" s="1">
        <f>SUM(OSRRefT22_9x_0)</f>
        <v>6400</v>
      </c>
      <c r="U55" s="1"/>
      <c r="V55" s="5">
        <f t="shared" si="25"/>
        <v>1.7848477580638865E-2</v>
      </c>
      <c r="W55" s="1"/>
      <c r="X55" s="1">
        <f t="shared" si="26"/>
        <v>-1600</v>
      </c>
      <c r="Y55" s="1"/>
      <c r="Z55" s="5">
        <f t="shared" si="27"/>
        <v>-0.25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5.5349915245442279E-3</v>
      </c>
      <c r="G56" s="2"/>
      <c r="H56" s="6">
        <v>800</v>
      </c>
      <c r="I56" s="2"/>
      <c r="J56" s="7">
        <f t="shared" si="21"/>
        <v>3.0048076923076924E-2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4800</v>
      </c>
      <c r="Q56" s="2"/>
      <c r="R56" s="7">
        <f t="shared" si="24"/>
        <v>1.4278065322148849E-2</v>
      </c>
      <c r="S56" s="2"/>
      <c r="T56" s="6">
        <v>6400</v>
      </c>
      <c r="U56" s="2"/>
      <c r="V56" s="7">
        <f t="shared" si="25"/>
        <v>1.7848477580638865E-2</v>
      </c>
      <c r="W56" s="2"/>
      <c r="X56" s="6">
        <f t="shared" si="26"/>
        <v>-1600</v>
      </c>
      <c r="Y56" s="2"/>
      <c r="Z56" s="7">
        <f t="shared" si="27"/>
        <v>-0.25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117094</v>
      </c>
      <c r="E57" s="1"/>
      <c r="F57" s="5">
        <f t="shared" si="20"/>
        <v>0.81014287196872725</v>
      </c>
      <c r="G57" s="1"/>
      <c r="H57" s="1">
        <f>SUM(OSRRefH22_10x_0)</f>
        <v>2000</v>
      </c>
      <c r="I57" s="1"/>
      <c r="J57" s="5">
        <f t="shared" si="21"/>
        <v>7.5120192307692304E-2</v>
      </c>
      <c r="K57" s="1"/>
      <c r="L57" s="1">
        <f t="shared" si="22"/>
        <v>115094</v>
      </c>
      <c r="M57" s="1"/>
      <c r="N57" s="5">
        <f t="shared" si="23"/>
        <v>57.546999999999997</v>
      </c>
      <c r="O57" s="13"/>
      <c r="P57" s="1">
        <f>SUM(OSRRefP22_10x_0)</f>
        <v>117843.95999999999</v>
      </c>
      <c r="Q57" s="1"/>
      <c r="R57" s="5">
        <f t="shared" si="24"/>
        <v>0.35053828306264501</v>
      </c>
      <c r="S57" s="1"/>
      <c r="T57" s="1">
        <f>SUM(OSRRefT22_10x_0)</f>
        <v>141000</v>
      </c>
      <c r="U57" s="1"/>
      <c r="V57" s="5">
        <f t="shared" si="25"/>
        <v>0.39322427169844998</v>
      </c>
      <c r="W57" s="1"/>
      <c r="X57" s="1">
        <f t="shared" si="26"/>
        <v>-23156.040000000008</v>
      </c>
      <c r="Y57" s="1"/>
      <c r="Z57" s="5">
        <f t="shared" si="27"/>
        <v>-0.16422723404255324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1.3008209887560235E-3</v>
      </c>
      <c r="S58" s="2"/>
      <c r="T58" s="6">
        <v>125000</v>
      </c>
      <c r="U58" s="2"/>
      <c r="V58" s="7">
        <f t="shared" si="25"/>
        <v>0.34860307774685279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7.5120192307692304E-2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16000</v>
      </c>
      <c r="U59" s="2"/>
      <c r="V59" s="7">
        <f t="shared" si="25"/>
        <v>4.4621193951597159E-2</v>
      </c>
      <c r="W59" s="2"/>
      <c r="X59" s="6">
        <f t="shared" si="26"/>
        <v>-16000</v>
      </c>
      <c r="Y59" s="2"/>
      <c r="Z59" s="7">
        <f t="shared" si="27"/>
        <v>-1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>
        <v>117094</v>
      </c>
      <c r="E60" s="2"/>
      <c r="F60" s="7">
        <f t="shared" si="20"/>
        <v>0.81014287196872725</v>
      </c>
      <c r="G60" s="2"/>
      <c r="H60" s="6"/>
      <c r="I60" s="2"/>
      <c r="J60" s="7">
        <f t="shared" si="21"/>
        <v>0</v>
      </c>
      <c r="K60" s="2"/>
      <c r="L60" s="6">
        <f t="shared" si="22"/>
        <v>117094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0.34830745433993693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0"/>
        <v>0</v>
      </c>
      <c r="G61" s="2"/>
      <c r="H61" s="6"/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>
        <v>312.64999999999998</v>
      </c>
      <c r="Q61" s="2"/>
      <c r="R61" s="7">
        <f t="shared" si="24"/>
        <v>9.3000773395204947E-4</v>
      </c>
      <c r="S61" s="2"/>
      <c r="T61" s="6"/>
      <c r="U61" s="2"/>
      <c r="V61" s="7">
        <f t="shared" si="25"/>
        <v>0</v>
      </c>
      <c r="W61" s="2"/>
      <c r="X61" s="6">
        <f t="shared" si="26"/>
        <v>312.64999999999998</v>
      </c>
      <c r="Y61" s="2"/>
      <c r="Z61" s="7">
        <f t="shared" si="27"/>
        <v>0</v>
      </c>
    </row>
    <row r="62" spans="1:26" s="27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0</v>
      </c>
      <c r="M62" s="1"/>
      <c r="N62" s="5">
        <f t="shared" ref="N62:N67" si="31">IF(H62=0,0,L62/H62)</f>
        <v>0</v>
      </c>
      <c r="O62" s="13"/>
      <c r="P62" s="1">
        <f>SUM(OSRRefP22_11x_0)</f>
        <v>825</v>
      </c>
      <c r="Q62" s="1"/>
      <c r="R62" s="5">
        <f t="shared" ref="R62:R67" si="32">IF(P$12=0,0,P62/P$12)</f>
        <v>2.4540424772443335E-3</v>
      </c>
      <c r="S62" s="1"/>
      <c r="T62" s="1">
        <f>SUM(OSRRefT22_11x_0)</f>
        <v>0</v>
      </c>
      <c r="U62" s="1"/>
      <c r="V62" s="5">
        <f t="shared" ref="V62:V67" si="33">IF(T$12=0,0,T62/T$12)</f>
        <v>0</v>
      </c>
      <c r="W62" s="1"/>
      <c r="X62" s="1">
        <f t="shared" ref="X62:X67" si="34">+P62-T62</f>
        <v>825</v>
      </c>
      <c r="Y62" s="1"/>
      <c r="Z62" s="5">
        <f t="shared" ref="Z62:Z67" si="35">IF(T62=0,0,X62/T62)</f>
        <v>0</v>
      </c>
    </row>
    <row r="63" spans="1:26" s="24" customFormat="1" hidden="1" outlineLevel="2" x14ac:dyDescent="0.25">
      <c r="A63" s="25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825</v>
      </c>
      <c r="Q63" s="2"/>
      <c r="R63" s="7">
        <f t="shared" si="32"/>
        <v>2.4540424772443335E-3</v>
      </c>
      <c r="S63" s="2"/>
      <c r="T63" s="6"/>
      <c r="U63" s="2"/>
      <c r="V63" s="7">
        <f t="shared" si="33"/>
        <v>0</v>
      </c>
      <c r="W63" s="2"/>
      <c r="X63" s="6">
        <f t="shared" si="34"/>
        <v>825</v>
      </c>
      <c r="Y63" s="2"/>
      <c r="Z63" s="7">
        <f t="shared" si="35"/>
        <v>0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4628.3599999999997</v>
      </c>
      <c r="E64" s="1"/>
      <c r="F64" s="5">
        <f t="shared" si="28"/>
        <v>3.20224167156744E-2</v>
      </c>
      <c r="G64" s="1"/>
      <c r="H64" s="1">
        <f>SUM(OSRRefH22_12x_0)</f>
        <v>7000</v>
      </c>
      <c r="I64" s="1"/>
      <c r="J64" s="5">
        <f t="shared" si="29"/>
        <v>0.26292067307692307</v>
      </c>
      <c r="K64" s="1"/>
      <c r="L64" s="1">
        <f t="shared" si="30"/>
        <v>-2371.6400000000003</v>
      </c>
      <c r="M64" s="1"/>
      <c r="N64" s="5">
        <f t="shared" si="31"/>
        <v>-0.33880571428571432</v>
      </c>
      <c r="O64" s="13"/>
      <c r="P64" s="1">
        <f>SUM(OSRRefP22_12x_0)</f>
        <v>23282.71</v>
      </c>
      <c r="Q64" s="1"/>
      <c r="R64" s="5">
        <f t="shared" si="32"/>
        <v>6.9256677970135044E-2</v>
      </c>
      <c r="S64" s="1"/>
      <c r="T64" s="1">
        <f>SUM(OSRRefT22_12x_0)</f>
        <v>56100</v>
      </c>
      <c r="U64" s="1"/>
      <c r="V64" s="5">
        <f t="shared" si="33"/>
        <v>0.15645306129278755</v>
      </c>
      <c r="W64" s="1"/>
      <c r="X64" s="1">
        <f t="shared" si="34"/>
        <v>-32817.29</v>
      </c>
      <c r="Y64" s="1"/>
      <c r="Z64" s="5">
        <f t="shared" si="35"/>
        <v>-0.58497843137254901</v>
      </c>
    </row>
    <row r="65" spans="1:26" s="24" customFormat="1" hidden="1" outlineLevel="2" x14ac:dyDescent="0.25">
      <c r="A65" s="25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0.26292067307692307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1.2293116782675947E-3</v>
      </c>
      <c r="S65" s="2"/>
      <c r="T65" s="6">
        <v>56100</v>
      </c>
      <c r="U65" s="2"/>
      <c r="V65" s="7">
        <f t="shared" si="33"/>
        <v>0.15645306129278755</v>
      </c>
      <c r="W65" s="2"/>
      <c r="X65" s="6">
        <f t="shared" si="34"/>
        <v>-55686.73</v>
      </c>
      <c r="Y65" s="2"/>
      <c r="Z65" s="7">
        <f t="shared" si="35"/>
        <v>-0.99263333333333337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6">
        <v>4628.3599999999997</v>
      </c>
      <c r="E66" s="2"/>
      <c r="F66" s="7">
        <f t="shared" si="28"/>
        <v>3.20224167156744E-2</v>
      </c>
      <c r="G66" s="2"/>
      <c r="H66" s="6"/>
      <c r="I66" s="2"/>
      <c r="J66" s="7">
        <f t="shared" si="29"/>
        <v>0</v>
      </c>
      <c r="K66" s="2"/>
      <c r="L66" s="6">
        <f t="shared" si="30"/>
        <v>4628.3599999999997</v>
      </c>
      <c r="M66" s="2"/>
      <c r="N66" s="7">
        <f t="shared" si="31"/>
        <v>0</v>
      </c>
      <c r="O66" s="11"/>
      <c r="P66" s="6">
        <v>22665.919999999998</v>
      </c>
      <c r="Q66" s="2"/>
      <c r="R66" s="7">
        <f t="shared" si="32"/>
        <v>6.7421976322208338E-2</v>
      </c>
      <c r="S66" s="2"/>
      <c r="T66" s="6"/>
      <c r="U66" s="2"/>
      <c r="V66" s="7">
        <f t="shared" si="33"/>
        <v>0</v>
      </c>
      <c r="W66" s="2"/>
      <c r="X66" s="6">
        <f t="shared" si="34"/>
        <v>22665.919999999998</v>
      </c>
      <c r="Y66" s="2"/>
      <c r="Z66" s="7">
        <f t="shared" si="35"/>
        <v>0</v>
      </c>
    </row>
    <row r="67" spans="1:26" s="24" customFormat="1" hidden="1" outlineLevel="2" x14ac:dyDescent="0.25">
      <c r="A67" s="25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6.0538996965911127E-4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7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197.2</v>
      </c>
      <c r="E68" s="1"/>
      <c r="F68" s="5">
        <f t="shared" ref="F68:F71" si="36">IF(D$12=0,0,D68/D$12)</f>
        <v>1.3643754108001521E-3</v>
      </c>
      <c r="G68" s="1"/>
      <c r="H68" s="1">
        <f>SUM(OSRRefH22_13x_0)</f>
        <v>350</v>
      </c>
      <c r="I68" s="1"/>
      <c r="J68" s="5">
        <f t="shared" ref="J68:J71" si="37">IF(H$12=0,0,H68/H$12)</f>
        <v>1.3146033653846154E-2</v>
      </c>
      <c r="K68" s="1"/>
      <c r="L68" s="1">
        <f t="shared" ref="L68:L71" si="38">+D68-H68</f>
        <v>-152.80000000000001</v>
      </c>
      <c r="M68" s="1"/>
      <c r="N68" s="5">
        <f t="shared" ref="N68:N71" si="39">IF(H68=0,0,L68/H68)</f>
        <v>-0.43657142857142861</v>
      </c>
      <c r="O68" s="13"/>
      <c r="P68" s="1">
        <f>SUM(OSRRefP22_13x_0)</f>
        <v>1511.2</v>
      </c>
      <c r="Q68" s="1"/>
      <c r="R68" s="5">
        <f t="shared" ref="R68:R71" si="40">IF(P$12=0,0,P68/P$12)</f>
        <v>4.4952108989231958E-3</v>
      </c>
      <c r="S68" s="1"/>
      <c r="T68" s="1">
        <f>SUM(OSRRefT22_13x_0)</f>
        <v>2800</v>
      </c>
      <c r="U68" s="1"/>
      <c r="V68" s="5">
        <f t="shared" ref="V68:V71" si="41">IF(T$12=0,0,T68/T$12)</f>
        <v>7.8087089415295029E-3</v>
      </c>
      <c r="W68" s="1"/>
      <c r="X68" s="1">
        <f t="shared" ref="X68:X71" si="42">+P68-T68</f>
        <v>-1288.8</v>
      </c>
      <c r="Y68" s="1"/>
      <c r="Z68" s="5">
        <f t="shared" ref="Z68:Z71" si="43">IF(T68=0,0,X68/T68)</f>
        <v>-0.46028571428571424</v>
      </c>
    </row>
    <row r="69" spans="1:26" s="24" customFormat="1" hidden="1" outlineLevel="2" x14ac:dyDescent="0.25">
      <c r="A69" s="25"/>
      <c r="B69" s="11" t="str">
        <f>CONCATENATE("          ", "6309", " - ", "TELEPHONE")</f>
        <v xml:space="preserve">          6309 - TELEPHONE</v>
      </c>
      <c r="C69" s="11"/>
      <c r="D69" s="6">
        <v>197.2</v>
      </c>
      <c r="E69" s="2"/>
      <c r="F69" s="7">
        <f t="shared" si="36"/>
        <v>1.3643754108001521E-3</v>
      </c>
      <c r="G69" s="2"/>
      <c r="H69" s="6">
        <v>350</v>
      </c>
      <c r="I69" s="2"/>
      <c r="J69" s="7">
        <f t="shared" si="37"/>
        <v>1.3146033653846154E-2</v>
      </c>
      <c r="K69" s="2"/>
      <c r="L69" s="6">
        <f t="shared" si="38"/>
        <v>-152.80000000000001</v>
      </c>
      <c r="M69" s="2"/>
      <c r="N69" s="7">
        <f t="shared" si="39"/>
        <v>-0.43657142857142861</v>
      </c>
      <c r="O69" s="11"/>
      <c r="P69" s="6">
        <v>1511.2</v>
      </c>
      <c r="Q69" s="2"/>
      <c r="R69" s="7">
        <f t="shared" si="40"/>
        <v>4.4952108989231958E-3</v>
      </c>
      <c r="S69" s="2"/>
      <c r="T69" s="6">
        <v>2800</v>
      </c>
      <c r="U69" s="2"/>
      <c r="V69" s="7">
        <f t="shared" si="41"/>
        <v>7.8087089415295029E-3</v>
      </c>
      <c r="W69" s="2"/>
      <c r="X69" s="6">
        <f t="shared" si="42"/>
        <v>-1288.8</v>
      </c>
      <c r="Y69" s="2"/>
      <c r="Z69" s="7">
        <f t="shared" si="43"/>
        <v>-0.46028571428571424</v>
      </c>
    </row>
    <row r="70" spans="1:26" s="27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0</v>
      </c>
      <c r="E70" s="1"/>
      <c r="F70" s="5">
        <f t="shared" si="36"/>
        <v>0</v>
      </c>
      <c r="G70" s="1"/>
      <c r="H70" s="1">
        <f>SUM(OSRRefH22_14x_0)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3"/>
      <c r="P70" s="1">
        <f>SUM(OSRRefP22_14x_0)</f>
        <v>0</v>
      </c>
      <c r="Q70" s="1"/>
      <c r="R70" s="5">
        <f t="shared" si="40"/>
        <v>0</v>
      </c>
      <c r="S70" s="1"/>
      <c r="T70" s="1">
        <f>SUM(OSRRefT22_14x_0)</f>
        <v>2500</v>
      </c>
      <c r="U70" s="1"/>
      <c r="V70" s="5">
        <f t="shared" si="41"/>
        <v>6.9720615549370563E-3</v>
      </c>
      <c r="W70" s="1"/>
      <c r="X70" s="1">
        <f t="shared" si="42"/>
        <v>-2500</v>
      </c>
      <c r="Y70" s="1"/>
      <c r="Z70" s="5">
        <f t="shared" si="43"/>
        <v>-1</v>
      </c>
    </row>
    <row r="71" spans="1:26" s="24" customFormat="1" hidden="1" outlineLevel="2" x14ac:dyDescent="0.25">
      <c r="A71" s="25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/>
      <c r="Q71" s="2"/>
      <c r="R71" s="7">
        <f t="shared" si="40"/>
        <v>0</v>
      </c>
      <c r="S71" s="2"/>
      <c r="T71" s="6">
        <v>2500</v>
      </c>
      <c r="U71" s="2"/>
      <c r="V71" s="7">
        <f t="shared" si="41"/>
        <v>6.9720615549370563E-3</v>
      </c>
      <c r="W71" s="2"/>
      <c r="X71" s="6">
        <f t="shared" si="42"/>
        <v>-2500</v>
      </c>
      <c r="Y71" s="2"/>
      <c r="Z71" s="7">
        <f t="shared" si="43"/>
        <v>-1</v>
      </c>
    </row>
    <row r="72" spans="1:26" s="53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9" t="s">
        <v>0</v>
      </c>
      <c r="C73" s="10"/>
      <c r="D73" s="4">
        <f>SUM(OSRRefD25x_0)</f>
        <v>2133.16</v>
      </c>
      <c r="E73" s="4"/>
      <c r="F73" s="12">
        <f t="shared" ref="F73:F74" si="44">IF(D$12=0,0,D73/D$12)</f>
        <v>1.4758778150620955E-2</v>
      </c>
      <c r="G73" s="4"/>
      <c r="H73" s="4">
        <f>SUM(OSRRefH25x_0)</f>
        <v>3700</v>
      </c>
      <c r="I73" s="4"/>
      <c r="J73" s="12">
        <f t="shared" ref="J73:J74" si="45">IF(H$12=0,0,H73/H$12)</f>
        <v>0.13897235576923078</v>
      </c>
      <c r="K73" s="4"/>
      <c r="L73" s="4">
        <f t="shared" ref="L73:L74" si="46">+D73-H73</f>
        <v>-1566.8400000000001</v>
      </c>
      <c r="M73" s="4"/>
      <c r="N73" s="12">
        <f t="shared" ref="N73:N74" si="47">IF(H73=0,0,L73/H73)</f>
        <v>-0.42347027027027029</v>
      </c>
      <c r="O73" s="10"/>
      <c r="P73" s="4">
        <f>SUM(OSRRefP25x_0)</f>
        <v>19344.91</v>
      </c>
      <c r="Q73" s="4"/>
      <c r="R73" s="12">
        <f t="shared" ref="R73:R74" si="48">IF(P$12=0,0,P73/P$12)</f>
        <v>5.7543310131477184E-2</v>
      </c>
      <c r="S73" s="4"/>
      <c r="T73" s="4">
        <f>SUM(OSRRefT25x_0)</f>
        <v>23150</v>
      </c>
      <c r="U73" s="4"/>
      <c r="V73" s="12">
        <f t="shared" ref="V73:V74" si="49">IF(T$12=0,0,T73/T$12)</f>
        <v>6.4561289998717145E-2</v>
      </c>
      <c r="W73" s="4"/>
      <c r="X73" s="4">
        <f t="shared" ref="X73:X74" si="50">+P73-T73</f>
        <v>-3805.09</v>
      </c>
      <c r="Y73" s="4"/>
      <c r="Z73" s="12">
        <f t="shared" ref="Z73:Z74" si="51">IF(T73=0,0,X73/T73)</f>
        <v>-0.16436673866090715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--2133.16</f>
        <v>2133.16</v>
      </c>
      <c r="E74" s="2"/>
      <c r="F74" s="19">
        <f t="shared" si="44"/>
        <v>1.4758778150620955E-2</v>
      </c>
      <c r="G74" s="2"/>
      <c r="H74" s="2">
        <v>3700</v>
      </c>
      <c r="I74" s="2"/>
      <c r="J74" s="19">
        <f t="shared" si="45"/>
        <v>0.13897235576923078</v>
      </c>
      <c r="K74" s="2"/>
      <c r="L74" s="2">
        <f t="shared" si="46"/>
        <v>-1566.8400000000001</v>
      </c>
      <c r="M74" s="2"/>
      <c r="N74" s="19">
        <f t="shared" si="47"/>
        <v>-0.42347027027027029</v>
      </c>
      <c r="O74" s="11"/>
      <c r="P74" s="2">
        <f>--19344.91</f>
        <v>19344.91</v>
      </c>
      <c r="Q74" s="2"/>
      <c r="R74" s="19">
        <f t="shared" si="48"/>
        <v>5.7543310131477184E-2</v>
      </c>
      <c r="S74" s="2"/>
      <c r="T74" s="2">
        <v>23150</v>
      </c>
      <c r="U74" s="2"/>
      <c r="V74" s="19">
        <f t="shared" si="49"/>
        <v>6.4561289998717145E-2</v>
      </c>
      <c r="W74" s="2"/>
      <c r="X74" s="2">
        <f t="shared" si="50"/>
        <v>-3805.09</v>
      </c>
      <c r="Y74" s="2"/>
      <c r="Z74" s="19">
        <f t="shared" si="51"/>
        <v>-0.16436673866090715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1">
        <f>+D17-D19+D73</f>
        <v>2053.2799999999952</v>
      </c>
      <c r="E76" s="14"/>
      <c r="F76" s="22">
        <f>IF(D$12=0,0,D76/D$12)</f>
        <v>1.4206109246895183E-2</v>
      </c>
      <c r="G76" s="14"/>
      <c r="H76" s="21">
        <f>+H17-H19+H73</f>
        <v>3492.8584991538446</v>
      </c>
      <c r="I76" s="14"/>
      <c r="J76" s="22">
        <f>IF(H$12=0,0,H76/H$12)</f>
        <v>0.13119210107999718</v>
      </c>
      <c r="K76" s="15"/>
      <c r="L76" s="21">
        <f>+D76-H76</f>
        <v>-1439.5784991538494</v>
      </c>
      <c r="M76" s="15"/>
      <c r="N76" s="22">
        <f>IF(H76=0,0,L76/H76)</f>
        <v>-0.41214910352154022</v>
      </c>
      <c r="O76" s="29"/>
      <c r="P76" s="21">
        <f>+P17-P19+P73</f>
        <v>19985.920000000009</v>
      </c>
      <c r="Q76" s="14"/>
      <c r="R76" s="22">
        <f>IF(P$12=0,0,P76/P$12)</f>
        <v>5.9450056517341927E-2</v>
      </c>
      <c r="S76" s="14"/>
      <c r="T76" s="21">
        <f>+T17-T19+T73</f>
        <v>47040.784837596118</v>
      </c>
      <c r="U76" s="14"/>
      <c r="V76" s="22">
        <f>IF(T$12=0,0,T76/T$12)</f>
        <v>0.13118849899210797</v>
      </c>
      <c r="W76" s="15"/>
      <c r="X76" s="21">
        <f>+P76-T76</f>
        <v>-27054.864837596109</v>
      </c>
      <c r="Y76" s="15"/>
      <c r="Z76" s="22">
        <f>IF(T76=0,0,X76/T76)</f>
        <v>-0.57513634032681393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14277.53</v>
      </c>
      <c r="E78" s="4"/>
      <c r="F78" s="12">
        <f>IF(D$12=0,0,D78/D$12)</f>
        <v>9.8782509426782447E-2</v>
      </c>
      <c r="G78" s="4"/>
      <c r="H78" s="4">
        <v>2248</v>
      </c>
      <c r="I78" s="4"/>
      <c r="J78" s="12">
        <f>IF(H$12=0,0,H78/H$12)</f>
        <v>8.4435096153846159E-2</v>
      </c>
      <c r="K78" s="4"/>
      <c r="L78" s="4">
        <f>+D78-H78</f>
        <v>12029.53</v>
      </c>
      <c r="M78" s="4"/>
      <c r="N78" s="12">
        <f>IF(H78=0,0,L78/H78)</f>
        <v>5.3512144128113883</v>
      </c>
      <c r="O78" s="10"/>
      <c r="P78" s="4">
        <v>34263.39</v>
      </c>
      <c r="Q78" s="4"/>
      <c r="R78" s="12">
        <f>IF(P$12=0,0,P78/P$12)</f>
        <v>0.10191977512047118</v>
      </c>
      <c r="S78" s="4"/>
      <c r="T78" s="4">
        <v>43119</v>
      </c>
      <c r="U78" s="4"/>
      <c r="V78" s="12">
        <f>IF(T$12=0,0,T78/T$12)</f>
        <v>0.12025132887493237</v>
      </c>
      <c r="W78" s="4"/>
      <c r="X78" s="4">
        <f>+P78-T78</f>
        <v>-8855.61</v>
      </c>
      <c r="Y78" s="4"/>
      <c r="Z78" s="12">
        <f>IF(T78=0,0,X78/T78)</f>
        <v>-0.20537605232032283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1">
        <f>+D76-D78</f>
        <v>-12224.250000000005</v>
      </c>
      <c r="E80" s="14"/>
      <c r="F80" s="32">
        <f>IF(D$12=0,0,D80/D$12)</f>
        <v>-8.4576400179887268E-2</v>
      </c>
      <c r="G80" s="14"/>
      <c r="H80" s="31">
        <f>+H76-H78</f>
        <v>1244.8584991538446</v>
      </c>
      <c r="I80" s="14"/>
      <c r="J80" s="32">
        <f>IF(H$12=0,0,H80/H$12)</f>
        <v>4.6757004926151015E-2</v>
      </c>
      <c r="K80" s="15"/>
      <c r="L80" s="31">
        <f>D80-H80</f>
        <v>-13469.10849915385</v>
      </c>
      <c r="M80" s="15"/>
      <c r="N80" s="32">
        <f>IF(H80=0,0,L80/H80)</f>
        <v>-10.819790770042598</v>
      </c>
      <c r="O80" s="29"/>
      <c r="P80" s="31">
        <f>+P76-P78</f>
        <v>-14277.46999999999</v>
      </c>
      <c r="Q80" s="14"/>
      <c r="R80" s="32">
        <f>IF(P$12=0,0,P80/P$12)</f>
        <v>-4.2469718603129245E-2</v>
      </c>
      <c r="S80" s="14"/>
      <c r="T80" s="31">
        <f>+T76-T78</f>
        <v>3921.7848375961185</v>
      </c>
      <c r="U80" s="14"/>
      <c r="V80" s="32">
        <f>IF(T$12=0,0,T80/T$12)</f>
        <v>1.0937170117175586E-2</v>
      </c>
      <c r="W80" s="15"/>
      <c r="X80" s="31">
        <f>P80-T80</f>
        <v>-18199.254837596109</v>
      </c>
      <c r="Y80" s="15"/>
      <c r="Z80" s="32">
        <f>IF(T80=0,0,X80/T80)</f>
        <v>-4.6405541331919302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3">
        <f>SUM(D80:D82)</f>
        <v>-12224.250000000005</v>
      </c>
      <c r="E83" s="14"/>
      <c r="F83" s="30">
        <f>IF(D$12=0,0,D83/D$12)</f>
        <v>-8.4576400179887268E-2</v>
      </c>
      <c r="G83" s="14"/>
      <c r="H83" s="33">
        <f>SUM(H80:H82)</f>
        <v>1244.8584991538446</v>
      </c>
      <c r="I83" s="14"/>
      <c r="J83" s="30">
        <f>IF(H$12=0,0,H83/H$12)</f>
        <v>4.6757004926151015E-2</v>
      </c>
      <c r="K83" s="15"/>
      <c r="L83" s="33">
        <f>+D83-H83</f>
        <v>-13469.10849915385</v>
      </c>
      <c r="M83" s="15"/>
      <c r="N83" s="30">
        <f>IF(H83=0,0,L83/H83)</f>
        <v>-10.819790770042598</v>
      </c>
      <c r="O83" s="29"/>
      <c r="P83" s="33">
        <f>SUM(P80:P82)</f>
        <v>-14277.46999999999</v>
      </c>
      <c r="Q83" s="14"/>
      <c r="R83" s="30">
        <f>IF(P$12=0,0,P83/P$12)</f>
        <v>-4.2469718603129245E-2</v>
      </c>
      <c r="S83" s="14"/>
      <c r="T83" s="33">
        <f>SUM(T80:T82)</f>
        <v>3921.7848375961185</v>
      </c>
      <c r="U83" s="14"/>
      <c r="V83" s="30">
        <f>IF(T$12=0,0,T83/T$12)</f>
        <v>1.0937170117175586E-2</v>
      </c>
      <c r="W83" s="15"/>
      <c r="X83" s="33">
        <f>+P83-T83</f>
        <v>-18199.254837596109</v>
      </c>
      <c r="Y83" s="15"/>
      <c r="Z83" s="30">
        <f>IF(T83=0,0,X83/T83)</f>
        <v>-4.6405541331919302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9">
        <v>43908.494294791664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3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7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",RIGHT(202008,2),", ",2020)</f>
        <v>Period 08, 2020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43890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144535</v>
      </c>
      <c r="E12" s="4"/>
      <c r="F12" s="12"/>
      <c r="G12" s="4"/>
      <c r="H12" s="4">
        <f>SUM(OSRRefH13x_0)</f>
        <v>26624</v>
      </c>
      <c r="I12" s="4"/>
      <c r="J12" s="12"/>
      <c r="K12" s="4"/>
      <c r="L12" s="4">
        <f t="shared" ref="L12:L13" si="0">+D12-H12</f>
        <v>117911</v>
      </c>
      <c r="M12" s="4"/>
      <c r="N12" s="12">
        <f t="shared" ref="N12:N13" si="1">IF(H12=0,0,L12/H12)</f>
        <v>4.4287484975961542</v>
      </c>
      <c r="O12" s="10"/>
      <c r="P12" s="4">
        <f>SUM(OSRRefP13x_0)</f>
        <v>336180</v>
      </c>
      <c r="Q12" s="4"/>
      <c r="R12" s="12"/>
      <c r="S12" s="4"/>
      <c r="T12" s="4">
        <f>SUM(OSRRefT13x_0)</f>
        <v>358574</v>
      </c>
      <c r="U12" s="4"/>
      <c r="V12" s="12"/>
      <c r="W12" s="4"/>
      <c r="X12" s="4">
        <f t="shared" ref="X12:X13" si="2">+P12-T12</f>
        <v>-22394</v>
      </c>
      <c r="Y12" s="4"/>
      <c r="Z12" s="12">
        <f t="shared" ref="Z12:Z13" si="3">IF(T12=0,0,X12/T12)</f>
        <v>-6.2452938584504174E-2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--144535</f>
        <v>144535</v>
      </c>
      <c r="E13" s="2"/>
      <c r="F13" s="19"/>
      <c r="G13" s="2"/>
      <c r="H13" s="2">
        <v>26624</v>
      </c>
      <c r="I13" s="2"/>
      <c r="J13" s="19"/>
      <c r="K13" s="2"/>
      <c r="L13" s="2">
        <f t="shared" si="0"/>
        <v>117911</v>
      </c>
      <c r="M13" s="2"/>
      <c r="N13" s="19">
        <f t="shared" si="1"/>
        <v>4.4287484975961542</v>
      </c>
      <c r="O13" s="11"/>
      <c r="P13" s="2">
        <f>--336180</f>
        <v>336180</v>
      </c>
      <c r="Q13" s="2"/>
      <c r="R13" s="19"/>
      <c r="S13" s="2"/>
      <c r="T13" s="2">
        <v>358574</v>
      </c>
      <c r="U13" s="2"/>
      <c r="V13" s="19"/>
      <c r="W13" s="2"/>
      <c r="X13" s="2">
        <f t="shared" si="2"/>
        <v>-22394</v>
      </c>
      <c r="Y13" s="2"/>
      <c r="Z13" s="19">
        <f t="shared" si="3"/>
        <v>-6.2452938584504174E-2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144535</v>
      </c>
      <c r="E17" s="14"/>
      <c r="F17" s="22">
        <f>IF(D$12=0,0,D17/D$12)</f>
        <v>1</v>
      </c>
      <c r="G17" s="14"/>
      <c r="H17" s="21">
        <f>H12-H15</f>
        <v>26624</v>
      </c>
      <c r="I17" s="14"/>
      <c r="J17" s="22">
        <f>IF(H$12=0,0,H17/H$12)</f>
        <v>1</v>
      </c>
      <c r="K17" s="15"/>
      <c r="L17" s="21">
        <f>+D17-H17</f>
        <v>117911</v>
      </c>
      <c r="M17" s="15"/>
      <c r="N17" s="22">
        <f>IF(H17=0,0,L17/H17)</f>
        <v>4.4287484975961542</v>
      </c>
      <c r="O17" s="29"/>
      <c r="P17" s="21">
        <f>P12-P15</f>
        <v>336180</v>
      </c>
      <c r="Q17" s="14"/>
      <c r="R17" s="22">
        <f>IF(P$12=0,0,P17/P$12)</f>
        <v>1</v>
      </c>
      <c r="S17" s="14"/>
      <c r="T17" s="21">
        <f>T12-T15</f>
        <v>358574</v>
      </c>
      <c r="U17" s="14"/>
      <c r="V17" s="22">
        <f>IF(T$12=0,0,T17/T$12)</f>
        <v>1</v>
      </c>
      <c r="W17" s="15"/>
      <c r="X17" s="21">
        <f>+P17-T17</f>
        <v>-22394</v>
      </c>
      <c r="Y17" s="15"/>
      <c r="Z17" s="22">
        <f>IF(T17=0,0,X17/T17)</f>
        <v>-6.2452938584504174E-2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144614.88</v>
      </c>
      <c r="E19" s="20"/>
      <c r="F19" s="34">
        <f t="shared" ref="F19:F29" si="4">IF(D$12=0,0,D19/D$12)</f>
        <v>1.0005526689037259</v>
      </c>
      <c r="G19" s="20"/>
      <c r="H19" s="20">
        <f>SUM(OSRRefH22x_0)</f>
        <v>26831.141500846155</v>
      </c>
      <c r="I19" s="20"/>
      <c r="J19" s="34">
        <f t="shared" ref="J19:J29" si="5">IF(H$12=0,0,H19/H$12)</f>
        <v>1.0077802546892336</v>
      </c>
      <c r="K19" s="4"/>
      <c r="L19" s="20">
        <f t="shared" ref="L19:L29" si="6">+D19-H19</f>
        <v>117783.73849915384</v>
      </c>
      <c r="M19" s="4"/>
      <c r="N19" s="34">
        <f t="shared" ref="N19:N29" si="7">IF(H19=0,0,L19/H19)</f>
        <v>4.3898146672380438</v>
      </c>
      <c r="O19" s="10"/>
      <c r="P19" s="20">
        <f>SUM(OSRRefP22x_0)</f>
        <v>335538.99</v>
      </c>
      <c r="Q19" s="20"/>
      <c r="R19" s="34">
        <f t="shared" ref="R19:R29" si="8">IF(P$12=0,0,P19/P$12)</f>
        <v>0.99809325361413526</v>
      </c>
      <c r="S19" s="20"/>
      <c r="T19" s="20">
        <f>SUM(OSRRefT22x_0)</f>
        <v>334683.21516240388</v>
      </c>
      <c r="U19" s="20"/>
      <c r="V19" s="34">
        <f t="shared" ref="V19:V29" si="9">IF(T$12=0,0,T19/T$12)</f>
        <v>0.93337279100660919</v>
      </c>
      <c r="W19" s="4"/>
      <c r="X19" s="20">
        <f t="shared" ref="X19:X29" si="10">+P19-T19</f>
        <v>855.77483759610914</v>
      </c>
      <c r="Y19" s="4"/>
      <c r="Z19" s="34">
        <f t="shared" ref="Z19:Z29" si="11">IF(T19=0,0,X19/T19)</f>
        <v>2.5569696920141253E-3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4077.6500000000005</v>
      </c>
      <c r="E20" s="1"/>
      <c r="F20" s="5">
        <f t="shared" si="4"/>
        <v>2.8212197737572216E-2</v>
      </c>
      <c r="G20" s="1"/>
      <c r="H20" s="1">
        <f>SUM(OSRRefH22_0x_0)</f>
        <v>1031.7630393076925</v>
      </c>
      <c r="I20" s="1"/>
      <c r="J20" s="5">
        <f t="shared" si="5"/>
        <v>3.8753118964381481E-2</v>
      </c>
      <c r="K20" s="1"/>
      <c r="L20" s="1">
        <f t="shared" si="6"/>
        <v>3045.8869606923081</v>
      </c>
      <c r="M20" s="1"/>
      <c r="N20" s="5">
        <f t="shared" si="7"/>
        <v>2.9521186984330066</v>
      </c>
      <c r="O20" s="13"/>
      <c r="P20" s="1">
        <f>SUM(OSRRefP22_0x_0)</f>
        <v>35463.56</v>
      </c>
      <c r="Q20" s="1"/>
      <c r="R20" s="5">
        <f t="shared" si="8"/>
        <v>0.10548979713248854</v>
      </c>
      <c r="S20" s="1"/>
      <c r="T20" s="1">
        <f>SUM(OSRRefT22_0x_0)</f>
        <v>10253.461123942305</v>
      </c>
      <c r="U20" s="1"/>
      <c r="V20" s="5">
        <f t="shared" si="9"/>
        <v>2.8595104842911938E-2</v>
      </c>
      <c r="W20" s="1"/>
      <c r="X20" s="1">
        <f t="shared" si="10"/>
        <v>25210.098876057695</v>
      </c>
      <c r="Y20" s="1"/>
      <c r="Z20" s="5">
        <f t="shared" si="11"/>
        <v>2.4586916136241013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1001.81</v>
      </c>
      <c r="E21" s="2"/>
      <c r="F21" s="7">
        <f t="shared" si="4"/>
        <v>6.9312623240045659E-3</v>
      </c>
      <c r="G21" s="2"/>
      <c r="H21" s="6">
        <v>283.01206084615399</v>
      </c>
      <c r="I21" s="2"/>
      <c r="J21" s="7">
        <f t="shared" si="5"/>
        <v>1.0629960218079703E-2</v>
      </c>
      <c r="K21" s="2"/>
      <c r="L21" s="6">
        <f t="shared" si="6"/>
        <v>718.79793915384596</v>
      </c>
      <c r="M21" s="2"/>
      <c r="N21" s="7">
        <f t="shared" si="7"/>
        <v>2.5398138051246733</v>
      </c>
      <c r="O21" s="11"/>
      <c r="P21" s="6">
        <v>8719.5300000000007</v>
      </c>
      <c r="Q21" s="2"/>
      <c r="R21" s="7">
        <f t="shared" si="8"/>
        <v>2.5937087274674284E-2</v>
      </c>
      <c r="S21" s="2"/>
      <c r="T21" s="6">
        <v>3900.2727124038443</v>
      </c>
      <c r="U21" s="2"/>
      <c r="V21" s="7">
        <f t="shared" si="9"/>
        <v>1.0877176572768366E-2</v>
      </c>
      <c r="W21" s="2"/>
      <c r="X21" s="6">
        <f t="shared" si="10"/>
        <v>4819.2572875961559</v>
      </c>
      <c r="Y21" s="2"/>
      <c r="Z21" s="7">
        <f t="shared" si="11"/>
        <v>1.2356205944957928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56.69</v>
      </c>
      <c r="E22" s="2"/>
      <c r="F22" s="7">
        <f t="shared" si="4"/>
        <v>3.9222333690801535E-4</v>
      </c>
      <c r="G22" s="2"/>
      <c r="H22" s="6">
        <v>243.47177307692297</v>
      </c>
      <c r="I22" s="2"/>
      <c r="J22" s="7">
        <f t="shared" si="5"/>
        <v>9.1448232075166374E-3</v>
      </c>
      <c r="K22" s="2"/>
      <c r="L22" s="6">
        <f t="shared" si="6"/>
        <v>-186.78177307692297</v>
      </c>
      <c r="M22" s="2"/>
      <c r="N22" s="7">
        <f t="shared" si="7"/>
        <v>-0.7671598671025851</v>
      </c>
      <c r="O22" s="11"/>
      <c r="P22" s="6">
        <v>394.95</v>
      </c>
      <c r="Q22" s="2"/>
      <c r="R22" s="7">
        <f t="shared" si="8"/>
        <v>1.17481706228806E-3</v>
      </c>
      <c r="S22" s="2"/>
      <c r="T22" s="6">
        <v>1818.6129519230769</v>
      </c>
      <c r="U22" s="2"/>
      <c r="V22" s="7">
        <f t="shared" si="9"/>
        <v>5.0717925781653909E-3</v>
      </c>
      <c r="W22" s="2"/>
      <c r="X22" s="6">
        <f t="shared" si="10"/>
        <v>-1423.6629519230769</v>
      </c>
      <c r="Y22" s="2"/>
      <c r="Z22" s="7">
        <f t="shared" si="11"/>
        <v>-0.78282899636101044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1298.72</v>
      </c>
      <c r="E23" s="2"/>
      <c r="F23" s="7">
        <f t="shared" si="4"/>
        <v>8.9855052409451002E-3</v>
      </c>
      <c r="G23" s="2"/>
      <c r="H23" s="6">
        <v>138.1</v>
      </c>
      <c r="I23" s="2"/>
      <c r="J23" s="7">
        <f t="shared" si="5"/>
        <v>5.1870492788461536E-3</v>
      </c>
      <c r="K23" s="2"/>
      <c r="L23" s="6">
        <f t="shared" si="6"/>
        <v>1160.6200000000001</v>
      </c>
      <c r="M23" s="2"/>
      <c r="N23" s="7">
        <f t="shared" si="7"/>
        <v>8.4041998551774082</v>
      </c>
      <c r="O23" s="11"/>
      <c r="P23" s="6">
        <v>10057.299999999999</v>
      </c>
      <c r="Q23" s="2"/>
      <c r="R23" s="7">
        <f t="shared" si="8"/>
        <v>2.9916413825926583E-2</v>
      </c>
      <c r="S23" s="2"/>
      <c r="T23" s="6">
        <v>1104.8</v>
      </c>
      <c r="U23" s="2"/>
      <c r="V23" s="7">
        <f t="shared" si="9"/>
        <v>3.0810934423577837E-3</v>
      </c>
      <c r="W23" s="2"/>
      <c r="X23" s="6">
        <f t="shared" si="10"/>
        <v>8952.5</v>
      </c>
      <c r="Y23" s="2"/>
      <c r="Z23" s="7">
        <f t="shared" si="11"/>
        <v>8.1032766111513403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43.38</v>
      </c>
      <c r="E24" s="2"/>
      <c r="F24" s="7">
        <f t="shared" si="4"/>
        <v>3.001349154184108E-4</v>
      </c>
      <c r="G24" s="2"/>
      <c r="H24" s="6">
        <v>33.317189999999997</v>
      </c>
      <c r="I24" s="2"/>
      <c r="J24" s="7">
        <f t="shared" si="5"/>
        <v>1.2513968599759614E-3</v>
      </c>
      <c r="K24" s="2"/>
      <c r="L24" s="6">
        <f t="shared" si="6"/>
        <v>10.062810000000006</v>
      </c>
      <c r="M24" s="2"/>
      <c r="N24" s="7">
        <f t="shared" si="7"/>
        <v>0.30203057340670109</v>
      </c>
      <c r="O24" s="11"/>
      <c r="P24" s="6">
        <v>371.34</v>
      </c>
      <c r="Q24" s="2"/>
      <c r="R24" s="7">
        <f t="shared" si="8"/>
        <v>1.1045868284847403E-3</v>
      </c>
      <c r="S24" s="2"/>
      <c r="T24" s="6">
        <v>248.86282499999999</v>
      </c>
      <c r="U24" s="2"/>
      <c r="V24" s="7">
        <f t="shared" si="9"/>
        <v>6.9403477385421135E-4</v>
      </c>
      <c r="W24" s="2"/>
      <c r="X24" s="6">
        <f t="shared" si="10"/>
        <v>122.47717499999999</v>
      </c>
      <c r="Y24" s="2"/>
      <c r="Z24" s="7">
        <f t="shared" si="11"/>
        <v>0.49214733056252974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4.4243262877503723E-3</v>
      </c>
      <c r="G25" s="2"/>
      <c r="H25" s="6">
        <v>56.936630769230796</v>
      </c>
      <c r="I25" s="2"/>
      <c r="J25" s="7">
        <f t="shared" si="5"/>
        <v>2.1385453263683442E-3</v>
      </c>
      <c r="K25" s="2"/>
      <c r="L25" s="6">
        <f t="shared" si="6"/>
        <v>582.53336923076927</v>
      </c>
      <c r="M25" s="2"/>
      <c r="N25" s="7">
        <f t="shared" si="7"/>
        <v>10.231258178795802</v>
      </c>
      <c r="O25" s="11"/>
      <c r="P25" s="6">
        <v>6205.92</v>
      </c>
      <c r="Q25" s="2"/>
      <c r="R25" s="7">
        <f t="shared" si="8"/>
        <v>1.8460110655006245E-2</v>
      </c>
      <c r="S25" s="2"/>
      <c r="T25" s="6">
        <v>498.19551923076943</v>
      </c>
      <c r="U25" s="2"/>
      <c r="V25" s="7">
        <f t="shared" si="9"/>
        <v>1.3893799305883009E-3</v>
      </c>
      <c r="W25" s="2"/>
      <c r="X25" s="6">
        <f t="shared" si="10"/>
        <v>5707.7244807692305</v>
      </c>
      <c r="Y25" s="2"/>
      <c r="Z25" s="7">
        <f t="shared" si="11"/>
        <v>11.456796098010171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577.95000000000005</v>
      </c>
      <c r="E27" s="2"/>
      <c r="F27" s="7">
        <f t="shared" si="4"/>
        <v>3.9986854395129209E-3</v>
      </c>
      <c r="G27" s="2"/>
      <c r="H27" s="6">
        <v>33.102692307692301</v>
      </c>
      <c r="I27" s="2"/>
      <c r="J27" s="7">
        <f t="shared" si="5"/>
        <v>1.2433403060281062E-3</v>
      </c>
      <c r="K27" s="2"/>
      <c r="L27" s="6">
        <f t="shared" si="6"/>
        <v>544.84730769230771</v>
      </c>
      <c r="M27" s="2"/>
      <c r="N27" s="7">
        <f t="shared" si="7"/>
        <v>16.459304960089238</v>
      </c>
      <c r="O27" s="11"/>
      <c r="P27" s="6">
        <v>5648.78</v>
      </c>
      <c r="Q27" s="2"/>
      <c r="R27" s="7">
        <f t="shared" si="8"/>
        <v>1.6802843714676659E-2</v>
      </c>
      <c r="S27" s="2"/>
      <c r="T27" s="6">
        <v>289.64855769230769</v>
      </c>
      <c r="U27" s="2"/>
      <c r="V27" s="7">
        <f t="shared" si="9"/>
        <v>8.0777902941180253E-4</v>
      </c>
      <c r="W27" s="2"/>
      <c r="X27" s="6">
        <f t="shared" si="10"/>
        <v>5359.1314423076919</v>
      </c>
      <c r="Y27" s="2"/>
      <c r="Z27" s="7">
        <f t="shared" si="11"/>
        <v>18.502185838607463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288.58</v>
      </c>
      <c r="E28" s="2"/>
      <c r="F28" s="7">
        <f t="shared" si="4"/>
        <v>1.9966098176912167E-3</v>
      </c>
      <c r="G28" s="2"/>
      <c r="H28" s="6">
        <v>93.822692307692307</v>
      </c>
      <c r="I28" s="2"/>
      <c r="J28" s="7">
        <f t="shared" si="5"/>
        <v>3.5239893444896451E-3</v>
      </c>
      <c r="K28" s="2"/>
      <c r="L28" s="6">
        <f t="shared" si="6"/>
        <v>194.75730769230768</v>
      </c>
      <c r="M28" s="2"/>
      <c r="N28" s="7">
        <f t="shared" si="7"/>
        <v>2.0758017373195758</v>
      </c>
      <c r="O28" s="11"/>
      <c r="P28" s="6">
        <v>2842.86</v>
      </c>
      <c r="Q28" s="2"/>
      <c r="R28" s="7">
        <f t="shared" si="8"/>
        <v>8.4563626628591827E-3</v>
      </c>
      <c r="S28" s="2"/>
      <c r="T28" s="6">
        <v>1193.0685576923063</v>
      </c>
      <c r="U28" s="2"/>
      <c r="V28" s="7">
        <f t="shared" si="9"/>
        <v>3.3272589693962929E-3</v>
      </c>
      <c r="W28" s="2"/>
      <c r="X28" s="6">
        <f t="shared" si="10"/>
        <v>1649.7914423076938</v>
      </c>
      <c r="Y28" s="2"/>
      <c r="Z28" s="7">
        <f t="shared" si="11"/>
        <v>1.3828136125712709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171.05</v>
      </c>
      <c r="E29" s="2"/>
      <c r="F29" s="7">
        <f t="shared" si="4"/>
        <v>1.1834503753416128E-3</v>
      </c>
      <c r="G29" s="2"/>
      <c r="H29" s="6">
        <v>150</v>
      </c>
      <c r="I29" s="2"/>
      <c r="J29" s="7">
        <f t="shared" si="5"/>
        <v>5.634014423076923E-3</v>
      </c>
      <c r="K29" s="2"/>
      <c r="L29" s="6">
        <f t="shared" si="6"/>
        <v>21.050000000000011</v>
      </c>
      <c r="M29" s="2"/>
      <c r="N29" s="7">
        <f t="shared" si="7"/>
        <v>0.14033333333333342</v>
      </c>
      <c r="O29" s="11"/>
      <c r="P29" s="6">
        <v>1222.8800000000001</v>
      </c>
      <c r="Q29" s="2"/>
      <c r="R29" s="7">
        <f t="shared" si="8"/>
        <v>3.6375751085727889E-3</v>
      </c>
      <c r="S29" s="2"/>
      <c r="T29" s="6">
        <v>1200</v>
      </c>
      <c r="U29" s="2"/>
      <c r="V29" s="7">
        <f t="shared" si="9"/>
        <v>3.3465895463697872E-3</v>
      </c>
      <c r="W29" s="2"/>
      <c r="X29" s="6">
        <f t="shared" si="10"/>
        <v>22.880000000000109</v>
      </c>
      <c r="Y29" s="2"/>
      <c r="Z29" s="7">
        <f t="shared" si="11"/>
        <v>1.9066666666666756E-2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15402.619999999999</v>
      </c>
      <c r="E30" s="1"/>
      <c r="F30" s="5">
        <f t="shared" ref="F30:F40" si="12">IF(D$12=0,0,D30/D$12)</f>
        <v>0.10656671394471927</v>
      </c>
      <c r="G30" s="1"/>
      <c r="H30" s="1">
        <f>SUM(OSRRefH22_1x_0)</f>
        <v>12687.378461538461</v>
      </c>
      <c r="I30" s="1"/>
      <c r="J30" s="5">
        <f t="shared" ref="J30:J40" si="13">IF(H$12=0,0,H30/H$12)</f>
        <v>0.47653915495562127</v>
      </c>
      <c r="K30" s="1"/>
      <c r="L30" s="1">
        <f t="shared" ref="L30:L40" si="14">+D30-H30</f>
        <v>2715.2415384615379</v>
      </c>
      <c r="M30" s="1"/>
      <c r="N30" s="5">
        <f t="shared" ref="N30:N40" si="15">IF(H30=0,0,L30/H30)</f>
        <v>0.21401123539372136</v>
      </c>
      <c r="O30" s="13"/>
      <c r="P30" s="1">
        <f>SUM(OSRRefP22_1x_0)</f>
        <v>134696.46</v>
      </c>
      <c r="Q30" s="1"/>
      <c r="R30" s="5">
        <f t="shared" ref="R30:R40" si="16">IF(P$12=0,0,P30/P$12)</f>
        <v>0.40066767802962694</v>
      </c>
      <c r="S30" s="1"/>
      <c r="T30" s="1">
        <f>SUM(OSRRefT22_1x_0)</f>
        <v>94233.754038461542</v>
      </c>
      <c r="U30" s="1"/>
      <c r="V30" s="5">
        <f t="shared" ref="V30:V40" si="17">IF(T$12=0,0,T30/T$12)</f>
        <v>0.26280141348358094</v>
      </c>
      <c r="W30" s="1"/>
      <c r="X30" s="1">
        <f t="shared" ref="X30:X40" si="18">+P30-T30</f>
        <v>40462.70596153845</v>
      </c>
      <c r="Y30" s="1"/>
      <c r="Z30" s="5">
        <f t="shared" ref="Z30:Z40" si="19">IF(T30=0,0,X30/T30)</f>
        <v>0.42938654386010749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5804.8</v>
      </c>
      <c r="E32" s="2"/>
      <c r="F32" s="7">
        <f t="shared" si="12"/>
        <v>4.0161898502092917E-2</v>
      </c>
      <c r="G32" s="2"/>
      <c r="H32" s="6">
        <v>595.84846153846195</v>
      </c>
      <c r="I32" s="2"/>
      <c r="J32" s="7">
        <f t="shared" si="13"/>
        <v>2.2380125508505933E-2</v>
      </c>
      <c r="K32" s="2"/>
      <c r="L32" s="6">
        <f t="shared" si="14"/>
        <v>5208.9515384615379</v>
      </c>
      <c r="M32" s="2"/>
      <c r="N32" s="7">
        <f t="shared" si="15"/>
        <v>8.742074327106911</v>
      </c>
      <c r="O32" s="11"/>
      <c r="P32" s="6">
        <v>47186.67</v>
      </c>
      <c r="Q32" s="2"/>
      <c r="R32" s="7">
        <f t="shared" si="16"/>
        <v>0.14036132429055861</v>
      </c>
      <c r="S32" s="2"/>
      <c r="T32" s="6">
        <v>5213.6740384615405</v>
      </c>
      <c r="U32" s="2"/>
      <c r="V32" s="7">
        <f t="shared" si="17"/>
        <v>1.4540022529412451E-2</v>
      </c>
      <c r="W32" s="2"/>
      <c r="X32" s="6">
        <f t="shared" si="18"/>
        <v>41972.995961538458</v>
      </c>
      <c r="Y32" s="2"/>
      <c r="Z32" s="7">
        <f t="shared" si="19"/>
        <v>8.0505600564786981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2975.28</v>
      </c>
      <c r="I34" s="2"/>
      <c r="J34" s="7">
        <f t="shared" si="13"/>
        <v>0.11175180288461539</v>
      </c>
      <c r="K34" s="2"/>
      <c r="L34" s="6">
        <f t="shared" si="14"/>
        <v>-2975.28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24275.58</v>
      </c>
      <c r="U34" s="2"/>
      <c r="V34" s="7">
        <f t="shared" si="17"/>
        <v>6.7700335216719559E-2</v>
      </c>
      <c r="W34" s="2"/>
      <c r="X34" s="6">
        <f t="shared" si="18"/>
        <v>-24275.58</v>
      </c>
      <c r="Y34" s="2"/>
      <c r="Z34" s="7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7346.41</v>
      </c>
      <c r="E35" s="2"/>
      <c r="F35" s="7">
        <f t="shared" si="12"/>
        <v>5.08278963572837E-2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7346.41</v>
      </c>
      <c r="M35" s="2"/>
      <c r="N35" s="7">
        <f t="shared" si="15"/>
        <v>0</v>
      </c>
      <c r="O35" s="11"/>
      <c r="P35" s="6">
        <v>58441.049999999996</v>
      </c>
      <c r="Q35" s="2"/>
      <c r="R35" s="7">
        <f t="shared" si="16"/>
        <v>0.17383856862395144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58441.049999999996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1575</v>
      </c>
      <c r="E37" s="2"/>
      <c r="F37" s="7">
        <f t="shared" si="12"/>
        <v>1.0897014563946449E-2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1575</v>
      </c>
      <c r="M37" s="2"/>
      <c r="N37" s="7">
        <f t="shared" si="15"/>
        <v>0</v>
      </c>
      <c r="O37" s="11"/>
      <c r="P37" s="6">
        <v>24194.5</v>
      </c>
      <c r="Q37" s="2"/>
      <c r="R37" s="7">
        <f t="shared" si="16"/>
        <v>7.1968885715985489E-2</v>
      </c>
      <c r="S37" s="2"/>
      <c r="T37" s="6">
        <v>19992</v>
      </c>
      <c r="U37" s="2"/>
      <c r="V37" s="7">
        <f t="shared" si="17"/>
        <v>5.575418184252065E-2</v>
      </c>
      <c r="W37" s="2"/>
      <c r="X37" s="6">
        <f t="shared" si="18"/>
        <v>4202.5</v>
      </c>
      <c r="Y37" s="2"/>
      <c r="Z37" s="7">
        <f t="shared" si="19"/>
        <v>0.21020908363345339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676.41</v>
      </c>
      <c r="E38" s="2"/>
      <c r="F38" s="7">
        <f t="shared" si="12"/>
        <v>4.6799045213962017E-3</v>
      </c>
      <c r="G38" s="2"/>
      <c r="H38" s="6">
        <v>9116.25</v>
      </c>
      <c r="I38" s="2"/>
      <c r="J38" s="7">
        <f t="shared" si="13"/>
        <v>0.3424072265625</v>
      </c>
      <c r="K38" s="2"/>
      <c r="L38" s="6">
        <f t="shared" si="14"/>
        <v>-8439.84</v>
      </c>
      <c r="M38" s="2"/>
      <c r="N38" s="7">
        <f t="shared" si="15"/>
        <v>-0.92580172768408064</v>
      </c>
      <c r="O38" s="11"/>
      <c r="P38" s="6">
        <v>4874.24</v>
      </c>
      <c r="Q38" s="2"/>
      <c r="R38" s="7">
        <f t="shared" si="16"/>
        <v>1.4498899399131416E-2</v>
      </c>
      <c r="S38" s="2"/>
      <c r="T38" s="6">
        <v>44752.5</v>
      </c>
      <c r="U38" s="2"/>
      <c r="V38" s="7">
        <f t="shared" si="17"/>
        <v>0.12480687389492824</v>
      </c>
      <c r="W38" s="2"/>
      <c r="X38" s="6">
        <f t="shared" si="18"/>
        <v>-39878.26</v>
      </c>
      <c r="Y38" s="2"/>
      <c r="Z38" s="7">
        <f t="shared" si="19"/>
        <v>-0.8910845204178538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48.34</v>
      </c>
      <c r="E41" s="1"/>
      <c r="F41" s="5">
        <f t="shared" ref="F41:F61" si="20">IF(D$12=0,0,D41/D$12)</f>
        <v>3.3445186287058503E-4</v>
      </c>
      <c r="G41" s="1"/>
      <c r="H41" s="1">
        <f>SUM(OSRRefH22_2x_0)</f>
        <v>400</v>
      </c>
      <c r="I41" s="1"/>
      <c r="J41" s="5">
        <f t="shared" ref="J41:J61" si="21">IF(H$12=0,0,H41/H$12)</f>
        <v>1.5024038461538462E-2</v>
      </c>
      <c r="K41" s="1"/>
      <c r="L41" s="1">
        <f t="shared" ref="L41:L61" si="22">+D41-H41</f>
        <v>-351.65999999999997</v>
      </c>
      <c r="M41" s="1"/>
      <c r="N41" s="5">
        <f t="shared" ref="N41:N61" si="23">IF(H41=0,0,L41/H41)</f>
        <v>-0.87914999999999988</v>
      </c>
      <c r="O41" s="13"/>
      <c r="P41" s="1">
        <f>SUM(OSRRefP22_2x_0)</f>
        <v>155.11000000000001</v>
      </c>
      <c r="Q41" s="1"/>
      <c r="R41" s="5">
        <f t="shared" ref="R41:R61" si="24">IF(P$12=0,0,P41/P$12)</f>
        <v>4.6138973169135587E-4</v>
      </c>
      <c r="S41" s="1"/>
      <c r="T41" s="1">
        <f>SUM(OSRRefT22_2x_0)</f>
        <v>3200</v>
      </c>
      <c r="U41" s="1"/>
      <c r="V41" s="5">
        <f t="shared" ref="V41:V61" si="25">IF(T$12=0,0,T41/T$12)</f>
        <v>8.9242387903194324E-3</v>
      </c>
      <c r="W41" s="1"/>
      <c r="X41" s="1">
        <f t="shared" ref="X41:X61" si="26">+P41-T41</f>
        <v>-3044.89</v>
      </c>
      <c r="Y41" s="1"/>
      <c r="Z41" s="5">
        <f t="shared" ref="Z41:Z61" si="27">IF(T41=0,0,X41/T41)</f>
        <v>-0.95152812499999995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48.34</v>
      </c>
      <c r="E42" s="2"/>
      <c r="F42" s="7">
        <f t="shared" si="20"/>
        <v>3.3445186287058503E-4</v>
      </c>
      <c r="G42" s="2"/>
      <c r="H42" s="6">
        <v>400</v>
      </c>
      <c r="I42" s="2"/>
      <c r="J42" s="7">
        <f t="shared" si="21"/>
        <v>1.5024038461538462E-2</v>
      </c>
      <c r="K42" s="2"/>
      <c r="L42" s="6">
        <f t="shared" si="22"/>
        <v>-351.65999999999997</v>
      </c>
      <c r="M42" s="2"/>
      <c r="N42" s="7">
        <f t="shared" si="23"/>
        <v>-0.87914999999999988</v>
      </c>
      <c r="O42" s="11"/>
      <c r="P42" s="6">
        <v>155.11000000000001</v>
      </c>
      <c r="Q42" s="2"/>
      <c r="R42" s="7">
        <f t="shared" si="24"/>
        <v>4.6138973169135587E-4</v>
      </c>
      <c r="S42" s="2"/>
      <c r="T42" s="6">
        <v>3200</v>
      </c>
      <c r="U42" s="2"/>
      <c r="V42" s="7">
        <f t="shared" si="25"/>
        <v>8.9242387903194324E-3</v>
      </c>
      <c r="W42" s="2"/>
      <c r="X42" s="6">
        <f t="shared" si="26"/>
        <v>-3044.89</v>
      </c>
      <c r="Y42" s="2"/>
      <c r="Z42" s="7">
        <f t="shared" si="27"/>
        <v>-0.95152812499999995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2337.6999999999998</v>
      </c>
      <c r="E43" s="1"/>
      <c r="F43" s="5">
        <f t="shared" si="20"/>
        <v>1.61739371086588E-2</v>
      </c>
      <c r="G43" s="1"/>
      <c r="H43" s="1">
        <f>SUM(OSRRefH22_3x_0)</f>
        <v>2000</v>
      </c>
      <c r="I43" s="1"/>
      <c r="J43" s="5">
        <f t="shared" si="21"/>
        <v>7.5120192307692304E-2</v>
      </c>
      <c r="K43" s="1"/>
      <c r="L43" s="1">
        <f t="shared" si="22"/>
        <v>337.69999999999982</v>
      </c>
      <c r="M43" s="1"/>
      <c r="N43" s="5">
        <f t="shared" si="23"/>
        <v>0.16884999999999992</v>
      </c>
      <c r="O43" s="13"/>
      <c r="P43" s="1">
        <f>SUM(OSRRefP22_3x_0)</f>
        <v>16617.329999999998</v>
      </c>
      <c r="Q43" s="1"/>
      <c r="R43" s="5">
        <f t="shared" si="24"/>
        <v>4.9429859004104938E-2</v>
      </c>
      <c r="S43" s="1"/>
      <c r="T43" s="1">
        <f>SUM(OSRRefT22_3x_0)</f>
        <v>13700</v>
      </c>
      <c r="U43" s="1"/>
      <c r="V43" s="5">
        <f t="shared" si="25"/>
        <v>3.8206897321055068E-2</v>
      </c>
      <c r="W43" s="1"/>
      <c r="X43" s="1">
        <f t="shared" si="26"/>
        <v>2917.3299999999981</v>
      </c>
      <c r="Y43" s="1"/>
      <c r="Z43" s="5">
        <f t="shared" si="27"/>
        <v>0.21294379562043783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2337.6999999999998</v>
      </c>
      <c r="E44" s="2"/>
      <c r="F44" s="7">
        <f t="shared" si="20"/>
        <v>1.61739371086588E-2</v>
      </c>
      <c r="G44" s="2"/>
      <c r="H44" s="6">
        <v>2000</v>
      </c>
      <c r="I44" s="2"/>
      <c r="J44" s="7">
        <f t="shared" si="21"/>
        <v>7.5120192307692304E-2</v>
      </c>
      <c r="K44" s="2"/>
      <c r="L44" s="6">
        <f t="shared" si="22"/>
        <v>337.69999999999982</v>
      </c>
      <c r="M44" s="2"/>
      <c r="N44" s="7">
        <f t="shared" si="23"/>
        <v>0.16884999999999992</v>
      </c>
      <c r="O44" s="11"/>
      <c r="P44" s="6">
        <v>16617.329999999998</v>
      </c>
      <c r="Q44" s="2"/>
      <c r="R44" s="7">
        <f t="shared" si="24"/>
        <v>4.9429859004104938E-2</v>
      </c>
      <c r="S44" s="2"/>
      <c r="T44" s="6">
        <v>13700</v>
      </c>
      <c r="U44" s="2"/>
      <c r="V44" s="7">
        <f t="shared" si="25"/>
        <v>3.8206897321055068E-2</v>
      </c>
      <c r="W44" s="2"/>
      <c r="X44" s="6">
        <f t="shared" si="26"/>
        <v>2917.3299999999981</v>
      </c>
      <c r="Y44" s="2"/>
      <c r="Z44" s="7">
        <f t="shared" si="27"/>
        <v>0.21294379562043783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2.8170072115384615E-3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1.9108810756142541E-4</v>
      </c>
      <c r="S45" s="1"/>
      <c r="T45" s="1">
        <f>SUM(OSRRefT22_4x_0)</f>
        <v>600</v>
      </c>
      <c r="U45" s="1"/>
      <c r="V45" s="5">
        <f t="shared" si="25"/>
        <v>1.6732947731848936E-3</v>
      </c>
      <c r="W45" s="1"/>
      <c r="X45" s="1">
        <f t="shared" si="26"/>
        <v>-535.76</v>
      </c>
      <c r="Y45" s="1"/>
      <c r="Z45" s="5">
        <f t="shared" si="27"/>
        <v>-0.89293333333333336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2.8170072115384615E-3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1.9108810756142541E-4</v>
      </c>
      <c r="S46" s="2"/>
      <c r="T46" s="6">
        <v>600</v>
      </c>
      <c r="U46" s="2"/>
      <c r="V46" s="7">
        <f t="shared" si="25"/>
        <v>1.6732947731848936E-3</v>
      </c>
      <c r="W46" s="2"/>
      <c r="X46" s="6">
        <f t="shared" si="26"/>
        <v>-535.76</v>
      </c>
      <c r="Y46" s="2"/>
      <c r="Z46" s="7">
        <f t="shared" si="27"/>
        <v>-0.89293333333333336</v>
      </c>
    </row>
    <row r="47" spans="1:26" s="27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3.7560096153846156E-4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80</v>
      </c>
      <c r="U47" s="1"/>
      <c r="V47" s="5">
        <f t="shared" si="25"/>
        <v>2.231059697579858E-4</v>
      </c>
      <c r="W47" s="1"/>
      <c r="X47" s="1">
        <f t="shared" si="26"/>
        <v>-80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3.7560096153846156E-4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80</v>
      </c>
      <c r="U48" s="2"/>
      <c r="V48" s="7">
        <f t="shared" si="25"/>
        <v>2.231059697579858E-4</v>
      </c>
      <c r="W48" s="2"/>
      <c r="X48" s="6">
        <f t="shared" si="26"/>
        <v>-80</v>
      </c>
      <c r="Y48" s="2"/>
      <c r="Z48" s="7">
        <f t="shared" si="27"/>
        <v>-1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1.8780048076923077E-3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47.34</v>
      </c>
      <c r="Q49" s="1"/>
      <c r="R49" s="5">
        <f t="shared" si="24"/>
        <v>1.4081741923969304E-4</v>
      </c>
      <c r="S49" s="1"/>
      <c r="T49" s="1">
        <f>SUM(OSRRefT22_6x_0)</f>
        <v>400</v>
      </c>
      <c r="U49" s="1"/>
      <c r="V49" s="5">
        <f t="shared" si="25"/>
        <v>1.1155298487899291E-3</v>
      </c>
      <c r="W49" s="1"/>
      <c r="X49" s="1">
        <f t="shared" si="26"/>
        <v>-352.65999999999997</v>
      </c>
      <c r="Y49" s="1"/>
      <c r="Z49" s="5">
        <f t="shared" si="27"/>
        <v>-0.88164999999999993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1.8780048076923077E-3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1.4081741923969304E-4</v>
      </c>
      <c r="S50" s="2"/>
      <c r="T50" s="6">
        <v>400</v>
      </c>
      <c r="U50" s="2"/>
      <c r="V50" s="7">
        <f t="shared" si="25"/>
        <v>1.1155298487899291E-3</v>
      </c>
      <c r="W50" s="2"/>
      <c r="X50" s="6">
        <f t="shared" si="26"/>
        <v>-352.65999999999997</v>
      </c>
      <c r="Y50" s="2"/>
      <c r="Z50" s="7">
        <f t="shared" si="27"/>
        <v>-0.88164999999999993</v>
      </c>
    </row>
    <row r="51" spans="1:26" s="27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2.0071263015878507E-4</v>
      </c>
      <c r="G51" s="1"/>
      <c r="H51" s="1">
        <f>SUM(OSRRefH22_7x_0)</f>
        <v>27</v>
      </c>
      <c r="I51" s="1"/>
      <c r="J51" s="5">
        <f t="shared" si="21"/>
        <v>1.0141225961538462E-3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232.08</v>
      </c>
      <c r="Q51" s="1"/>
      <c r="R51" s="5">
        <f t="shared" si="24"/>
        <v>6.9034445832589684E-4</v>
      </c>
      <c r="S51" s="1"/>
      <c r="T51" s="1">
        <f>SUM(OSRRefT22_7x_0)</f>
        <v>216</v>
      </c>
      <c r="U51" s="1"/>
      <c r="V51" s="5">
        <f t="shared" si="25"/>
        <v>6.0238611834656161E-4</v>
      </c>
      <c r="W51" s="1"/>
      <c r="X51" s="1">
        <f t="shared" si="26"/>
        <v>16.080000000000013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2.0071263015878507E-4</v>
      </c>
      <c r="G52" s="2"/>
      <c r="H52" s="6">
        <v>27</v>
      </c>
      <c r="I52" s="2"/>
      <c r="J52" s="7">
        <f t="shared" si="21"/>
        <v>1.0141225961538462E-3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232.08</v>
      </c>
      <c r="Q52" s="2"/>
      <c r="R52" s="7">
        <f t="shared" si="24"/>
        <v>6.9034445832589684E-4</v>
      </c>
      <c r="S52" s="2"/>
      <c r="T52" s="6">
        <v>216</v>
      </c>
      <c r="U52" s="2"/>
      <c r="V52" s="7">
        <f t="shared" si="25"/>
        <v>6.0238611834656161E-4</v>
      </c>
      <c r="W52" s="2"/>
      <c r="X52" s="6">
        <f t="shared" si="26"/>
        <v>16.080000000000013</v>
      </c>
      <c r="Y52" s="2"/>
      <c r="Z52" s="7">
        <f t="shared" si="27"/>
        <v>7.4444444444444507E-2</v>
      </c>
    </row>
    <row r="53" spans="1:26" s="27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1.5024038461538462E-2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3200</v>
      </c>
      <c r="U53" s="1"/>
      <c r="V53" s="5">
        <f t="shared" si="25"/>
        <v>8.9242387903194324E-3</v>
      </c>
      <c r="W53" s="1"/>
      <c r="X53" s="1">
        <f t="shared" si="26"/>
        <v>-3200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1.5024038461538462E-2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3200</v>
      </c>
      <c r="U54" s="2"/>
      <c r="V54" s="7">
        <f t="shared" si="25"/>
        <v>8.9242387903194324E-3</v>
      </c>
      <c r="W54" s="2"/>
      <c r="X54" s="6">
        <f t="shared" si="26"/>
        <v>-3200</v>
      </c>
      <c r="Y54" s="2"/>
      <c r="Z54" s="7">
        <f t="shared" si="27"/>
        <v>-1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5.5349915245442279E-3</v>
      </c>
      <c r="G55" s="1"/>
      <c r="H55" s="1">
        <f>SUM(OSRRefH22_9x_0)</f>
        <v>800</v>
      </c>
      <c r="I55" s="1"/>
      <c r="J55" s="5">
        <f t="shared" si="21"/>
        <v>3.0048076923076924E-2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4800</v>
      </c>
      <c r="Q55" s="1"/>
      <c r="R55" s="5">
        <f t="shared" si="24"/>
        <v>1.4278065322148849E-2</v>
      </c>
      <c r="S55" s="1"/>
      <c r="T55" s="1">
        <f>SUM(OSRRefT22_9x_0)</f>
        <v>6400</v>
      </c>
      <c r="U55" s="1"/>
      <c r="V55" s="5">
        <f t="shared" si="25"/>
        <v>1.7848477580638865E-2</v>
      </c>
      <c r="W55" s="1"/>
      <c r="X55" s="1">
        <f t="shared" si="26"/>
        <v>-1600</v>
      </c>
      <c r="Y55" s="1"/>
      <c r="Z55" s="5">
        <f t="shared" si="27"/>
        <v>-0.25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5.5349915245442279E-3</v>
      </c>
      <c r="G56" s="2"/>
      <c r="H56" s="6">
        <v>800</v>
      </c>
      <c r="I56" s="2"/>
      <c r="J56" s="7">
        <f t="shared" si="21"/>
        <v>3.0048076923076924E-2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4800</v>
      </c>
      <c r="Q56" s="2"/>
      <c r="R56" s="7">
        <f t="shared" si="24"/>
        <v>1.4278065322148849E-2</v>
      </c>
      <c r="S56" s="2"/>
      <c r="T56" s="6">
        <v>6400</v>
      </c>
      <c r="U56" s="2"/>
      <c r="V56" s="7">
        <f t="shared" si="25"/>
        <v>1.7848477580638865E-2</v>
      </c>
      <c r="W56" s="2"/>
      <c r="X56" s="6">
        <f t="shared" si="26"/>
        <v>-1600</v>
      </c>
      <c r="Y56" s="2"/>
      <c r="Z56" s="7">
        <f t="shared" si="27"/>
        <v>-0.25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117094</v>
      </c>
      <c r="E57" s="1"/>
      <c r="F57" s="5">
        <f t="shared" si="20"/>
        <v>0.81014287196872725</v>
      </c>
      <c r="G57" s="1"/>
      <c r="H57" s="1">
        <f>SUM(OSRRefH22_10x_0)</f>
        <v>2000</v>
      </c>
      <c r="I57" s="1"/>
      <c r="J57" s="5">
        <f t="shared" si="21"/>
        <v>7.5120192307692304E-2</v>
      </c>
      <c r="K57" s="1"/>
      <c r="L57" s="1">
        <f t="shared" si="22"/>
        <v>115094</v>
      </c>
      <c r="M57" s="1"/>
      <c r="N57" s="5">
        <f t="shared" si="23"/>
        <v>57.546999999999997</v>
      </c>
      <c r="O57" s="13"/>
      <c r="P57" s="1">
        <f>SUM(OSRRefP22_10x_0)</f>
        <v>117843.95999999999</v>
      </c>
      <c r="Q57" s="1"/>
      <c r="R57" s="5">
        <f t="shared" si="24"/>
        <v>0.35053828306264501</v>
      </c>
      <c r="S57" s="1"/>
      <c r="T57" s="1">
        <f>SUM(OSRRefT22_10x_0)</f>
        <v>141000</v>
      </c>
      <c r="U57" s="1"/>
      <c r="V57" s="5">
        <f t="shared" si="25"/>
        <v>0.39322427169844998</v>
      </c>
      <c r="W57" s="1"/>
      <c r="X57" s="1">
        <f t="shared" si="26"/>
        <v>-23156.040000000008</v>
      </c>
      <c r="Y57" s="1"/>
      <c r="Z57" s="5">
        <f t="shared" si="27"/>
        <v>-0.16422723404255324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1.3008209887560235E-3</v>
      </c>
      <c r="S58" s="2"/>
      <c r="T58" s="6">
        <v>125000</v>
      </c>
      <c r="U58" s="2"/>
      <c r="V58" s="7">
        <f t="shared" si="25"/>
        <v>0.34860307774685279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7.5120192307692304E-2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16000</v>
      </c>
      <c r="U59" s="2"/>
      <c r="V59" s="7">
        <f t="shared" si="25"/>
        <v>4.4621193951597159E-2</v>
      </c>
      <c r="W59" s="2"/>
      <c r="X59" s="6">
        <f t="shared" si="26"/>
        <v>-16000</v>
      </c>
      <c r="Y59" s="2"/>
      <c r="Z59" s="7">
        <f t="shared" si="27"/>
        <v>-1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>
        <v>117094</v>
      </c>
      <c r="E60" s="2"/>
      <c r="F60" s="7">
        <f t="shared" si="20"/>
        <v>0.81014287196872725</v>
      </c>
      <c r="G60" s="2"/>
      <c r="H60" s="6"/>
      <c r="I60" s="2"/>
      <c r="J60" s="7">
        <f t="shared" si="21"/>
        <v>0</v>
      </c>
      <c r="K60" s="2"/>
      <c r="L60" s="6">
        <f t="shared" si="22"/>
        <v>117094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0.34830745433993693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0"/>
        <v>0</v>
      </c>
      <c r="G61" s="2"/>
      <c r="H61" s="6"/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>
        <v>312.64999999999998</v>
      </c>
      <c r="Q61" s="2"/>
      <c r="R61" s="7">
        <f t="shared" si="24"/>
        <v>9.3000773395204947E-4</v>
      </c>
      <c r="S61" s="2"/>
      <c r="T61" s="6"/>
      <c r="U61" s="2"/>
      <c r="V61" s="7">
        <f t="shared" si="25"/>
        <v>0</v>
      </c>
      <c r="W61" s="2"/>
      <c r="X61" s="6">
        <f t="shared" si="26"/>
        <v>312.64999999999998</v>
      </c>
      <c r="Y61" s="2"/>
      <c r="Z61" s="7">
        <f t="shared" si="27"/>
        <v>0</v>
      </c>
    </row>
    <row r="62" spans="1:26" s="27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0</v>
      </c>
      <c r="M62" s="1"/>
      <c r="N62" s="5">
        <f t="shared" ref="N62:N67" si="31">IF(H62=0,0,L62/H62)</f>
        <v>0</v>
      </c>
      <c r="O62" s="13"/>
      <c r="P62" s="1">
        <f>SUM(OSRRefP22_11x_0)</f>
        <v>825</v>
      </c>
      <c r="Q62" s="1"/>
      <c r="R62" s="5">
        <f t="shared" ref="R62:R67" si="32">IF(P$12=0,0,P62/P$12)</f>
        <v>2.4540424772443335E-3</v>
      </c>
      <c r="S62" s="1"/>
      <c r="T62" s="1">
        <f>SUM(OSRRefT22_11x_0)</f>
        <v>0</v>
      </c>
      <c r="U62" s="1"/>
      <c r="V62" s="5">
        <f t="shared" ref="V62:V67" si="33">IF(T$12=0,0,T62/T$12)</f>
        <v>0</v>
      </c>
      <c r="W62" s="1"/>
      <c r="X62" s="1">
        <f t="shared" ref="X62:X67" si="34">+P62-T62</f>
        <v>825</v>
      </c>
      <c r="Y62" s="1"/>
      <c r="Z62" s="5">
        <f t="shared" ref="Z62:Z67" si="35">IF(T62=0,0,X62/T62)</f>
        <v>0</v>
      </c>
    </row>
    <row r="63" spans="1:26" s="24" customFormat="1" hidden="1" outlineLevel="2" x14ac:dyDescent="0.25">
      <c r="A63" s="25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825</v>
      </c>
      <c r="Q63" s="2"/>
      <c r="R63" s="7">
        <f t="shared" si="32"/>
        <v>2.4540424772443335E-3</v>
      </c>
      <c r="S63" s="2"/>
      <c r="T63" s="6"/>
      <c r="U63" s="2"/>
      <c r="V63" s="7">
        <f t="shared" si="33"/>
        <v>0</v>
      </c>
      <c r="W63" s="2"/>
      <c r="X63" s="6">
        <f t="shared" si="34"/>
        <v>825</v>
      </c>
      <c r="Y63" s="2"/>
      <c r="Z63" s="7">
        <f t="shared" si="35"/>
        <v>0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4628.3599999999997</v>
      </c>
      <c r="E64" s="1"/>
      <c r="F64" s="5">
        <f t="shared" si="28"/>
        <v>3.20224167156744E-2</v>
      </c>
      <c r="G64" s="1"/>
      <c r="H64" s="1">
        <f>SUM(OSRRefH22_12x_0)</f>
        <v>7000</v>
      </c>
      <c r="I64" s="1"/>
      <c r="J64" s="5">
        <f t="shared" si="29"/>
        <v>0.26292067307692307</v>
      </c>
      <c r="K64" s="1"/>
      <c r="L64" s="1">
        <f t="shared" si="30"/>
        <v>-2371.6400000000003</v>
      </c>
      <c r="M64" s="1"/>
      <c r="N64" s="5">
        <f t="shared" si="31"/>
        <v>-0.33880571428571432</v>
      </c>
      <c r="O64" s="13"/>
      <c r="P64" s="1">
        <f>SUM(OSRRefP22_12x_0)</f>
        <v>23282.71</v>
      </c>
      <c r="Q64" s="1"/>
      <c r="R64" s="5">
        <f t="shared" si="32"/>
        <v>6.9256677970135044E-2</v>
      </c>
      <c r="S64" s="1"/>
      <c r="T64" s="1">
        <f>SUM(OSRRefT22_12x_0)</f>
        <v>56100</v>
      </c>
      <c r="U64" s="1"/>
      <c r="V64" s="5">
        <f t="shared" si="33"/>
        <v>0.15645306129278755</v>
      </c>
      <c r="W64" s="1"/>
      <c r="X64" s="1">
        <f t="shared" si="34"/>
        <v>-32817.29</v>
      </c>
      <c r="Y64" s="1"/>
      <c r="Z64" s="5">
        <f t="shared" si="35"/>
        <v>-0.58497843137254901</v>
      </c>
    </row>
    <row r="65" spans="1:26" s="24" customFormat="1" hidden="1" outlineLevel="2" x14ac:dyDescent="0.25">
      <c r="A65" s="25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0.26292067307692307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1.2293116782675947E-3</v>
      </c>
      <c r="S65" s="2"/>
      <c r="T65" s="6">
        <v>56100</v>
      </c>
      <c r="U65" s="2"/>
      <c r="V65" s="7">
        <f t="shared" si="33"/>
        <v>0.15645306129278755</v>
      </c>
      <c r="W65" s="2"/>
      <c r="X65" s="6">
        <f t="shared" si="34"/>
        <v>-55686.73</v>
      </c>
      <c r="Y65" s="2"/>
      <c r="Z65" s="7">
        <f t="shared" si="35"/>
        <v>-0.99263333333333337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6">
        <v>4628.3599999999997</v>
      </c>
      <c r="E66" s="2"/>
      <c r="F66" s="7">
        <f t="shared" si="28"/>
        <v>3.20224167156744E-2</v>
      </c>
      <c r="G66" s="2"/>
      <c r="H66" s="6"/>
      <c r="I66" s="2"/>
      <c r="J66" s="7">
        <f t="shared" si="29"/>
        <v>0</v>
      </c>
      <c r="K66" s="2"/>
      <c r="L66" s="6">
        <f t="shared" si="30"/>
        <v>4628.3599999999997</v>
      </c>
      <c r="M66" s="2"/>
      <c r="N66" s="7">
        <f t="shared" si="31"/>
        <v>0</v>
      </c>
      <c r="O66" s="11"/>
      <c r="P66" s="6">
        <v>22665.919999999998</v>
      </c>
      <c r="Q66" s="2"/>
      <c r="R66" s="7">
        <f t="shared" si="32"/>
        <v>6.7421976322208338E-2</v>
      </c>
      <c r="S66" s="2"/>
      <c r="T66" s="6"/>
      <c r="U66" s="2"/>
      <c r="V66" s="7">
        <f t="shared" si="33"/>
        <v>0</v>
      </c>
      <c r="W66" s="2"/>
      <c r="X66" s="6">
        <f t="shared" si="34"/>
        <v>22665.919999999998</v>
      </c>
      <c r="Y66" s="2"/>
      <c r="Z66" s="7">
        <f t="shared" si="35"/>
        <v>0</v>
      </c>
    </row>
    <row r="67" spans="1:26" s="24" customFormat="1" hidden="1" outlineLevel="2" x14ac:dyDescent="0.25">
      <c r="A67" s="25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6.0538996965911127E-4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7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197.2</v>
      </c>
      <c r="E68" s="1"/>
      <c r="F68" s="5">
        <f t="shared" ref="F68:F71" si="36">IF(D$12=0,0,D68/D$12)</f>
        <v>1.3643754108001521E-3</v>
      </c>
      <c r="G68" s="1"/>
      <c r="H68" s="1">
        <f>SUM(OSRRefH22_13x_0)</f>
        <v>350</v>
      </c>
      <c r="I68" s="1"/>
      <c r="J68" s="5">
        <f t="shared" ref="J68:J71" si="37">IF(H$12=0,0,H68/H$12)</f>
        <v>1.3146033653846154E-2</v>
      </c>
      <c r="K68" s="1"/>
      <c r="L68" s="1">
        <f t="shared" ref="L68:L71" si="38">+D68-H68</f>
        <v>-152.80000000000001</v>
      </c>
      <c r="M68" s="1"/>
      <c r="N68" s="5">
        <f t="shared" ref="N68:N71" si="39">IF(H68=0,0,L68/H68)</f>
        <v>-0.43657142857142861</v>
      </c>
      <c r="O68" s="13"/>
      <c r="P68" s="1">
        <f>SUM(OSRRefP22_13x_0)</f>
        <v>1511.2</v>
      </c>
      <c r="Q68" s="1"/>
      <c r="R68" s="5">
        <f t="shared" ref="R68:R71" si="40">IF(P$12=0,0,P68/P$12)</f>
        <v>4.4952108989231958E-3</v>
      </c>
      <c r="S68" s="1"/>
      <c r="T68" s="1">
        <f>SUM(OSRRefT22_13x_0)</f>
        <v>2800</v>
      </c>
      <c r="U68" s="1"/>
      <c r="V68" s="5">
        <f t="shared" ref="V68:V71" si="41">IF(T$12=0,0,T68/T$12)</f>
        <v>7.8087089415295029E-3</v>
      </c>
      <c r="W68" s="1"/>
      <c r="X68" s="1">
        <f t="shared" ref="X68:X71" si="42">+P68-T68</f>
        <v>-1288.8</v>
      </c>
      <c r="Y68" s="1"/>
      <c r="Z68" s="5">
        <f t="shared" ref="Z68:Z71" si="43">IF(T68=0,0,X68/T68)</f>
        <v>-0.46028571428571424</v>
      </c>
    </row>
    <row r="69" spans="1:26" s="24" customFormat="1" hidden="1" outlineLevel="2" x14ac:dyDescent="0.25">
      <c r="A69" s="25"/>
      <c r="B69" s="11" t="str">
        <f>CONCATENATE("          ", "6309", " - ", "TELEPHONE")</f>
        <v xml:space="preserve">          6309 - TELEPHONE</v>
      </c>
      <c r="C69" s="11"/>
      <c r="D69" s="6">
        <v>197.2</v>
      </c>
      <c r="E69" s="2"/>
      <c r="F69" s="7">
        <f t="shared" si="36"/>
        <v>1.3643754108001521E-3</v>
      </c>
      <c r="G69" s="2"/>
      <c r="H69" s="6">
        <v>350</v>
      </c>
      <c r="I69" s="2"/>
      <c r="J69" s="7">
        <f t="shared" si="37"/>
        <v>1.3146033653846154E-2</v>
      </c>
      <c r="K69" s="2"/>
      <c r="L69" s="6">
        <f t="shared" si="38"/>
        <v>-152.80000000000001</v>
      </c>
      <c r="M69" s="2"/>
      <c r="N69" s="7">
        <f t="shared" si="39"/>
        <v>-0.43657142857142861</v>
      </c>
      <c r="O69" s="11"/>
      <c r="P69" s="6">
        <v>1511.2</v>
      </c>
      <c r="Q69" s="2"/>
      <c r="R69" s="7">
        <f t="shared" si="40"/>
        <v>4.4952108989231958E-3</v>
      </c>
      <c r="S69" s="2"/>
      <c r="T69" s="6">
        <v>2800</v>
      </c>
      <c r="U69" s="2"/>
      <c r="V69" s="7">
        <f t="shared" si="41"/>
        <v>7.8087089415295029E-3</v>
      </c>
      <c r="W69" s="2"/>
      <c r="X69" s="6">
        <f t="shared" si="42"/>
        <v>-1288.8</v>
      </c>
      <c r="Y69" s="2"/>
      <c r="Z69" s="7">
        <f t="shared" si="43"/>
        <v>-0.46028571428571424</v>
      </c>
    </row>
    <row r="70" spans="1:26" s="27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0</v>
      </c>
      <c r="E70" s="1"/>
      <c r="F70" s="5">
        <f t="shared" si="36"/>
        <v>0</v>
      </c>
      <c r="G70" s="1"/>
      <c r="H70" s="1">
        <f>SUM(OSRRefH22_14x_0)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3"/>
      <c r="P70" s="1">
        <f>SUM(OSRRefP22_14x_0)</f>
        <v>0</v>
      </c>
      <c r="Q70" s="1"/>
      <c r="R70" s="5">
        <f t="shared" si="40"/>
        <v>0</v>
      </c>
      <c r="S70" s="1"/>
      <c r="T70" s="1">
        <f>SUM(OSRRefT22_14x_0)</f>
        <v>2500</v>
      </c>
      <c r="U70" s="1"/>
      <c r="V70" s="5">
        <f t="shared" si="41"/>
        <v>6.9720615549370563E-3</v>
      </c>
      <c r="W70" s="1"/>
      <c r="X70" s="1">
        <f t="shared" si="42"/>
        <v>-2500</v>
      </c>
      <c r="Y70" s="1"/>
      <c r="Z70" s="5">
        <f t="shared" si="43"/>
        <v>-1</v>
      </c>
    </row>
    <row r="71" spans="1:26" s="24" customFormat="1" hidden="1" outlineLevel="2" x14ac:dyDescent="0.25">
      <c r="A71" s="25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/>
      <c r="Q71" s="2"/>
      <c r="R71" s="7">
        <f t="shared" si="40"/>
        <v>0</v>
      </c>
      <c r="S71" s="2"/>
      <c r="T71" s="6">
        <v>2500</v>
      </c>
      <c r="U71" s="2"/>
      <c r="V71" s="7">
        <f t="shared" si="41"/>
        <v>6.9720615549370563E-3</v>
      </c>
      <c r="W71" s="2"/>
      <c r="X71" s="6">
        <f t="shared" si="42"/>
        <v>-2500</v>
      </c>
      <c r="Y71" s="2"/>
      <c r="Z71" s="7">
        <f t="shared" si="43"/>
        <v>-1</v>
      </c>
    </row>
    <row r="72" spans="1:26" s="53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9" t="s">
        <v>0</v>
      </c>
      <c r="C73" s="10"/>
      <c r="D73" s="4">
        <f>SUM(OSRRefD25x_0)</f>
        <v>2133.16</v>
      </c>
      <c r="E73" s="4"/>
      <c r="F73" s="12">
        <f t="shared" ref="F73:F74" si="44">IF(D$12=0,0,D73/D$12)</f>
        <v>1.4758778150620955E-2</v>
      </c>
      <c r="G73" s="4"/>
      <c r="H73" s="4">
        <f>SUM(OSRRefH25x_0)</f>
        <v>3700</v>
      </c>
      <c r="I73" s="4"/>
      <c r="J73" s="12">
        <f t="shared" ref="J73:J74" si="45">IF(H$12=0,0,H73/H$12)</f>
        <v>0.13897235576923078</v>
      </c>
      <c r="K73" s="4"/>
      <c r="L73" s="4">
        <f t="shared" ref="L73:L74" si="46">+D73-H73</f>
        <v>-1566.8400000000001</v>
      </c>
      <c r="M73" s="4"/>
      <c r="N73" s="12">
        <f t="shared" ref="N73:N74" si="47">IF(H73=0,0,L73/H73)</f>
        <v>-0.42347027027027029</v>
      </c>
      <c r="O73" s="10"/>
      <c r="P73" s="4">
        <f>SUM(OSRRefP25x_0)</f>
        <v>19344.91</v>
      </c>
      <c r="Q73" s="4"/>
      <c r="R73" s="12">
        <f t="shared" ref="R73:R74" si="48">IF(P$12=0,0,P73/P$12)</f>
        <v>5.7543310131477184E-2</v>
      </c>
      <c r="S73" s="4"/>
      <c r="T73" s="4">
        <f>SUM(OSRRefT25x_0)</f>
        <v>23150</v>
      </c>
      <c r="U73" s="4"/>
      <c r="V73" s="12">
        <f t="shared" ref="V73:V74" si="49">IF(T$12=0,0,T73/T$12)</f>
        <v>6.4561289998717145E-2</v>
      </c>
      <c r="W73" s="4"/>
      <c r="X73" s="4">
        <f t="shared" ref="X73:X74" si="50">+P73-T73</f>
        <v>-3805.09</v>
      </c>
      <c r="Y73" s="4"/>
      <c r="Z73" s="12">
        <f t="shared" ref="Z73:Z74" si="51">IF(T73=0,0,X73/T73)</f>
        <v>-0.16436673866090715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--2133.16</f>
        <v>2133.16</v>
      </c>
      <c r="E74" s="2"/>
      <c r="F74" s="19">
        <f t="shared" si="44"/>
        <v>1.4758778150620955E-2</v>
      </c>
      <c r="G74" s="2"/>
      <c r="H74" s="2">
        <v>3700</v>
      </c>
      <c r="I74" s="2"/>
      <c r="J74" s="19">
        <f t="shared" si="45"/>
        <v>0.13897235576923078</v>
      </c>
      <c r="K74" s="2"/>
      <c r="L74" s="2">
        <f t="shared" si="46"/>
        <v>-1566.8400000000001</v>
      </c>
      <c r="M74" s="2"/>
      <c r="N74" s="19">
        <f t="shared" si="47"/>
        <v>-0.42347027027027029</v>
      </c>
      <c r="O74" s="11"/>
      <c r="P74" s="2">
        <f>--19344.91</f>
        <v>19344.91</v>
      </c>
      <c r="Q74" s="2"/>
      <c r="R74" s="19">
        <f t="shared" si="48"/>
        <v>5.7543310131477184E-2</v>
      </c>
      <c r="S74" s="2"/>
      <c r="T74" s="2">
        <v>23150</v>
      </c>
      <c r="U74" s="2"/>
      <c r="V74" s="19">
        <f t="shared" si="49"/>
        <v>6.4561289998717145E-2</v>
      </c>
      <c r="W74" s="2"/>
      <c r="X74" s="2">
        <f t="shared" si="50"/>
        <v>-3805.09</v>
      </c>
      <c r="Y74" s="2"/>
      <c r="Z74" s="19">
        <f t="shared" si="51"/>
        <v>-0.16436673866090715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1">
        <f>+D17-D19+D73</f>
        <v>2053.2799999999952</v>
      </c>
      <c r="E76" s="14"/>
      <c r="F76" s="22">
        <f>IF(D$12=0,0,D76/D$12)</f>
        <v>1.4206109246895183E-2</v>
      </c>
      <c r="G76" s="14"/>
      <c r="H76" s="21">
        <f>+H17-H19+H73</f>
        <v>3492.8584991538446</v>
      </c>
      <c r="I76" s="14"/>
      <c r="J76" s="22">
        <f>IF(H$12=0,0,H76/H$12)</f>
        <v>0.13119210107999718</v>
      </c>
      <c r="K76" s="15"/>
      <c r="L76" s="21">
        <f>+D76-H76</f>
        <v>-1439.5784991538494</v>
      </c>
      <c r="M76" s="15"/>
      <c r="N76" s="22">
        <f>IF(H76=0,0,L76/H76)</f>
        <v>-0.41214910352154022</v>
      </c>
      <c r="O76" s="29"/>
      <c r="P76" s="21">
        <f>+P17-P19+P73</f>
        <v>19985.920000000009</v>
      </c>
      <c r="Q76" s="14"/>
      <c r="R76" s="22">
        <f>IF(P$12=0,0,P76/P$12)</f>
        <v>5.9450056517341927E-2</v>
      </c>
      <c r="S76" s="14"/>
      <c r="T76" s="21">
        <f>+T17-T19+T73</f>
        <v>47040.784837596118</v>
      </c>
      <c r="U76" s="14"/>
      <c r="V76" s="22">
        <f>IF(T$12=0,0,T76/T$12)</f>
        <v>0.13118849899210797</v>
      </c>
      <c r="W76" s="15"/>
      <c r="X76" s="21">
        <f>+P76-T76</f>
        <v>-27054.864837596109</v>
      </c>
      <c r="Y76" s="15"/>
      <c r="Z76" s="22">
        <f>IF(T76=0,0,X76/T76)</f>
        <v>-0.57513634032681393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14277.53</v>
      </c>
      <c r="E78" s="4"/>
      <c r="F78" s="12">
        <f>IF(D$12=0,0,D78/D$12)</f>
        <v>9.8782509426782447E-2</v>
      </c>
      <c r="G78" s="4"/>
      <c r="H78" s="4">
        <v>2248</v>
      </c>
      <c r="I78" s="4"/>
      <c r="J78" s="12">
        <f>IF(H$12=0,0,H78/H$12)</f>
        <v>8.4435096153846159E-2</v>
      </c>
      <c r="K78" s="4"/>
      <c r="L78" s="4">
        <f>+D78-H78</f>
        <v>12029.53</v>
      </c>
      <c r="M78" s="4"/>
      <c r="N78" s="12">
        <f>IF(H78=0,0,L78/H78)</f>
        <v>5.3512144128113883</v>
      </c>
      <c r="O78" s="10"/>
      <c r="P78" s="4">
        <v>34263.39</v>
      </c>
      <c r="Q78" s="4"/>
      <c r="R78" s="12">
        <f>IF(P$12=0,0,P78/P$12)</f>
        <v>0.10191977512047118</v>
      </c>
      <c r="S78" s="4"/>
      <c r="T78" s="4">
        <v>43119</v>
      </c>
      <c r="U78" s="4"/>
      <c r="V78" s="12">
        <f>IF(T$12=0,0,T78/T$12)</f>
        <v>0.12025132887493237</v>
      </c>
      <c r="W78" s="4"/>
      <c r="X78" s="4">
        <f>+P78-T78</f>
        <v>-8855.61</v>
      </c>
      <c r="Y78" s="4"/>
      <c r="Z78" s="12">
        <f>IF(T78=0,0,X78/T78)</f>
        <v>-0.20537605232032283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1">
        <f>+D76-D78</f>
        <v>-12224.250000000005</v>
      </c>
      <c r="E80" s="14"/>
      <c r="F80" s="32">
        <f>IF(D$12=0,0,D80/D$12)</f>
        <v>-8.4576400179887268E-2</v>
      </c>
      <c r="G80" s="14"/>
      <c r="H80" s="31">
        <f>+H76-H78</f>
        <v>1244.8584991538446</v>
      </c>
      <c r="I80" s="14"/>
      <c r="J80" s="32">
        <f>IF(H$12=0,0,H80/H$12)</f>
        <v>4.6757004926151015E-2</v>
      </c>
      <c r="K80" s="15"/>
      <c r="L80" s="31">
        <f>D80-H80</f>
        <v>-13469.10849915385</v>
      </c>
      <c r="M80" s="15"/>
      <c r="N80" s="32">
        <f>IF(H80=0,0,L80/H80)</f>
        <v>-10.819790770042598</v>
      </c>
      <c r="O80" s="29"/>
      <c r="P80" s="31">
        <f>+P76-P78</f>
        <v>-14277.46999999999</v>
      </c>
      <c r="Q80" s="14"/>
      <c r="R80" s="32">
        <f>IF(P$12=0,0,P80/P$12)</f>
        <v>-4.2469718603129245E-2</v>
      </c>
      <c r="S80" s="14"/>
      <c r="T80" s="31">
        <f>+T76-T78</f>
        <v>3921.7848375961185</v>
      </c>
      <c r="U80" s="14"/>
      <c r="V80" s="32">
        <f>IF(T$12=0,0,T80/T$12)</f>
        <v>1.0937170117175586E-2</v>
      </c>
      <c r="W80" s="15"/>
      <c r="X80" s="31">
        <f>P80-T80</f>
        <v>-18199.254837596109</v>
      </c>
      <c r="Y80" s="15"/>
      <c r="Z80" s="32">
        <f>IF(T80=0,0,X80/T80)</f>
        <v>-4.6405541331919302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3">
        <f>SUM(D80:D82)</f>
        <v>-12224.250000000005</v>
      </c>
      <c r="E83" s="14"/>
      <c r="F83" s="30">
        <f>IF(D$12=0,0,D83/D$12)</f>
        <v>-8.4576400179887268E-2</v>
      </c>
      <c r="G83" s="14"/>
      <c r="H83" s="33">
        <f>SUM(H80:H82)</f>
        <v>1244.8584991538446</v>
      </c>
      <c r="I83" s="14"/>
      <c r="J83" s="30">
        <f>IF(H$12=0,0,H83/H$12)</f>
        <v>4.6757004926151015E-2</v>
      </c>
      <c r="K83" s="15"/>
      <c r="L83" s="33">
        <f>+D83-H83</f>
        <v>-13469.10849915385</v>
      </c>
      <c r="M83" s="15"/>
      <c r="N83" s="30">
        <f>IF(H83=0,0,L83/H83)</f>
        <v>-10.819790770042598</v>
      </c>
      <c r="O83" s="29"/>
      <c r="P83" s="33">
        <f>SUM(P80:P82)</f>
        <v>-14277.46999999999</v>
      </c>
      <c r="Q83" s="14"/>
      <c r="R83" s="30">
        <f>IF(P$12=0,0,P83/P$12)</f>
        <v>-4.2469718603129245E-2</v>
      </c>
      <c r="S83" s="14"/>
      <c r="T83" s="33">
        <f>SUM(T80:T82)</f>
        <v>3921.7848375961185</v>
      </c>
      <c r="U83" s="14"/>
      <c r="V83" s="30">
        <f>IF(T$12=0,0,T83/T$12)</f>
        <v>1.0937170117175586E-2</v>
      </c>
      <c r="W83" s="15"/>
      <c r="X83" s="33">
        <f>+P83-T83</f>
        <v>-18199.254837596109</v>
      </c>
      <c r="Y83" s="15"/>
      <c r="Z83" s="30">
        <f>IF(T83=0,0,X83/T83)</f>
        <v>-4.6405541331919302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9">
        <v>43908.495456365737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3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7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4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4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4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9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9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5"/>
      <c r="F10" s="39" t="s">
        <v>15</v>
      </c>
      <c r="G10" s="35"/>
      <c r="H10" s="51" t="s">
        <v>11</v>
      </c>
      <c r="I10" s="35"/>
      <c r="J10" s="48" t="s">
        <v>16</v>
      </c>
      <c r="K10" s="10"/>
      <c r="L10" s="42" t="s">
        <v>12</v>
      </c>
      <c r="M10" s="10"/>
      <c r="N10" s="39" t="s">
        <v>17</v>
      </c>
      <c r="O10" s="10"/>
      <c r="P10" s="61" t="s">
        <v>10</v>
      </c>
      <c r="Q10" s="35"/>
      <c r="R10" s="39" t="s">
        <v>15</v>
      </c>
      <c r="S10" s="35"/>
      <c r="T10" s="51" t="s">
        <v>11</v>
      </c>
      <c r="U10" s="35"/>
      <c r="V10" s="48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4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4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4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4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9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3" t="e">
        <f ca="1">SUM(D31:D35)</f>
        <v>#NAME?</v>
      </c>
      <c r="E36" s="14"/>
      <c r="F36" s="30" t="e">
        <f ca="1">IF(D$12=0,0,D36/D$12)</f>
        <v>#NAME?</v>
      </c>
      <c r="G36" s="14"/>
      <c r="H36" s="33" t="e">
        <f ca="1">SUM(H31:H35)</f>
        <v>#NAME?</v>
      </c>
      <c r="I36" s="14"/>
      <c r="J36" s="30" t="e">
        <f ca="1">IF(H$12=0,0,H36/H$12)</f>
        <v>#NAME?</v>
      </c>
      <c r="K36" s="15"/>
      <c r="L36" s="33" t="e">
        <f ca="1">+D36-H36</f>
        <v>#NAME?</v>
      </c>
      <c r="M36" s="15"/>
      <c r="N36" s="30" t="e">
        <f ca="1">IF(H36=0,0,L36/H36)</f>
        <v>#NAME?</v>
      </c>
      <c r="O36" s="29"/>
      <c r="P36" s="33" t="e">
        <f ca="1">SUM(P31:P35)</f>
        <v>#NAME?</v>
      </c>
      <c r="Q36" s="14"/>
      <c r="R36" s="30" t="e">
        <f ca="1">IF(P$12=0,0,P36/P$12)</f>
        <v>#NAME?</v>
      </c>
      <c r="S36" s="14"/>
      <c r="T36" s="33" t="e">
        <f ca="1">SUM(T31:T35)</f>
        <v>#NAME?</v>
      </c>
      <c r="U36" s="14"/>
      <c r="V36" s="30" t="e">
        <f ca="1">IF(T$12=0,0,T36/T$12)</f>
        <v>#NAME?</v>
      </c>
      <c r="W36" s="15"/>
      <c r="X36" s="33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4578</vt:i4>
      </vt:variant>
    </vt:vector>
  </HeadingPairs>
  <TitlesOfParts>
    <vt:vector size="4679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335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'204'!OSRRefD13x_0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'412'!OSRRefD22_15x_0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'425'!OSRRefD22_16x_0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'418'!OSRRefD22_17x_0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'405'!OSRRefD22_18x_0</vt:lpstr>
      <vt:lpstr>'415'!OSRRefD22_18x_0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'405'!OSRRefD22_19x_0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'Div 4'!OSRRefD22_25x_0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'204'!OSRRefH13x_0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'412'!OSRRefH22_15x_0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'425'!OSRRefH22_16x_0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'418'!OSRRefH22_17x_0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'405'!OSRRefH22_18x_0</vt:lpstr>
      <vt:lpstr>'415'!OSRRefH22_18x_0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'405'!OSRRefH22_19x_0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'Div 4'!OSRRefH22_25x_0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'204'!OSRRefP13x_0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'412'!OSRRefP22_15x_0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'425'!OSRRefP22_16x_0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'418'!OSRRefP22_17x_0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'405'!OSRRefP22_18x_0</vt:lpstr>
      <vt:lpstr>'415'!OSRRefP22_18x_0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'405'!OSRRefP22_19x_0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'Div 4'!OSRRefP22_25x_0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'204'!OSRRefT13x_0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'412'!OSRRefT22_15x_0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'425'!OSRRefT22_16x_0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'418'!OSRRefT22_17x_0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'405'!OSRRefT22_18x_0</vt:lpstr>
      <vt:lpstr>'415'!OSRRefT22_18x_0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'405'!OSRRefT22_19x_0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'Div 4'!OSRRefT22_25x_0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'335'!Print_Area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'335'!Print_Titles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2020-03-18T19:24:44Z</dcterms:modified>
</cp:coreProperties>
</file>